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omments1.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embeddings/oleObject1.bin" ContentType="application/vnd.openxmlformats-officedocument.oleObject"/>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omments2.xml" ContentType="application/vnd.openxmlformats-officedocument.spreadsheetml.comments+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4.xml" ContentType="application/vnd.openxmlformats-officedocument.drawing+xml"/>
  <Override PartName="/xl/charts/chart9.xml" ContentType="application/vnd.openxmlformats-officedocument.drawingml.chart+xml"/>
  <Override PartName="/xl/drawings/drawing5.xml" ContentType="application/vnd.openxmlformats-officedocument.drawing+xml"/>
  <Override PartName="/xl/embeddings/oleObject2.bin" ContentType="application/vnd.openxmlformats-officedocument.oleObject"/>
  <Override PartName="/xl/embeddings/oleObject3.bin" ContentType="application/vnd.openxmlformats-officedocument.oleObject"/>
  <Override PartName="/xl/embeddings/oleObject4.bin" ContentType="application/vnd.openxmlformats-officedocument.oleObject"/>
  <Override PartName="/xl/embeddings/oleObject5.bin" ContentType="application/vnd.openxmlformats-officedocument.oleObject"/>
  <Override PartName="/xl/embeddings/oleObject6.bin" ContentType="application/vnd.openxmlformats-officedocument.oleObject"/>
  <Override PartName="/xl/embeddings/oleObject7.bin" ContentType="application/vnd.openxmlformats-officedocument.oleObject"/>
  <Override PartName="/xl/embeddings/oleObject8.bin" ContentType="application/vnd.openxmlformats-officedocument.oleObject"/>
  <Override PartName="/xl/embeddings/oleObject9.bin" ContentType="application/vnd.openxmlformats-officedocument.oleObject"/>
  <Override PartName="/xl/embeddings/oleObject10.bin" ContentType="application/vnd.openxmlformats-officedocument.oleObject"/>
  <Override PartName="/xl/embeddings/oleObject11.bin" ContentType="application/vnd.openxmlformats-officedocument.oleObject"/>
  <Override PartName="/xl/embeddings/oleObject12.bin" ContentType="application/vnd.openxmlformats-officedocument.oleObject"/>
  <Override PartName="/xl/embeddings/oleObject13.bin" ContentType="application/vnd.openxmlformats-officedocument.oleObject"/>
  <Override PartName="/xl/embeddings/oleObject14.bin" ContentType="application/vnd.openxmlformats-officedocument.oleObject"/>
  <Override PartName="/xl/embeddings/oleObject15.bin" ContentType="application/vnd.openxmlformats-officedocument.oleObject"/>
  <Override PartName="/xl/embeddings/oleObject16.bin" ContentType="application/vnd.openxmlformats-officedocument.oleObject"/>
  <Override PartName="/xl/embeddings/oleObject17.bin" ContentType="application/vnd.openxmlformats-officedocument.oleObject"/>
  <Override PartName="/xl/embeddings/oleObject18.bin" ContentType="application/vnd.openxmlformats-officedocument.oleObject"/>
  <Override PartName="/xl/embeddings/oleObject19.bin" ContentType="application/vnd.openxmlformats-officedocument.oleObject"/>
  <Override PartName="/xl/embeddings/oleObject20.bin" ContentType="application/vnd.openxmlformats-officedocument.oleObject"/>
  <Override PartName="/xl/embeddings/oleObject21.bin" ContentType="application/vnd.openxmlformats-officedocument.oleObject"/>
  <Override PartName="/xl/embeddings/oleObject22.bin" ContentType="application/vnd.openxmlformats-officedocument.oleObject"/>
  <Override PartName="/xl/embeddings/oleObject23.bin" ContentType="application/vnd.openxmlformats-officedocument.oleObject"/>
  <Override PartName="/xl/embeddings/oleObject24.bin" ContentType="application/vnd.openxmlformats-officedocument.oleObject"/>
  <Override PartName="/xl/embeddings/oleObject25.bin" ContentType="application/vnd.openxmlformats-officedocument.oleObject"/>
  <Override PartName="/xl/embeddings/oleObject26.bin" ContentType="application/vnd.openxmlformats-officedocument.oleObject"/>
  <Override PartName="/xl/embeddings/oleObject27.bin" ContentType="application/vnd.openxmlformats-officedocument.oleObject"/>
  <Override PartName="/xl/embeddings/oleObject28.bin" ContentType="application/vnd.openxmlformats-officedocument.oleObject"/>
  <Override PartName="/xl/embeddings/oleObject29.bin" ContentType="application/vnd.openxmlformats-officedocument.oleObject"/>
  <Override PartName="/xl/embeddings/oleObject30.bin" ContentType="application/vnd.openxmlformats-officedocument.oleObject"/>
  <Override PartName="/xl/embeddings/oleObject31.bin" ContentType="application/vnd.openxmlformats-officedocument.oleObject"/>
  <Override PartName="/xl/embeddings/oleObject32.bin" ContentType="application/vnd.openxmlformats-officedocument.oleObject"/>
  <Override PartName="/xl/embeddings/oleObject33.bin" ContentType="application/vnd.openxmlformats-officedocument.oleObject"/>
  <Override PartName="/xl/embeddings/oleObject34.bin" ContentType="application/vnd.openxmlformats-officedocument.oleObject"/>
  <Override PartName="/xl/embeddings/oleObject35.bin" ContentType="application/vnd.openxmlformats-officedocument.oleObject"/>
  <Override PartName="/xl/embeddings/oleObject36.bin" ContentType="application/vnd.openxmlformats-officedocument.oleObject"/>
  <Override PartName="/xl/embeddings/oleObject37.bin" ContentType="application/vnd.openxmlformats-officedocument.oleObject"/>
  <Override PartName="/xl/drawings/drawing6.xml" ContentType="application/vnd.openxmlformats-officedocument.drawing+xml"/>
  <Override PartName="/xl/embeddings/oleObject38.bin" ContentType="application/vnd.openxmlformats-officedocument.oleObject"/>
  <Override PartName="/xl/ctrlProps/ctrlProp19.xml" ContentType="application/vnd.ms-excel.controlproperties+xml"/>
  <Override PartName="/xl/ctrlProps/ctrlProp20.xml" ContentType="application/vnd.ms-excel.controlproperties+xml"/>
  <Override PartName="/xl/comments3.xml" ContentType="application/vnd.openxmlformats-officedocument.spreadsheetml.comments+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drawings/drawing7.xml" ContentType="application/vnd.openxmlformats-officedocument.drawing+xml"/>
  <Override PartName="/xl/comments4.xml" ContentType="application/vnd.openxmlformats-officedocument.spreadsheetml.comments+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backupFile="1" codeName="ThisWorkbook"/>
  <mc:AlternateContent xmlns:mc="http://schemas.openxmlformats.org/markup-compatibility/2006">
    <mc:Choice Requires="x15">
      <x15ac:absPath xmlns:x15ac="http://schemas.microsoft.com/office/spreadsheetml/2010/11/ac" url="C:\Users\alexi\Documents\scolaire\IPSA\AeroIpsa\SP-02\STABTRAJ\sp02_v3\Alpha\"/>
    </mc:Choice>
  </mc:AlternateContent>
  <xr:revisionPtr revIDLastSave="0" documentId="13_ncr:1_{590558A5-8654-4AD8-A0CF-6F4E06980D27}" xr6:coauthVersionLast="47" xr6:coauthVersionMax="47" xr10:uidLastSave="{00000000-0000-0000-0000-000000000000}"/>
  <bookViews>
    <workbookView xWindow="-120" yWindow="-120" windowWidth="29040" windowHeight="15990" activeTab="1" xr2:uid="{00000000-000D-0000-FFFF-FFFF00000000}"/>
  </bookViews>
  <sheets>
    <sheet name="Stabilito" sheetId="6" r:id="rId1"/>
    <sheet name="Trajecto" sheetId="1" r:id="rId2"/>
    <sheet name="Courbes" sheetId="2" r:id="rId3"/>
    <sheet name="Propu" sheetId="4" r:id="rId4"/>
    <sheet name="Calculs" sheetId="3" r:id="rId5"/>
    <sheet name="Abaco" sheetId="8" r:id="rId6"/>
    <sheet name="Info" sheetId="5" r:id="rId7"/>
    <sheet name="Controle" sheetId="7" r:id="rId8"/>
  </sheets>
  <externalReferences>
    <externalReference r:id="rId9"/>
  </externalReferences>
  <definedNames>
    <definedName name="_xlnm._FilterDatabase" localSheetId="3" hidden="1">Propu!$O$317:$P$345</definedName>
    <definedName name="a_prop">Abaco!$G$43:$G$69</definedName>
    <definedName name="Acc_max">Trajecto!$L$25</definedName>
    <definedName name="acc_x">Calculs!$D$4:$D$1004</definedName>
    <definedName name="acc_xz">Calculs!$F$4:$F$1004</definedName>
    <definedName name="acc_z">Calculs!$E$4:$E$1004</definedName>
    <definedName name="Alt_para">Trajecto!$I$28</definedName>
    <definedName name="alt_prop">Abaco!$J$43:$J$69</definedName>
    <definedName name="Alt_rampe">Trajecto!$C$21</definedName>
    <definedName name="Alt_sat">Trajecto!$I$26</definedName>
    <definedName name="Altitude_culmi">Trajecto!$I$27</definedName>
    <definedName name="b_bal">Abaco!$I$43:$I$69</definedName>
    <definedName name="b_prop">Abaco!$H$43:$H$69</definedName>
    <definedName name="Beta">Calculs!$M$4:$M$1004</definedName>
    <definedName name="Beta_rampe">Trajecto!$C$20</definedName>
    <definedName name="BetaD">Calculs!$N$4:$N$1004</definedName>
    <definedName name="CdP">Propu!$B$3:$Y$4</definedName>
    <definedName name="CdP_P">Propu!$B$4:$Y$4</definedName>
    <definedName name="CdP_t">Propu!$B$3:$Y$3</definedName>
    <definedName name="Club">Stabilito!$C$9</definedName>
    <definedName name="Cn">Stabilito!$H$28</definedName>
    <definedName name="Cn0">Stabilito!$I$28</definedName>
    <definedName name="Cnai" localSheetId="0">Stabilito!$O$19</definedName>
    <definedName name="Cnai0">Stabilito!$P$19</definedName>
    <definedName name="Cnail" localSheetId="0">Stabilito!$O$20</definedName>
    <definedName name="Cnc" localSheetId="0">Stabilito!$O$21</definedName>
    <definedName name="Cni" localSheetId="0">Stabilito!$O$22</definedName>
    <definedName name="Cni0">Stabilito!$P$22</definedName>
    <definedName name="Cnj" localSheetId="0">Stabilito!$O$23</definedName>
    <definedName name="Cno" localSheetId="0">Stabilito!$O$18</definedName>
    <definedName name="Cnr" localSheetId="0">Stabilito!$O$24</definedName>
    <definedName name="Combustion">Propu!$X$2</definedName>
    <definedName name="CritCnmax" localSheetId="0">Stabilito!$J$28</definedName>
    <definedName name="CritCnmin" localSheetId="0">Stabilito!$G$28</definedName>
    <definedName name="CritFinessemax" localSheetId="0">Stabilito!$J$27</definedName>
    <definedName name="CritFinessemin" localSheetId="0">Stabilito!$G$27</definedName>
    <definedName name="CritMsCnmax" localSheetId="0">Stabilito!$J$30</definedName>
    <definedName name="CritMsCnmin" localSheetId="0">Stabilito!$G$30</definedName>
    <definedName name="CritMsmax" localSheetId="0">Stabilito!$J$29</definedName>
    <definedName name="CritMsmin" localSheetId="0">Stabilito!$G$29</definedName>
    <definedName name="Cx">Trajecto!$C$16</definedName>
    <definedName name="Cx_para">Trajecto!$C$30</definedName>
    <definedName name="Cx_satellite">Trajecto!$D$30</definedName>
    <definedName name="D_ail">Stabilito!$C$35</definedName>
    <definedName name="D_can" localSheetId="0">Stabilito!$D$35</definedName>
    <definedName name="D_int" localSheetId="0">Stabilito!$E$34</definedName>
    <definedName name="D_og">Stabilito!$C$24</definedName>
    <definedName name="D_ref">Stabilito!$C$15</definedName>
    <definedName name="D_var">Abaco!$B$43:$B$69</definedName>
    <definedName name="D1j">Stabilito!$M$7</definedName>
    <definedName name="D1r">Stabilito!$O$7</definedName>
    <definedName name="D2j">Stabilito!$M$8</definedName>
    <definedName name="D2r">Stabilito!$O$8</definedName>
    <definedName name="Débit">Calculs!$R$4:$R$1004</definedName>
    <definedName name="Depotage">Propu!$Z$2</definedName>
    <definedName name="Diam_propu">Propu!$T$2</definedName>
    <definedName name="Dt_para">Trajecto!$C$33</definedName>
    <definedName name="Dt_satellite">Trajecto!$D$33</definedName>
    <definedName name="Dx_para">Trajecto!$C$35</definedName>
    <definedName name="Dx_sat">Trajecto!$D$35</definedName>
    <definedName name="E_ail">Stabilito!$C$31</definedName>
    <definedName name="E_can">Stabilito!$D$31</definedName>
    <definedName name="E_int" localSheetId="0">Stabilito!$E$30</definedName>
    <definedName name="ep_ail">Stabilito!$C$32</definedName>
    <definedName name="ep_can">Stabilito!$D$32</definedName>
    <definedName name="ep_int" localSheetId="0">Stabilito!$E$31</definedName>
    <definedName name="Event">Calculs!$Y$4:$Y$1004</definedName>
    <definedName name="Event_para">Calculs!$Z$4:$Z$1004</definedName>
    <definedName name="Event_sat">Calculs!$AA$4:$AA$1004</definedName>
    <definedName name="f_ail" localSheetId="0">Stabilito!$C$36</definedName>
    <definedName name="f_can" localSheetId="0">Stabilito!$D$36</definedName>
    <definedName name="f_int" localSheetId="0">Stabilito!$E$35</definedName>
    <definedName name="FEUR">[1]Propu!$L$2</definedName>
    <definedName name="FEURD">[1]Propu!$H$2</definedName>
    <definedName name="Finesse">Stabilito!$H$27</definedName>
    <definedName name="Forme_ogive">Stabilito!$C$22</definedName>
    <definedName name="g">Info!$E$54</definedName>
    <definedName name="i_P">Calculs!$P$4:$P$1004</definedName>
    <definedName name="I_total">Propu!$D$2</definedName>
    <definedName name="ISP">Propu!$F$2</definedName>
    <definedName name="l_j">Stabilito!$M$6</definedName>
    <definedName name="l_r">Stabilito!$O$6</definedName>
    <definedName name="L_rampe">Trajecto!$C$19</definedName>
    <definedName name="Lang">Stabilito!$M$2</definedName>
    <definedName name="Liste_µfu">Propu!$F$317:$F$346</definedName>
    <definedName name="Liste_fusex">Propu!$R$317:$R$346</definedName>
    <definedName name="Liste_H2O">Propu!$C$317:$D$346</definedName>
    <definedName name="Liste_minif">Propu!$L$317:$M$346</definedName>
    <definedName name="Liste_minifT">Propu!$O$317:$O$346</definedName>
    <definedName name="Liste_propu">Propu!$A$317:$A$346</definedName>
    <definedName name="Liste_RC">Propu!$I$317:$J$346</definedName>
    <definedName name="Liste_Type_para">Trajecto!$I$104:$I$106</definedName>
    <definedName name="Long_ogive">Stabilito!$C$23</definedName>
    <definedName name="Long_propu">Propu!$R$2</definedName>
    <definedName name="Long_tot">Stabilito!$C$14</definedName>
    <definedName name="m">Calculs!$S$4:$S$1004</definedName>
    <definedName name="m_ail">Stabilito!$C$28</definedName>
    <definedName name="m_bal">Abaco!$F$43:$F$69</definedName>
    <definedName name="m_can">Stabilito!$D$28</definedName>
    <definedName name="m_int" localSheetId="0">Stabilito!$E$27</definedName>
    <definedName name="m_poudre">Propu!$J$2</definedName>
    <definedName name="m_prop">Abaco!$E$43:$E$69</definedName>
    <definedName name="m_satellite">Trajecto!$D$25</definedName>
    <definedName name="m_tot">Trajecto!$C$11</definedName>
    <definedName name="m_var">Abaco!$D$43:$D$69</definedName>
    <definedName name="m_vide">Trajecto!$C$25</definedName>
    <definedName name="Masse_ail">Controle!$H$63</definedName>
    <definedName name="MassePlein">Stabilito!$M$14</definedName>
    <definedName name="MasseSans">Stabilito!$P$14</definedName>
    <definedName name="MasseVide">Stabilito!$N$14</definedName>
    <definedName name="Matricule">Stabilito!$E$10</definedName>
    <definedName name="Menu_Empennage">Stabilito!$B$111:$B$112</definedName>
    <definedName name="Menu_Lang">Stabilito!$B$94:$B$95</definedName>
    <definedName name="Menu_Ogive">Stabilito!$B$107:$B$109</definedName>
    <definedName name="Menu_sat">Trajecto!$B$105:$B$106</definedName>
    <definedName name="Menu_Transitions">Stabilito!$B$114:$B$115</definedName>
    <definedName name="Menu_Type">Stabilito!$B$97:$B$100</definedName>
    <definedName name="Menu_with_motor">Stabilito!$B$103:$B$105</definedName>
    <definedName name="MpropuPlein">Propu!$H$2</definedName>
    <definedName name="MpropuVide">Propu!$L$2</definedName>
    <definedName name="MS_Cn_max">Stabilito!$I$30</definedName>
    <definedName name="MS_Cn_max0">Stabilito!#REF!</definedName>
    <definedName name="MS_Cn_min">Stabilito!$H$30</definedName>
    <definedName name="MS_Cn_min0">Stabilito!#REF!</definedName>
    <definedName name="MS_max">Stabilito!$I$29</definedName>
    <definedName name="MS_max0">Stabilito!#REF!</definedName>
    <definedName name="MS_min">Stabilito!$H$29</definedName>
    <definedName name="MS_min0">Stabilito!#REF!</definedName>
    <definedName name="n_ail">Stabilito!$C$29</definedName>
    <definedName name="n_can">Stabilito!$D$29</definedName>
    <definedName name="n_int" localSheetId="0">Stabilito!$E$28</definedName>
    <definedName name="Nb_diam">Stabilito!$M$4</definedName>
    <definedName name="Nb_sat">Trajecto!$D$24</definedName>
    <definedName name="Nom">Stabilito!$C$8</definedName>
    <definedName name="p_ail">Stabilito!$C$30</definedName>
    <definedName name="p_can">Stabilito!$D$30</definedName>
    <definedName name="p_int" localSheetId="0">Stabilito!$E$29</definedName>
    <definedName name="pas">Calculs!$A$4:$A$1004</definedName>
    <definedName name="Poids">Calculs!$T$4:$T$1004</definedName>
    <definedName name="Portee_balistique">Trajecto!$J$29</definedName>
    <definedName name="pos_x">Calculs!$J$4:$J$1004</definedName>
    <definedName name="pos_xz">Calculs!$L$4:$L$1004</definedName>
    <definedName name="pos_z">Calculs!$K$4:$K$1004</definedName>
    <definedName name="pos_z_montant">Calculs!$AE$4:$AE$1004</definedName>
    <definedName name="Poussee">Calculs!$Q$4:$Q$1004</definedName>
    <definedName name="Propu">Stabilito!$C$18</definedName>
    <definedName name="Q_ail">Stabilito!$C$33</definedName>
    <definedName name="Q_can">Stabilito!$D$33</definedName>
    <definedName name="Q_int" localSheetId="0">Stabilito!$E$32</definedName>
    <definedName name="Q_var">Abaco!$C$43:$C$69</definedName>
    <definedName name="R_rampe">Calculs!$U$4:$U$1004</definedName>
    <definedName name="Rho">Calculs!$V$4:$V$1004</definedName>
    <definedName name="Rho_moyen">Info!$E$55</definedName>
    <definedName name="S_ail">Controle!$H$64</definedName>
    <definedName name="S_para">Trajecto!$C$29</definedName>
    <definedName name="S_para_croix">Trajecto!$B$48</definedName>
    <definedName name="S_para_rond">Trajecto!$B$56</definedName>
    <definedName name="S_satellite">Trajecto!$D$29</definedName>
    <definedName name="Sref">Trajecto!$C$15</definedName>
    <definedName name="sS">Trajecto!$F$136</definedName>
    <definedName name="t">Calculs!$B$4:$B$1004</definedName>
    <definedName name="T_balistique">Trajecto!$H$29</definedName>
    <definedName name="T_ini">Trajecto!$H$42</definedName>
    <definedName name="T_para">Trajecto!$C$114</definedName>
    <definedName name="T_satellite">Trajecto!$D$27</definedName>
    <definedName name="Temps_culmi">Trajecto!$H$27</definedName>
    <definedName name="Temps_fin_propu">Propu!$X$3</definedName>
    <definedName name="Trainee">Calculs!$W$4:$W$1004</definedName>
    <definedName name="tT_fus">Trajecto!$F$137</definedName>
    <definedName name="tT_sat">Trajecto!$F$154</definedName>
    <definedName name="Type_fusee">Stabilito!$C$11</definedName>
    <definedName name="Type_masquage" localSheetId="5">Stabilito!$C$27</definedName>
    <definedName name="Type_masquage" localSheetId="0">Stabilito!$C$27</definedName>
    <definedName name="Type_propu">Propu!$V$2</definedName>
    <definedName name="V_ini">Trajecto!$K$42</definedName>
    <definedName name="V_ouv_sat">Trajecto!$K$26</definedName>
    <definedName name="V_ouverture">Trajecto!$K$28</definedName>
    <definedName name="V_para">Trajecto!$C$32</definedName>
    <definedName name="V_prop">Abaco!$K$43:$K$69</definedName>
    <definedName name="V_satellite">Trajecto!$D$32</definedName>
    <definedName name="V_vent">Trajecto!$C$31</definedName>
    <definedName name="V_vent_sat">Trajecto!$D$31</definedName>
    <definedName name="Version" localSheetId="0">Stabilito!$Q$37</definedName>
    <definedName name="Version" localSheetId="1">Trajecto!$N$37</definedName>
    <definedName name="Vit_culmi">Trajecto!$K$27</definedName>
    <definedName name="Vit_max">Trajecto!$K$25</definedName>
    <definedName name="vit_x">Calculs!$G$4:$G$1004</definedName>
    <definedName name="vit_xz">Calculs!$I$4:$I$1004</definedName>
    <definedName name="vit_z">Calculs!$H$4:$H$1004</definedName>
    <definedName name="Vsortie_de_rampe">Trajecto!$K$24</definedName>
    <definedName name="X_ail">Stabilito!$C$34</definedName>
    <definedName name="X_can">Stabilito!$D$34</definedName>
    <definedName name="X_culmi">Trajecto!$J$27</definedName>
    <definedName name="X_ini">Trajecto!$J$42</definedName>
    <definedName name="X_int" localSheetId="0">Stabilito!$E$33</definedName>
    <definedName name="X_j">Stabilito!$M$9</definedName>
    <definedName name="X_para">Trajecto!$J$28</definedName>
    <definedName name="X_r">Stabilito!$O$9</definedName>
    <definedName name="X_satellite">Trajecto!$J$26</definedName>
    <definedName name="XcgPlein">Stabilito!$M$15</definedName>
    <definedName name="XcgSans">Stabilito!$P$15</definedName>
    <definedName name="XcgVide">Stabilito!$N$15</definedName>
    <definedName name="XCp" localSheetId="0">Stabilito!$H$31</definedName>
    <definedName name="XCp0">Stabilito!$I$31</definedName>
    <definedName name="XCpa" localSheetId="0">Stabilito!$M$20</definedName>
    <definedName name="XCpai" localSheetId="0">Stabilito!$M$19</definedName>
    <definedName name="XCpai0">Stabilito!$N$19</definedName>
    <definedName name="XCpc" localSheetId="0">Stabilito!$M$21</definedName>
    <definedName name="XCpi" localSheetId="0">Stabilito!$M$22</definedName>
    <definedName name="XCpi0">Stabilito!$N$22</definedName>
    <definedName name="XCpj" localSheetId="0">Stabilito!$M$23</definedName>
    <definedName name="XCpo" localSheetId="0">Stabilito!$M$18</definedName>
    <definedName name="XCpr" localSheetId="0">Stabilito!$M$24</definedName>
    <definedName name="XpropuPlein">Propu!$N$2</definedName>
    <definedName name="XpropuRef">Stabilito!$C$19</definedName>
    <definedName name="XpropuVide">Propu!$P$2</definedName>
    <definedName name="Z_ini">Trajecto!$I$42</definedName>
    <definedName name="_xlnm.Print_Area" localSheetId="5">Abaco!$A$1:$M$37</definedName>
    <definedName name="_xlnm.Print_Area" localSheetId="2">Courbes!$A$1:$K$78</definedName>
    <definedName name="_xlnm.Print_Area" localSheetId="0">Stabilito!$A$1:$Q$37</definedName>
    <definedName name="_xlnm.Print_Area" localSheetId="1">Trajecto!$A$1:$N$36</definedName>
    <definedName name="zZ_fus">Trajecto!$F$138</definedName>
    <definedName name="zZ_sat">Trajecto!$F$155</definedName>
  </definedNames>
  <calcPr calcId="191029" iterate="1" iterateCount="1000"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45" i="1" l="1"/>
  <c r="B43" i="1"/>
  <c r="C10" i="6"/>
  <c r="E10" i="6" s="1"/>
  <c r="C10" i="8" s="1"/>
  <c r="L324" i="4"/>
  <c r="L323" i="4"/>
  <c r="L322" i="4"/>
  <c r="L321" i="4"/>
  <c r="L320" i="4"/>
  <c r="L319" i="4"/>
  <c r="L318" i="4"/>
  <c r="L317" i="4"/>
  <c r="R319" i="4"/>
  <c r="R318" i="4"/>
  <c r="R317" i="4"/>
  <c r="R320" i="4"/>
  <c r="N294" i="4"/>
  <c r="X307" i="4"/>
  <c r="W307" i="4"/>
  <c r="V307" i="4"/>
  <c r="U307" i="4"/>
  <c r="T307" i="4"/>
  <c r="S307" i="4"/>
  <c r="R307" i="4"/>
  <c r="Q307" i="4"/>
  <c r="P307" i="4"/>
  <c r="O307" i="4"/>
  <c r="N307" i="4"/>
  <c r="M307" i="4"/>
  <c r="L307" i="4"/>
  <c r="K307" i="4"/>
  <c r="J307" i="4"/>
  <c r="I307" i="4"/>
  <c r="H307" i="4"/>
  <c r="G307" i="4"/>
  <c r="F307" i="4"/>
  <c r="E307" i="4"/>
  <c r="D307" i="4"/>
  <c r="C307" i="4"/>
  <c r="B307" i="4"/>
  <c r="J304" i="4"/>
  <c r="B304" i="4"/>
  <c r="K25" i="7"/>
  <c r="H6" i="7"/>
  <c r="C20" i="6"/>
  <c r="I321" i="4"/>
  <c r="I320" i="4"/>
  <c r="I319" i="4"/>
  <c r="I318" i="4"/>
  <c r="I317" i="4"/>
  <c r="X151" i="4"/>
  <c r="W151" i="4"/>
  <c r="V151" i="4"/>
  <c r="U151" i="4"/>
  <c r="T151" i="4"/>
  <c r="S151" i="4"/>
  <c r="R151" i="4"/>
  <c r="Q151" i="4"/>
  <c r="P151" i="4"/>
  <c r="O151" i="4"/>
  <c r="N151" i="4"/>
  <c r="M151" i="4"/>
  <c r="L151" i="4"/>
  <c r="K151" i="4"/>
  <c r="J151" i="4"/>
  <c r="I151" i="4"/>
  <c r="H151" i="4"/>
  <c r="G151" i="4"/>
  <c r="F151" i="4"/>
  <c r="E151" i="4"/>
  <c r="D151" i="4"/>
  <c r="C151" i="4"/>
  <c r="B151" i="4"/>
  <c r="J148" i="4"/>
  <c r="B148" i="4"/>
  <c r="D103" i="4"/>
  <c r="E103" i="4"/>
  <c r="F103" i="4"/>
  <c r="G103" i="4"/>
  <c r="H103" i="4"/>
  <c r="I103" i="4"/>
  <c r="J103" i="4"/>
  <c r="K103" i="4"/>
  <c r="L103" i="4"/>
  <c r="M103" i="4"/>
  <c r="N103" i="4"/>
  <c r="O103" i="4"/>
  <c r="P103" i="4"/>
  <c r="Q103" i="4"/>
  <c r="R103" i="4"/>
  <c r="S103" i="4"/>
  <c r="T103" i="4"/>
  <c r="U103" i="4"/>
  <c r="V103" i="4"/>
  <c r="W103" i="4"/>
  <c r="X103" i="4"/>
  <c r="S98" i="4"/>
  <c r="T98" i="4"/>
  <c r="U98" i="4"/>
  <c r="V98" i="4"/>
  <c r="W98" i="4"/>
  <c r="X98" i="4"/>
  <c r="D98" i="4"/>
  <c r="E98" i="4"/>
  <c r="F98" i="4"/>
  <c r="G98" i="4"/>
  <c r="H98" i="4"/>
  <c r="I98" i="4"/>
  <c r="J98" i="4"/>
  <c r="K98" i="4"/>
  <c r="L98" i="4"/>
  <c r="M98" i="4"/>
  <c r="N98" i="4"/>
  <c r="O98" i="4"/>
  <c r="P98" i="4"/>
  <c r="Q98" i="4"/>
  <c r="R98" i="4"/>
  <c r="C103" i="4"/>
  <c r="C98" i="4"/>
  <c r="X104" i="4"/>
  <c r="W104" i="4"/>
  <c r="V104" i="4"/>
  <c r="U104" i="4"/>
  <c r="T105" i="4" s="1"/>
  <c r="T104" i="4"/>
  <c r="S104" i="4"/>
  <c r="R104" i="4"/>
  <c r="Q104" i="4"/>
  <c r="P104" i="4"/>
  <c r="O104" i="4"/>
  <c r="N105" i="4" s="1"/>
  <c r="N104" i="4"/>
  <c r="M104" i="4"/>
  <c r="L104" i="4"/>
  <c r="K104" i="4"/>
  <c r="J104" i="4"/>
  <c r="I105" i="4" s="1"/>
  <c r="I104" i="4"/>
  <c r="H104" i="4"/>
  <c r="G104" i="4"/>
  <c r="G105" i="4" s="1"/>
  <c r="F104" i="4"/>
  <c r="E104" i="4"/>
  <c r="E105" i="4" s="1"/>
  <c r="D104" i="4"/>
  <c r="C104" i="4"/>
  <c r="B104" i="4"/>
  <c r="L102" i="4"/>
  <c r="H102" i="4"/>
  <c r="B102" i="4"/>
  <c r="X99" i="4"/>
  <c r="W99" i="4"/>
  <c r="V99" i="4"/>
  <c r="U99" i="4"/>
  <c r="T99" i="4"/>
  <c r="S99" i="4"/>
  <c r="R100" i="4" s="1"/>
  <c r="R99" i="4"/>
  <c r="Q99" i="4"/>
  <c r="P99" i="4"/>
  <c r="P100" i="4" s="1"/>
  <c r="O99" i="4"/>
  <c r="N99" i="4"/>
  <c r="M99" i="4"/>
  <c r="L99" i="4"/>
  <c r="K99" i="4"/>
  <c r="J99" i="4"/>
  <c r="J100" i="4" s="1"/>
  <c r="I99" i="4"/>
  <c r="H99" i="4"/>
  <c r="G99" i="4"/>
  <c r="F99" i="4"/>
  <c r="E100" i="4"/>
  <c r="E99" i="4"/>
  <c r="D99" i="4"/>
  <c r="C99" i="4"/>
  <c r="B99" i="4"/>
  <c r="L97" i="4"/>
  <c r="H97" i="4"/>
  <c r="B97" i="4"/>
  <c r="X95" i="4"/>
  <c r="W95" i="4"/>
  <c r="V95" i="4"/>
  <c r="U95" i="4"/>
  <c r="T95" i="4"/>
  <c r="S95" i="4"/>
  <c r="R95" i="4"/>
  <c r="Q95" i="4"/>
  <c r="P95" i="4"/>
  <c r="O95" i="4"/>
  <c r="N95" i="4"/>
  <c r="M95" i="4"/>
  <c r="L95" i="4"/>
  <c r="K95" i="4"/>
  <c r="J95" i="4"/>
  <c r="I95" i="4"/>
  <c r="H95" i="4"/>
  <c r="D92" i="4" s="1"/>
  <c r="F92" i="4" s="1"/>
  <c r="G95" i="4"/>
  <c r="F95" i="4"/>
  <c r="E95" i="4"/>
  <c r="D95" i="4"/>
  <c r="C95" i="4"/>
  <c r="B95" i="4"/>
  <c r="J92" i="4"/>
  <c r="B92" i="4"/>
  <c r="O344" i="4"/>
  <c r="O343" i="4"/>
  <c r="O342" i="4"/>
  <c r="O341" i="4"/>
  <c r="Q206" i="4"/>
  <c r="P206" i="4"/>
  <c r="O206" i="4"/>
  <c r="N206" i="4"/>
  <c r="M206" i="4"/>
  <c r="L206" i="4"/>
  <c r="K206" i="4"/>
  <c r="J206" i="4"/>
  <c r="I206" i="4"/>
  <c r="H206" i="4"/>
  <c r="G206" i="4"/>
  <c r="F206" i="4"/>
  <c r="E206" i="4"/>
  <c r="D206" i="4"/>
  <c r="C206" i="4"/>
  <c r="B206" i="4"/>
  <c r="J203" i="4"/>
  <c r="B203" i="4"/>
  <c r="E5" i="7"/>
  <c r="H7" i="7"/>
  <c r="E7" i="7"/>
  <c r="E6" i="7"/>
  <c r="H9" i="7"/>
  <c r="K26" i="7"/>
  <c r="K23" i="7"/>
  <c r="J26" i="7"/>
  <c r="J25" i="7"/>
  <c r="J23" i="7"/>
  <c r="G27" i="7"/>
  <c r="G26" i="7"/>
  <c r="F26" i="7"/>
  <c r="G25" i="7"/>
  <c r="F25" i="7"/>
  <c r="G24" i="7"/>
  <c r="F24" i="7"/>
  <c r="G23" i="7"/>
  <c r="F23" i="7"/>
  <c r="D27" i="7"/>
  <c r="D24" i="7"/>
  <c r="B32" i="6"/>
  <c r="B31" i="6"/>
  <c r="B30" i="6"/>
  <c r="B29" i="6"/>
  <c r="B28" i="6"/>
  <c r="B36" i="6"/>
  <c r="B35" i="6"/>
  <c r="B34" i="6"/>
  <c r="B33" i="6"/>
  <c r="U35" i="7"/>
  <c r="U34" i="7"/>
  <c r="U33" i="7"/>
  <c r="U32" i="7"/>
  <c r="U31" i="7"/>
  <c r="U30" i="7"/>
  <c r="P32" i="7"/>
  <c r="P31" i="7"/>
  <c r="Q34" i="7"/>
  <c r="P29" i="7"/>
  <c r="U20" i="7"/>
  <c r="Q17" i="7"/>
  <c r="U16" i="7"/>
  <c r="U13" i="7"/>
  <c r="Q12" i="7"/>
  <c r="U11" i="7"/>
  <c r="Q3" i="7"/>
  <c r="E17" i="7"/>
  <c r="E16" i="7"/>
  <c r="E15" i="7"/>
  <c r="E13" i="7"/>
  <c r="B53" i="1"/>
  <c r="B51" i="1"/>
  <c r="B56" i="1"/>
  <c r="D29" i="1"/>
  <c r="I69" i="7" s="1"/>
  <c r="D25" i="1"/>
  <c r="E30" i="1" s="1"/>
  <c r="C19" i="1"/>
  <c r="H8" i="7" s="1"/>
  <c r="C161" i="6"/>
  <c r="C162" i="6"/>
  <c r="C160" i="6"/>
  <c r="C159" i="6"/>
  <c r="C158" i="6"/>
  <c r="C26" i="6"/>
  <c r="M21" i="6"/>
  <c r="C140" i="6"/>
  <c r="D25" i="7"/>
  <c r="F110" i="1"/>
  <c r="C114" i="1" s="1"/>
  <c r="C155" i="1"/>
  <c r="C153" i="1"/>
  <c r="C151" i="1"/>
  <c r="N35" i="1"/>
  <c r="C134" i="1"/>
  <c r="B26" i="1"/>
  <c r="J30" i="6"/>
  <c r="E191" i="6" s="1"/>
  <c r="G30" i="6"/>
  <c r="E182" i="6" s="1"/>
  <c r="J29" i="6"/>
  <c r="B188" i="6" s="1"/>
  <c r="G29" i="6"/>
  <c r="J28" i="6"/>
  <c r="C185" i="6" s="1"/>
  <c r="J27" i="6"/>
  <c r="G28" i="6"/>
  <c r="G27" i="6"/>
  <c r="W35" i="6"/>
  <c r="B100" i="6"/>
  <c r="B98" i="6"/>
  <c r="B99" i="6"/>
  <c r="Q241" i="4"/>
  <c r="P241" i="4"/>
  <c r="O241" i="4"/>
  <c r="N241" i="4"/>
  <c r="M241" i="4"/>
  <c r="L241" i="4"/>
  <c r="K241" i="4"/>
  <c r="J241" i="4"/>
  <c r="I241" i="4"/>
  <c r="H241" i="4"/>
  <c r="G241" i="4"/>
  <c r="F241" i="4"/>
  <c r="E241" i="4"/>
  <c r="D241" i="4"/>
  <c r="C241" i="4"/>
  <c r="B241" i="4"/>
  <c r="S240" i="4"/>
  <c r="T240" i="4" s="1"/>
  <c r="U240" i="4" s="1"/>
  <c r="V240" i="4" s="1"/>
  <c r="W240" i="4" s="1"/>
  <c r="S239" i="4"/>
  <c r="T239" i="4" s="1"/>
  <c r="J238" i="4"/>
  <c r="B238" i="4"/>
  <c r="O321" i="4"/>
  <c r="O320" i="4"/>
  <c r="S131" i="4"/>
  <c r="R131" i="4"/>
  <c r="Q131" i="4"/>
  <c r="P131" i="4"/>
  <c r="O131" i="4"/>
  <c r="N131" i="4"/>
  <c r="M131" i="4"/>
  <c r="L131" i="4"/>
  <c r="K131" i="4"/>
  <c r="J131" i="4"/>
  <c r="I131" i="4"/>
  <c r="H131" i="4"/>
  <c r="G131" i="4"/>
  <c r="F131" i="4"/>
  <c r="E131" i="4"/>
  <c r="D131" i="4"/>
  <c r="C131" i="4"/>
  <c r="B131" i="4"/>
  <c r="V130" i="4"/>
  <c r="U131" i="4" s="1"/>
  <c r="T131" i="4"/>
  <c r="J128" i="4"/>
  <c r="B128" i="4"/>
  <c r="R126" i="4"/>
  <c r="Q126" i="4"/>
  <c r="P126" i="4"/>
  <c r="O126" i="4"/>
  <c r="N126" i="4"/>
  <c r="M126" i="4"/>
  <c r="L126" i="4"/>
  <c r="K126" i="4"/>
  <c r="J126" i="4"/>
  <c r="I126" i="4"/>
  <c r="H126" i="4"/>
  <c r="G126" i="4"/>
  <c r="F126" i="4"/>
  <c r="E126" i="4"/>
  <c r="D126" i="4"/>
  <c r="C126" i="4"/>
  <c r="B126" i="4"/>
  <c r="T125" i="4"/>
  <c r="S126" i="4" s="1"/>
  <c r="J123" i="4"/>
  <c r="B123" i="4"/>
  <c r="O340" i="4"/>
  <c r="T256" i="4"/>
  <c r="S256" i="4"/>
  <c r="R256" i="4"/>
  <c r="Q256" i="4"/>
  <c r="P256" i="4"/>
  <c r="O256" i="4"/>
  <c r="N256" i="4"/>
  <c r="M256" i="4"/>
  <c r="L256" i="4"/>
  <c r="K256" i="4"/>
  <c r="J256" i="4"/>
  <c r="I256" i="4"/>
  <c r="H256" i="4"/>
  <c r="G256" i="4"/>
  <c r="F256" i="4"/>
  <c r="E256" i="4"/>
  <c r="D256" i="4"/>
  <c r="C256" i="4"/>
  <c r="B256" i="4"/>
  <c r="V255" i="4"/>
  <c r="W255" i="4" s="1"/>
  <c r="V254" i="4"/>
  <c r="W254" i="4" s="1"/>
  <c r="X254" i="4" s="1"/>
  <c r="J253" i="4"/>
  <c r="B253" i="4"/>
  <c r="O337" i="4"/>
  <c r="Q236" i="4"/>
  <c r="P236" i="4"/>
  <c r="O236" i="4"/>
  <c r="N236" i="4"/>
  <c r="M236" i="4"/>
  <c r="L236" i="4"/>
  <c r="K236" i="4"/>
  <c r="J236" i="4"/>
  <c r="I236" i="4"/>
  <c r="H236" i="4"/>
  <c r="G236" i="4"/>
  <c r="F236" i="4"/>
  <c r="E236" i="4"/>
  <c r="D236" i="4"/>
  <c r="C236" i="4"/>
  <c r="B236" i="4"/>
  <c r="S235" i="4"/>
  <c r="T235" i="4" s="1"/>
  <c r="S234" i="4"/>
  <c r="R236" i="4" s="1"/>
  <c r="J233" i="4"/>
  <c r="B233" i="4"/>
  <c r="O346" i="4"/>
  <c r="Q211" i="4"/>
  <c r="P211" i="4"/>
  <c r="O211" i="4"/>
  <c r="N211" i="4"/>
  <c r="M211" i="4"/>
  <c r="L211" i="4"/>
  <c r="K211" i="4"/>
  <c r="J211" i="4"/>
  <c r="I211" i="4"/>
  <c r="H211" i="4"/>
  <c r="G211" i="4"/>
  <c r="F211" i="4"/>
  <c r="E211" i="4"/>
  <c r="D211" i="4"/>
  <c r="C211" i="4"/>
  <c r="B211" i="4"/>
  <c r="S211" i="4"/>
  <c r="R211" i="4"/>
  <c r="J208" i="4"/>
  <c r="B208" i="4"/>
  <c r="O336" i="4"/>
  <c r="O335" i="4"/>
  <c r="O334" i="4"/>
  <c r="O333" i="4"/>
  <c r="O338" i="4"/>
  <c r="O339" i="4"/>
  <c r="O345" i="4"/>
  <c r="O323" i="4"/>
  <c r="O324" i="4"/>
  <c r="O325" i="4"/>
  <c r="O326" i="4"/>
  <c r="O327" i="4"/>
  <c r="O319" i="4"/>
  <c r="O322" i="4"/>
  <c r="O328" i="4"/>
  <c r="O329" i="4"/>
  <c r="O330" i="4"/>
  <c r="O331" i="4"/>
  <c r="O332" i="4"/>
  <c r="O318" i="4"/>
  <c r="O317" i="4"/>
  <c r="X231" i="4"/>
  <c r="W231" i="4"/>
  <c r="V231" i="4"/>
  <c r="U231" i="4"/>
  <c r="T231" i="4"/>
  <c r="S231" i="4"/>
  <c r="R231" i="4"/>
  <c r="Q231" i="4"/>
  <c r="P231" i="4"/>
  <c r="O231" i="4"/>
  <c r="N231" i="4"/>
  <c r="M231" i="4"/>
  <c r="L231" i="4"/>
  <c r="K231" i="4"/>
  <c r="J231" i="4"/>
  <c r="I231" i="4"/>
  <c r="H231" i="4"/>
  <c r="G231" i="4"/>
  <c r="D228" i="4" s="1"/>
  <c r="F228" i="4" s="1"/>
  <c r="F231" i="4"/>
  <c r="E231" i="4"/>
  <c r="D231" i="4"/>
  <c r="C231" i="4"/>
  <c r="B231" i="4"/>
  <c r="J228" i="4"/>
  <c r="B228" i="4"/>
  <c r="Q226" i="4"/>
  <c r="P226" i="4"/>
  <c r="O226" i="4"/>
  <c r="N226" i="4"/>
  <c r="M226" i="4"/>
  <c r="L226" i="4"/>
  <c r="K226" i="4"/>
  <c r="J226" i="4"/>
  <c r="I226" i="4"/>
  <c r="H226" i="4"/>
  <c r="G226" i="4"/>
  <c r="F226" i="4"/>
  <c r="E226" i="4"/>
  <c r="D226" i="4"/>
  <c r="C226" i="4"/>
  <c r="B226" i="4"/>
  <c r="T225" i="4"/>
  <c r="U225" i="4" s="1"/>
  <c r="R226" i="4"/>
  <c r="T224" i="4"/>
  <c r="U224" i="4" s="1"/>
  <c r="V224" i="4" s="1"/>
  <c r="W224" i="4" s="1"/>
  <c r="J223" i="4"/>
  <c r="B223" i="4"/>
  <c r="V249" i="4"/>
  <c r="W249" i="4" s="1"/>
  <c r="W244" i="4"/>
  <c r="Q251" i="4"/>
  <c r="P251" i="4"/>
  <c r="O251" i="4"/>
  <c r="N251" i="4"/>
  <c r="M251" i="4"/>
  <c r="L251" i="4"/>
  <c r="K251" i="4"/>
  <c r="J251" i="4"/>
  <c r="I251" i="4"/>
  <c r="H251" i="4"/>
  <c r="G251" i="4"/>
  <c r="F251" i="4"/>
  <c r="E251" i="4"/>
  <c r="D251" i="4"/>
  <c r="C251" i="4"/>
  <c r="B251" i="4"/>
  <c r="J248" i="4"/>
  <c r="B248" i="4"/>
  <c r="J246" i="4"/>
  <c r="I246" i="4"/>
  <c r="H246" i="4"/>
  <c r="G246" i="4"/>
  <c r="F246" i="4"/>
  <c r="E246" i="4"/>
  <c r="D246" i="4"/>
  <c r="C246" i="4"/>
  <c r="B246" i="4"/>
  <c r="J243" i="4"/>
  <c r="B243" i="4"/>
  <c r="L194" i="4"/>
  <c r="M194" i="4" s="1"/>
  <c r="R334" i="4"/>
  <c r="R335" i="4"/>
  <c r="R336" i="4"/>
  <c r="R337" i="4"/>
  <c r="R338" i="4"/>
  <c r="R339" i="4"/>
  <c r="S195" i="4"/>
  <c r="T195" i="4"/>
  <c r="U195" i="4" s="1"/>
  <c r="V195" i="4" s="1"/>
  <c r="W195" i="4" s="1"/>
  <c r="X195" i="4" s="1"/>
  <c r="X196" i="4" s="1"/>
  <c r="J196" i="4"/>
  <c r="I196" i="4"/>
  <c r="H196" i="4"/>
  <c r="G196" i="4"/>
  <c r="F196" i="4"/>
  <c r="E196" i="4"/>
  <c r="D196" i="4"/>
  <c r="C196" i="4"/>
  <c r="B196" i="4"/>
  <c r="J193" i="4"/>
  <c r="B193" i="4"/>
  <c r="S200" i="4"/>
  <c r="T200" i="4" s="1"/>
  <c r="S199" i="4"/>
  <c r="T199" i="4" s="1"/>
  <c r="U199" i="4" s="1"/>
  <c r="V199" i="4" s="1"/>
  <c r="W199" i="4" s="1"/>
  <c r="X199" i="4" s="1"/>
  <c r="Q201" i="4"/>
  <c r="P201" i="4"/>
  <c r="O201" i="4"/>
  <c r="N201" i="4"/>
  <c r="M201" i="4"/>
  <c r="L201" i="4"/>
  <c r="K201" i="4"/>
  <c r="J201" i="4"/>
  <c r="I201" i="4"/>
  <c r="H201" i="4"/>
  <c r="G201" i="4"/>
  <c r="F201" i="4"/>
  <c r="E201" i="4"/>
  <c r="D201" i="4"/>
  <c r="C201" i="4"/>
  <c r="B201" i="4"/>
  <c r="J198" i="4"/>
  <c r="B198" i="4"/>
  <c r="B213" i="4"/>
  <c r="B216" i="4"/>
  <c r="C216" i="4"/>
  <c r="D216" i="4"/>
  <c r="E216" i="4"/>
  <c r="F216" i="4"/>
  <c r="G216" i="4"/>
  <c r="H216" i="4"/>
  <c r="I216" i="4"/>
  <c r="J216" i="4"/>
  <c r="K216" i="4"/>
  <c r="L216" i="4"/>
  <c r="M216" i="4"/>
  <c r="N216" i="4"/>
  <c r="O216" i="4"/>
  <c r="P216" i="4"/>
  <c r="Q216" i="4"/>
  <c r="S215" i="4"/>
  <c r="T215" i="4" s="1"/>
  <c r="S214" i="4"/>
  <c r="J213" i="4"/>
  <c r="A2" i="4"/>
  <c r="B133" i="4"/>
  <c r="B4" i="3"/>
  <c r="AC4" i="3" s="1"/>
  <c r="B136" i="4"/>
  <c r="C136" i="4"/>
  <c r="D136" i="4"/>
  <c r="D133" i="4" s="1"/>
  <c r="F133" i="4" s="1"/>
  <c r="E136" i="4"/>
  <c r="F136" i="4"/>
  <c r="G136" i="4"/>
  <c r="H136" i="4"/>
  <c r="I136" i="4"/>
  <c r="J136" i="4"/>
  <c r="K136" i="4"/>
  <c r="L136" i="4"/>
  <c r="M136" i="4"/>
  <c r="N136" i="4"/>
  <c r="O136" i="4"/>
  <c r="P136" i="4"/>
  <c r="Q136" i="4"/>
  <c r="R136" i="4"/>
  <c r="S136" i="4"/>
  <c r="T136" i="4"/>
  <c r="U136" i="4"/>
  <c r="V136" i="4"/>
  <c r="W136" i="4"/>
  <c r="X136" i="4"/>
  <c r="J133" i="4"/>
  <c r="N4" i="3"/>
  <c r="M4" i="3" s="1"/>
  <c r="J4" i="3"/>
  <c r="K4" i="3"/>
  <c r="V4" i="3" s="1"/>
  <c r="I4" i="3"/>
  <c r="B113" i="4"/>
  <c r="C36" i="6"/>
  <c r="M18" i="6"/>
  <c r="B116" i="4"/>
  <c r="C116" i="4"/>
  <c r="D116" i="4"/>
  <c r="E116" i="4"/>
  <c r="F116" i="4"/>
  <c r="G116" i="4"/>
  <c r="H116" i="4"/>
  <c r="I116" i="4"/>
  <c r="J116" i="4"/>
  <c r="K116" i="4"/>
  <c r="L116" i="4"/>
  <c r="M116" i="4"/>
  <c r="N116" i="4"/>
  <c r="O116" i="4"/>
  <c r="P116" i="4"/>
  <c r="Q116" i="4"/>
  <c r="R116" i="4"/>
  <c r="S116" i="4"/>
  <c r="U115" i="4"/>
  <c r="T116" i="4" s="1"/>
  <c r="J113" i="4"/>
  <c r="B166" i="4"/>
  <c r="C166" i="4"/>
  <c r="D166" i="4"/>
  <c r="E166" i="4"/>
  <c r="F166" i="4"/>
  <c r="G166" i="4"/>
  <c r="H166" i="4"/>
  <c r="I166" i="4"/>
  <c r="J166" i="4"/>
  <c r="K166" i="4"/>
  <c r="L166" i="4"/>
  <c r="M166" i="4"/>
  <c r="N166" i="4"/>
  <c r="O166" i="4"/>
  <c r="P166" i="4"/>
  <c r="Q166" i="4"/>
  <c r="R166" i="4"/>
  <c r="T165" i="4"/>
  <c r="S166" i="4" s="1"/>
  <c r="X164" i="4"/>
  <c r="L163" i="4"/>
  <c r="J163" i="4" s="1"/>
  <c r="B48" i="1"/>
  <c r="C29" i="1" s="1"/>
  <c r="E127" i="7" s="1"/>
  <c r="D31" i="1"/>
  <c r="B29" i="4"/>
  <c r="C29" i="4"/>
  <c r="D29" i="4"/>
  <c r="E29" i="4"/>
  <c r="F29" i="4"/>
  <c r="G29" i="4"/>
  <c r="H29" i="4"/>
  <c r="I29" i="4"/>
  <c r="J29" i="4"/>
  <c r="K29" i="4"/>
  <c r="L29" i="4"/>
  <c r="M29" i="4"/>
  <c r="N29" i="4"/>
  <c r="O29" i="4"/>
  <c r="P29" i="4"/>
  <c r="Q29" i="4"/>
  <c r="R29" i="4"/>
  <c r="S29" i="4"/>
  <c r="T29" i="4"/>
  <c r="U29" i="4"/>
  <c r="V29" i="4"/>
  <c r="W29" i="4"/>
  <c r="X29" i="4"/>
  <c r="J26" i="4"/>
  <c r="B34" i="4"/>
  <c r="C34" i="4"/>
  <c r="D34" i="4"/>
  <c r="E34" i="4"/>
  <c r="F34" i="4"/>
  <c r="G34" i="4"/>
  <c r="H34" i="4"/>
  <c r="I34" i="4"/>
  <c r="J34" i="4"/>
  <c r="K34" i="4"/>
  <c r="L34" i="4"/>
  <c r="M34" i="4"/>
  <c r="N34" i="4"/>
  <c r="O34" i="4"/>
  <c r="P34" i="4"/>
  <c r="Q34" i="4"/>
  <c r="R34" i="4"/>
  <c r="S34" i="4"/>
  <c r="T34" i="4"/>
  <c r="U34" i="4"/>
  <c r="V34" i="4"/>
  <c r="W34" i="4"/>
  <c r="X34" i="4"/>
  <c r="J31" i="4"/>
  <c r="B39" i="4"/>
  <c r="C39" i="4"/>
  <c r="D39" i="4"/>
  <c r="E39" i="4"/>
  <c r="F39" i="4"/>
  <c r="G39" i="4"/>
  <c r="H39" i="4"/>
  <c r="I39" i="4"/>
  <c r="J39" i="4"/>
  <c r="K39" i="4"/>
  <c r="L39" i="4"/>
  <c r="M39" i="4"/>
  <c r="N39" i="4"/>
  <c r="O39" i="4"/>
  <c r="P39" i="4"/>
  <c r="Q39" i="4"/>
  <c r="R39" i="4"/>
  <c r="S39" i="4"/>
  <c r="T39" i="4"/>
  <c r="U39" i="4"/>
  <c r="V39" i="4"/>
  <c r="W39" i="4"/>
  <c r="X39" i="4"/>
  <c r="J36" i="4"/>
  <c r="B44" i="4"/>
  <c r="C44" i="4"/>
  <c r="D44" i="4"/>
  <c r="E44" i="4"/>
  <c r="F44" i="4"/>
  <c r="G44" i="4"/>
  <c r="H44" i="4"/>
  <c r="I44" i="4"/>
  <c r="J44" i="4"/>
  <c r="K44" i="4"/>
  <c r="L44" i="4"/>
  <c r="M44" i="4"/>
  <c r="N44" i="4"/>
  <c r="O44" i="4"/>
  <c r="P44" i="4"/>
  <c r="Q44" i="4"/>
  <c r="R44" i="4"/>
  <c r="S44" i="4"/>
  <c r="T44" i="4"/>
  <c r="U44" i="4"/>
  <c r="V44" i="4"/>
  <c r="W44" i="4"/>
  <c r="X44" i="4"/>
  <c r="J41" i="4"/>
  <c r="B49" i="4"/>
  <c r="C49" i="4"/>
  <c r="D49" i="4"/>
  <c r="E49" i="4"/>
  <c r="F49" i="4"/>
  <c r="G49" i="4"/>
  <c r="H49" i="4"/>
  <c r="I49" i="4"/>
  <c r="J49" i="4"/>
  <c r="K49" i="4"/>
  <c r="L49" i="4"/>
  <c r="M49" i="4"/>
  <c r="N49" i="4"/>
  <c r="O49" i="4"/>
  <c r="P49" i="4"/>
  <c r="Q49" i="4"/>
  <c r="R49" i="4"/>
  <c r="S49" i="4"/>
  <c r="T49" i="4"/>
  <c r="U49" i="4"/>
  <c r="V49" i="4"/>
  <c r="W49" i="4"/>
  <c r="X49" i="4"/>
  <c r="J46" i="4"/>
  <c r="B54" i="4"/>
  <c r="C54" i="4"/>
  <c r="D54" i="4"/>
  <c r="E54" i="4"/>
  <c r="F54" i="4"/>
  <c r="G54" i="4"/>
  <c r="H54" i="4"/>
  <c r="I54" i="4"/>
  <c r="J54" i="4"/>
  <c r="K54" i="4"/>
  <c r="L54" i="4"/>
  <c r="M54" i="4"/>
  <c r="N54" i="4"/>
  <c r="O54" i="4"/>
  <c r="P54" i="4"/>
  <c r="Q54" i="4"/>
  <c r="D51" i="4" s="1"/>
  <c r="F51" i="4" s="1"/>
  <c r="R54" i="4"/>
  <c r="S54" i="4"/>
  <c r="T54" i="4"/>
  <c r="U54" i="4"/>
  <c r="V54" i="4"/>
  <c r="W54" i="4"/>
  <c r="X54" i="4"/>
  <c r="J51" i="4"/>
  <c r="B59" i="4"/>
  <c r="C59" i="4"/>
  <c r="D59" i="4"/>
  <c r="E59" i="4"/>
  <c r="F59" i="4"/>
  <c r="G59" i="4"/>
  <c r="H59" i="4"/>
  <c r="I59" i="4"/>
  <c r="J59" i="4"/>
  <c r="K59" i="4"/>
  <c r="L59" i="4"/>
  <c r="M59" i="4"/>
  <c r="N59" i="4"/>
  <c r="O59" i="4"/>
  <c r="P59" i="4"/>
  <c r="Q59" i="4"/>
  <c r="R59" i="4"/>
  <c r="S59" i="4"/>
  <c r="T59" i="4"/>
  <c r="U59" i="4"/>
  <c r="V59" i="4"/>
  <c r="W59" i="4"/>
  <c r="X59" i="4"/>
  <c r="D56" i="4" s="1"/>
  <c r="F56" i="4" s="1"/>
  <c r="J56" i="4"/>
  <c r="B64" i="4"/>
  <c r="C64" i="4"/>
  <c r="D64" i="4"/>
  <c r="E64" i="4"/>
  <c r="F64" i="4"/>
  <c r="G64" i="4"/>
  <c r="H64" i="4"/>
  <c r="I64" i="4"/>
  <c r="J64" i="4"/>
  <c r="K64" i="4"/>
  <c r="L64" i="4"/>
  <c r="M64" i="4"/>
  <c r="N64" i="4"/>
  <c r="O64" i="4"/>
  <c r="P64" i="4"/>
  <c r="Q64" i="4"/>
  <c r="R64" i="4"/>
  <c r="S64" i="4"/>
  <c r="T64" i="4"/>
  <c r="U64" i="4"/>
  <c r="V64" i="4"/>
  <c r="W64" i="4"/>
  <c r="X64" i="4"/>
  <c r="J61" i="4"/>
  <c r="B70" i="4"/>
  <c r="C70" i="4"/>
  <c r="D70" i="4"/>
  <c r="E70" i="4"/>
  <c r="F70" i="4"/>
  <c r="G70" i="4"/>
  <c r="H70" i="4"/>
  <c r="I70" i="4"/>
  <c r="J70" i="4"/>
  <c r="K70" i="4"/>
  <c r="L70" i="4"/>
  <c r="M70" i="4"/>
  <c r="N70" i="4"/>
  <c r="O70" i="4"/>
  <c r="P70" i="4"/>
  <c r="Q70" i="4"/>
  <c r="R70" i="4"/>
  <c r="S70" i="4"/>
  <c r="T70" i="4"/>
  <c r="U70" i="4"/>
  <c r="V70" i="4"/>
  <c r="W70" i="4"/>
  <c r="X70" i="4"/>
  <c r="J67" i="4"/>
  <c r="B75" i="4"/>
  <c r="C75" i="4"/>
  <c r="D75" i="4"/>
  <c r="E75" i="4"/>
  <c r="F75" i="4"/>
  <c r="G75" i="4"/>
  <c r="H75" i="4"/>
  <c r="I75" i="4"/>
  <c r="J75" i="4"/>
  <c r="K75" i="4"/>
  <c r="L75" i="4"/>
  <c r="M75" i="4"/>
  <c r="N75" i="4"/>
  <c r="O75" i="4"/>
  <c r="D72" i="4" s="1"/>
  <c r="F72" i="4" s="1"/>
  <c r="P75" i="4"/>
  <c r="Q75" i="4"/>
  <c r="R75" i="4"/>
  <c r="S75" i="4"/>
  <c r="T75" i="4"/>
  <c r="U75" i="4"/>
  <c r="V75" i="4"/>
  <c r="W75" i="4"/>
  <c r="X75" i="4"/>
  <c r="J72" i="4"/>
  <c r="B80" i="4"/>
  <c r="C80" i="4"/>
  <c r="D80" i="4"/>
  <c r="E80" i="4"/>
  <c r="F80" i="4"/>
  <c r="G80" i="4"/>
  <c r="H80" i="4"/>
  <c r="I80" i="4"/>
  <c r="J80" i="4"/>
  <c r="K80" i="4"/>
  <c r="L80" i="4"/>
  <c r="M80" i="4"/>
  <c r="N80" i="4"/>
  <c r="O80" i="4"/>
  <c r="P80" i="4"/>
  <c r="Q80" i="4"/>
  <c r="R80" i="4"/>
  <c r="S80" i="4"/>
  <c r="T80" i="4"/>
  <c r="U80" i="4"/>
  <c r="V80" i="4"/>
  <c r="W80" i="4"/>
  <c r="D77" i="4" s="1"/>
  <c r="F77" i="4" s="1"/>
  <c r="X80" i="4"/>
  <c r="J77" i="4"/>
  <c r="C84" i="4"/>
  <c r="B84" i="4"/>
  <c r="B85" i="4" s="1"/>
  <c r="D84" i="4"/>
  <c r="E84" i="4"/>
  <c r="F84" i="4"/>
  <c r="E85" i="4" s="1"/>
  <c r="G84" i="4"/>
  <c r="F85" i="4" s="1"/>
  <c r="H84" i="4"/>
  <c r="H85" i="4" s="1"/>
  <c r="I84" i="4"/>
  <c r="J84" i="4"/>
  <c r="K84" i="4"/>
  <c r="L84" i="4"/>
  <c r="L85" i="4" s="1"/>
  <c r="M84" i="4"/>
  <c r="N84" i="4"/>
  <c r="M85" i="4" s="1"/>
  <c r="O84" i="4"/>
  <c r="P84" i="4"/>
  <c r="Q84" i="4"/>
  <c r="P85" i="4" s="1"/>
  <c r="R84" i="4"/>
  <c r="S84" i="4"/>
  <c r="S85" i="4" s="1"/>
  <c r="T84" i="4"/>
  <c r="U84" i="4"/>
  <c r="V84" i="4"/>
  <c r="W84" i="4"/>
  <c r="V85" i="4" s="1"/>
  <c r="X84" i="4"/>
  <c r="W85" i="4" s="1"/>
  <c r="H82" i="4"/>
  <c r="L82" i="4"/>
  <c r="C89" i="4"/>
  <c r="B89" i="4"/>
  <c r="D89" i="4"/>
  <c r="D90" i="4" s="1"/>
  <c r="E89" i="4"/>
  <c r="F89" i="4"/>
  <c r="G89" i="4"/>
  <c r="F90" i="4" s="1"/>
  <c r="H89" i="4"/>
  <c r="I89" i="4"/>
  <c r="J89" i="4"/>
  <c r="J90" i="4" s="1"/>
  <c r="K89" i="4"/>
  <c r="L89" i="4"/>
  <c r="M89" i="4"/>
  <c r="N89" i="4"/>
  <c r="O89" i="4"/>
  <c r="O90" i="4" s="1"/>
  <c r="P89" i="4"/>
  <c r="Q89" i="4"/>
  <c r="R89" i="4"/>
  <c r="S89" i="4"/>
  <c r="R90" i="4" s="1"/>
  <c r="T89" i="4"/>
  <c r="U89" i="4"/>
  <c r="U90" i="4" s="1"/>
  <c r="V89" i="4"/>
  <c r="V90" i="4" s="1"/>
  <c r="W89" i="4"/>
  <c r="X89" i="4"/>
  <c r="X90" i="4" s="1"/>
  <c r="H87" i="4"/>
  <c r="L87" i="4"/>
  <c r="B111" i="4"/>
  <c r="C111" i="4"/>
  <c r="D111" i="4"/>
  <c r="E111" i="4"/>
  <c r="F111" i="4"/>
  <c r="G111" i="4"/>
  <c r="H111" i="4"/>
  <c r="I111" i="4"/>
  <c r="J111" i="4"/>
  <c r="K111" i="4"/>
  <c r="L111" i="4"/>
  <c r="M111" i="4"/>
  <c r="N111" i="4"/>
  <c r="O111" i="4"/>
  <c r="P111" i="4"/>
  <c r="Q111" i="4"/>
  <c r="R111" i="4"/>
  <c r="T110" i="4"/>
  <c r="S111" i="4" s="1"/>
  <c r="J108" i="4"/>
  <c r="B121" i="4"/>
  <c r="C121" i="4"/>
  <c r="D121" i="4"/>
  <c r="E121" i="4"/>
  <c r="F121" i="4"/>
  <c r="G121" i="4"/>
  <c r="H121" i="4"/>
  <c r="I121" i="4"/>
  <c r="J121" i="4"/>
  <c r="K121" i="4"/>
  <c r="L121" i="4"/>
  <c r="M121" i="4"/>
  <c r="N121" i="4"/>
  <c r="O121" i="4"/>
  <c r="P121" i="4"/>
  <c r="Q121" i="4"/>
  <c r="R121" i="4"/>
  <c r="T120" i="4"/>
  <c r="S121" i="4" s="1"/>
  <c r="J118" i="4"/>
  <c r="B141" i="4"/>
  <c r="D138" i="4" s="1"/>
  <c r="F138" i="4" s="1"/>
  <c r="C141" i="4"/>
  <c r="D141" i="4"/>
  <c r="E141" i="4"/>
  <c r="F141" i="4"/>
  <c r="G141" i="4"/>
  <c r="H141" i="4"/>
  <c r="I141" i="4"/>
  <c r="J141" i="4"/>
  <c r="K141" i="4"/>
  <c r="L141" i="4"/>
  <c r="M141" i="4"/>
  <c r="N141" i="4"/>
  <c r="O141" i="4"/>
  <c r="P141" i="4"/>
  <c r="Q141" i="4"/>
  <c r="R141" i="4"/>
  <c r="S141" i="4"/>
  <c r="T141" i="4"/>
  <c r="U141" i="4"/>
  <c r="V141" i="4"/>
  <c r="W141" i="4"/>
  <c r="X141" i="4"/>
  <c r="J138" i="4"/>
  <c r="B146" i="4"/>
  <c r="C146" i="4"/>
  <c r="D146" i="4"/>
  <c r="E146" i="4"/>
  <c r="F146" i="4"/>
  <c r="G146" i="4"/>
  <c r="H146" i="4"/>
  <c r="I146" i="4"/>
  <c r="J146" i="4"/>
  <c r="K146" i="4"/>
  <c r="L146" i="4"/>
  <c r="M146" i="4"/>
  <c r="N146" i="4"/>
  <c r="O146" i="4"/>
  <c r="P146" i="4"/>
  <c r="Q146" i="4"/>
  <c r="R146" i="4"/>
  <c r="S146" i="4"/>
  <c r="T146" i="4"/>
  <c r="U146" i="4"/>
  <c r="V146" i="4"/>
  <c r="W146" i="4"/>
  <c r="X146" i="4"/>
  <c r="J143" i="4"/>
  <c r="B156" i="4"/>
  <c r="C156" i="4"/>
  <c r="D156" i="4"/>
  <c r="E156" i="4"/>
  <c r="F156" i="4"/>
  <c r="G156" i="4"/>
  <c r="H156" i="4"/>
  <c r="I156" i="4"/>
  <c r="D153" i="4" s="1"/>
  <c r="F153" i="4" s="1"/>
  <c r="J156" i="4"/>
  <c r="K156" i="4"/>
  <c r="L156" i="4"/>
  <c r="M156" i="4"/>
  <c r="N156" i="4"/>
  <c r="O156" i="4"/>
  <c r="P156" i="4"/>
  <c r="Q156" i="4"/>
  <c r="R156" i="4"/>
  <c r="S156" i="4"/>
  <c r="T156" i="4"/>
  <c r="U156" i="4"/>
  <c r="V156" i="4"/>
  <c r="W156" i="4"/>
  <c r="X156" i="4"/>
  <c r="J153" i="4"/>
  <c r="B161" i="4"/>
  <c r="C161" i="4"/>
  <c r="D161" i="4"/>
  <c r="E161" i="4"/>
  <c r="F161" i="4"/>
  <c r="G161" i="4"/>
  <c r="H161" i="4"/>
  <c r="I161" i="4"/>
  <c r="J161" i="4"/>
  <c r="K161" i="4"/>
  <c r="L161" i="4"/>
  <c r="M161" i="4"/>
  <c r="N161" i="4"/>
  <c r="O161" i="4"/>
  <c r="P161" i="4"/>
  <c r="Q161" i="4"/>
  <c r="R161" i="4"/>
  <c r="S161" i="4"/>
  <c r="T161" i="4"/>
  <c r="U161" i="4"/>
  <c r="V161" i="4"/>
  <c r="W161" i="4"/>
  <c r="X161" i="4"/>
  <c r="J158" i="4"/>
  <c r="B171" i="4"/>
  <c r="C171" i="4"/>
  <c r="D171" i="4"/>
  <c r="E171" i="4"/>
  <c r="F171" i="4"/>
  <c r="G171" i="4"/>
  <c r="H171" i="4"/>
  <c r="I171" i="4"/>
  <c r="J171" i="4"/>
  <c r="K171" i="4"/>
  <c r="L171" i="4"/>
  <c r="M171" i="4"/>
  <c r="N171" i="4"/>
  <c r="O171" i="4"/>
  <c r="P171" i="4"/>
  <c r="Q171" i="4"/>
  <c r="R171" i="4"/>
  <c r="S171" i="4"/>
  <c r="T171" i="4"/>
  <c r="U171" i="4"/>
  <c r="V171" i="4"/>
  <c r="W171" i="4"/>
  <c r="X171" i="4"/>
  <c r="J168" i="4"/>
  <c r="B176" i="4"/>
  <c r="C176" i="4"/>
  <c r="D176" i="4"/>
  <c r="E176" i="4"/>
  <c r="F176" i="4"/>
  <c r="G176" i="4"/>
  <c r="H176" i="4"/>
  <c r="I176" i="4"/>
  <c r="J176" i="4"/>
  <c r="K176" i="4"/>
  <c r="L176" i="4"/>
  <c r="D173" i="4" s="1"/>
  <c r="F173" i="4" s="1"/>
  <c r="M176" i="4"/>
  <c r="N176" i="4"/>
  <c r="O176" i="4"/>
  <c r="P176" i="4"/>
  <c r="Q176" i="4"/>
  <c r="R176" i="4"/>
  <c r="S176" i="4"/>
  <c r="T176" i="4"/>
  <c r="U176" i="4"/>
  <c r="V176" i="4"/>
  <c r="W176" i="4"/>
  <c r="X176" i="4"/>
  <c r="J173" i="4"/>
  <c r="B181" i="4"/>
  <c r="C181" i="4"/>
  <c r="D181" i="4"/>
  <c r="E181" i="4"/>
  <c r="F181" i="4"/>
  <c r="G181" i="4"/>
  <c r="H181" i="4"/>
  <c r="I181" i="4"/>
  <c r="J181" i="4"/>
  <c r="K181" i="4"/>
  <c r="L181" i="4"/>
  <c r="M181" i="4"/>
  <c r="N181" i="4"/>
  <c r="O181" i="4"/>
  <c r="P181" i="4"/>
  <c r="Q181" i="4"/>
  <c r="R181" i="4"/>
  <c r="S181" i="4"/>
  <c r="T181" i="4"/>
  <c r="U181" i="4"/>
  <c r="V181" i="4"/>
  <c r="W181" i="4"/>
  <c r="X181" i="4"/>
  <c r="J178" i="4"/>
  <c r="B186" i="4"/>
  <c r="D183" i="4" s="1"/>
  <c r="F183" i="4" s="1"/>
  <c r="C186" i="4"/>
  <c r="D186" i="4"/>
  <c r="E186" i="4"/>
  <c r="F186" i="4"/>
  <c r="G186" i="4"/>
  <c r="H186" i="4"/>
  <c r="I186" i="4"/>
  <c r="J186" i="4"/>
  <c r="K186" i="4"/>
  <c r="L186" i="4"/>
  <c r="M186" i="4"/>
  <c r="N186" i="4"/>
  <c r="O186" i="4"/>
  <c r="P186" i="4"/>
  <c r="Q186" i="4"/>
  <c r="R186" i="4"/>
  <c r="S186" i="4"/>
  <c r="T186" i="4"/>
  <c r="U186" i="4"/>
  <c r="V186" i="4"/>
  <c r="W186" i="4"/>
  <c r="X186" i="4"/>
  <c r="J183" i="4"/>
  <c r="B191" i="4"/>
  <c r="C191" i="4"/>
  <c r="D191" i="4"/>
  <c r="E191" i="4"/>
  <c r="F191" i="4"/>
  <c r="G191" i="4"/>
  <c r="H191" i="4"/>
  <c r="I191" i="4"/>
  <c r="J191" i="4"/>
  <c r="K191" i="4"/>
  <c r="L191" i="4"/>
  <c r="M191" i="4"/>
  <c r="N191" i="4"/>
  <c r="O191" i="4"/>
  <c r="P191" i="4"/>
  <c r="Q191" i="4"/>
  <c r="R191" i="4"/>
  <c r="T190" i="4"/>
  <c r="U190" i="4" s="1"/>
  <c r="X189" i="4"/>
  <c r="L188" i="4"/>
  <c r="J188" i="4" s="1"/>
  <c r="B221" i="4"/>
  <c r="C221" i="4"/>
  <c r="D221" i="4"/>
  <c r="E221" i="4"/>
  <c r="F221" i="4"/>
  <c r="G221" i="4"/>
  <c r="H221" i="4"/>
  <c r="I221" i="4"/>
  <c r="J221" i="4"/>
  <c r="K221" i="4"/>
  <c r="L221" i="4"/>
  <c r="M221" i="4"/>
  <c r="N221" i="4"/>
  <c r="O221" i="4"/>
  <c r="P221" i="4"/>
  <c r="Q221" i="4"/>
  <c r="R221" i="4"/>
  <c r="S221" i="4"/>
  <c r="T221" i="4"/>
  <c r="U221" i="4"/>
  <c r="V221" i="4"/>
  <c r="W221" i="4"/>
  <c r="X221" i="4"/>
  <c r="J218" i="4"/>
  <c r="B261" i="4"/>
  <c r="C261" i="4"/>
  <c r="D261" i="4"/>
  <c r="E261" i="4"/>
  <c r="F261" i="4"/>
  <c r="G261" i="4"/>
  <c r="H261" i="4"/>
  <c r="I261" i="4"/>
  <c r="J261" i="4"/>
  <c r="K261" i="4"/>
  <c r="L261" i="4"/>
  <c r="M261" i="4"/>
  <c r="N261" i="4"/>
  <c r="O261" i="4"/>
  <c r="P261" i="4"/>
  <c r="Q261" i="4"/>
  <c r="R261" i="4"/>
  <c r="S261" i="4"/>
  <c r="T261" i="4"/>
  <c r="U261" i="4"/>
  <c r="V261" i="4"/>
  <c r="W261" i="4"/>
  <c r="X261" i="4"/>
  <c r="J258" i="4"/>
  <c r="B266" i="4"/>
  <c r="D263" i="4" s="1"/>
  <c r="F263" i="4" s="1"/>
  <c r="C266" i="4"/>
  <c r="D266" i="4"/>
  <c r="E266" i="4"/>
  <c r="F266" i="4"/>
  <c r="G266" i="4"/>
  <c r="H266" i="4"/>
  <c r="I266" i="4"/>
  <c r="J266" i="4"/>
  <c r="K266" i="4"/>
  <c r="L266" i="4"/>
  <c r="M266" i="4"/>
  <c r="N266" i="4"/>
  <c r="O266" i="4"/>
  <c r="P266" i="4"/>
  <c r="Q266" i="4"/>
  <c r="R266" i="4"/>
  <c r="S266" i="4"/>
  <c r="T266" i="4"/>
  <c r="U266" i="4"/>
  <c r="V266" i="4"/>
  <c r="W266" i="4"/>
  <c r="X266" i="4"/>
  <c r="J263" i="4"/>
  <c r="B272" i="4"/>
  <c r="C272" i="4"/>
  <c r="D272" i="4"/>
  <c r="E272" i="4"/>
  <c r="F272" i="4"/>
  <c r="G272" i="4"/>
  <c r="H272" i="4"/>
  <c r="I272" i="4"/>
  <c r="J272" i="4"/>
  <c r="K272" i="4"/>
  <c r="L272" i="4"/>
  <c r="M272" i="4"/>
  <c r="N272" i="4"/>
  <c r="O272" i="4"/>
  <c r="P272" i="4"/>
  <c r="Q272" i="4"/>
  <c r="R272" i="4"/>
  <c r="S272" i="4"/>
  <c r="T272" i="4"/>
  <c r="U272" i="4"/>
  <c r="V272" i="4"/>
  <c r="W272" i="4"/>
  <c r="X272" i="4"/>
  <c r="J269" i="4"/>
  <c r="B277" i="4"/>
  <c r="C277" i="4"/>
  <c r="D277" i="4"/>
  <c r="E277" i="4"/>
  <c r="F277" i="4"/>
  <c r="G277" i="4"/>
  <c r="H277" i="4"/>
  <c r="I277" i="4"/>
  <c r="J277" i="4"/>
  <c r="K277" i="4"/>
  <c r="L277" i="4"/>
  <c r="M277" i="4"/>
  <c r="N277" i="4"/>
  <c r="O277" i="4"/>
  <c r="P277" i="4"/>
  <c r="Q277" i="4"/>
  <c r="R277" i="4"/>
  <c r="S277" i="4"/>
  <c r="T277" i="4"/>
  <c r="U277" i="4"/>
  <c r="V277" i="4"/>
  <c r="W277" i="4"/>
  <c r="X277" i="4"/>
  <c r="J274" i="4"/>
  <c r="B282" i="4"/>
  <c r="C282" i="4"/>
  <c r="D282" i="4"/>
  <c r="E282" i="4"/>
  <c r="F282" i="4"/>
  <c r="G282" i="4"/>
  <c r="H282" i="4"/>
  <c r="I282" i="4"/>
  <c r="J282" i="4"/>
  <c r="K282" i="4"/>
  <c r="L282" i="4"/>
  <c r="M282" i="4"/>
  <c r="N282" i="4"/>
  <c r="O282" i="4"/>
  <c r="P282" i="4"/>
  <c r="Q282" i="4"/>
  <c r="R282" i="4"/>
  <c r="S282" i="4"/>
  <c r="T282" i="4"/>
  <c r="U282" i="4"/>
  <c r="V282" i="4"/>
  <c r="W282" i="4"/>
  <c r="X282" i="4"/>
  <c r="J279" i="4"/>
  <c r="B287" i="4"/>
  <c r="C287" i="4"/>
  <c r="D287" i="4"/>
  <c r="E287" i="4"/>
  <c r="F287" i="4"/>
  <c r="G287" i="4"/>
  <c r="H287" i="4"/>
  <c r="I287" i="4"/>
  <c r="J287" i="4"/>
  <c r="K287" i="4"/>
  <c r="L287" i="4"/>
  <c r="M287" i="4"/>
  <c r="N287" i="4"/>
  <c r="O287" i="4"/>
  <c r="P287" i="4"/>
  <c r="Q287" i="4"/>
  <c r="R287" i="4"/>
  <c r="S287" i="4"/>
  <c r="T287" i="4"/>
  <c r="U287" i="4"/>
  <c r="V287" i="4"/>
  <c r="W287" i="4"/>
  <c r="X287" i="4"/>
  <c r="J284" i="4"/>
  <c r="B292" i="4"/>
  <c r="C292" i="4"/>
  <c r="D292" i="4"/>
  <c r="E292" i="4"/>
  <c r="F292" i="4"/>
  <c r="G292" i="4"/>
  <c r="H292" i="4"/>
  <c r="I292" i="4"/>
  <c r="J292" i="4"/>
  <c r="K292" i="4"/>
  <c r="L292" i="4"/>
  <c r="M292" i="4"/>
  <c r="N292" i="4"/>
  <c r="O292" i="4"/>
  <c r="P292" i="4"/>
  <c r="Q292" i="4"/>
  <c r="R292" i="4"/>
  <c r="S292" i="4"/>
  <c r="T292" i="4"/>
  <c r="U292" i="4"/>
  <c r="V292" i="4"/>
  <c r="W292" i="4"/>
  <c r="X292" i="4"/>
  <c r="J289" i="4"/>
  <c r="B297" i="4"/>
  <c r="C297" i="4"/>
  <c r="D297" i="4"/>
  <c r="E297" i="4"/>
  <c r="F297" i="4"/>
  <c r="G297" i="4"/>
  <c r="H297" i="4"/>
  <c r="I297" i="4"/>
  <c r="J297" i="4"/>
  <c r="K297" i="4"/>
  <c r="L297" i="4"/>
  <c r="M297" i="4"/>
  <c r="N297" i="4"/>
  <c r="O297" i="4"/>
  <c r="P297" i="4"/>
  <c r="Q297" i="4"/>
  <c r="R297" i="4"/>
  <c r="S297" i="4"/>
  <c r="T297" i="4"/>
  <c r="U297" i="4"/>
  <c r="V297" i="4"/>
  <c r="W297" i="4"/>
  <c r="X297" i="4"/>
  <c r="J294" i="4"/>
  <c r="B302" i="4"/>
  <c r="C302" i="4"/>
  <c r="D302" i="4"/>
  <c r="E302" i="4"/>
  <c r="F302" i="4"/>
  <c r="G302" i="4"/>
  <c r="H302" i="4"/>
  <c r="I302" i="4"/>
  <c r="J302" i="4"/>
  <c r="K302" i="4"/>
  <c r="L302" i="4"/>
  <c r="M302" i="4"/>
  <c r="N302" i="4"/>
  <c r="O302" i="4"/>
  <c r="P302" i="4"/>
  <c r="Q302" i="4"/>
  <c r="R302" i="4"/>
  <c r="S302" i="4"/>
  <c r="T302" i="4"/>
  <c r="U302" i="4"/>
  <c r="V302" i="4"/>
  <c r="W302" i="4"/>
  <c r="X302" i="4"/>
  <c r="J299" i="4"/>
  <c r="B312" i="4"/>
  <c r="C312" i="4"/>
  <c r="D312" i="4"/>
  <c r="E312" i="4"/>
  <c r="F312" i="4"/>
  <c r="G312" i="4"/>
  <c r="H312" i="4"/>
  <c r="I312" i="4"/>
  <c r="J312" i="4"/>
  <c r="K312" i="4"/>
  <c r="L312" i="4"/>
  <c r="M312" i="4"/>
  <c r="N312" i="4"/>
  <c r="O312" i="4"/>
  <c r="P312" i="4"/>
  <c r="Q312" i="4"/>
  <c r="R312" i="4"/>
  <c r="S312" i="4"/>
  <c r="T312" i="4"/>
  <c r="U312" i="4"/>
  <c r="V312" i="4"/>
  <c r="W312" i="4"/>
  <c r="X312" i="4"/>
  <c r="J309" i="4"/>
  <c r="A316" i="4"/>
  <c r="B26" i="4"/>
  <c r="N26" i="4"/>
  <c r="B31" i="4"/>
  <c r="N31" i="4"/>
  <c r="B36" i="4"/>
  <c r="N36" i="4"/>
  <c r="B41" i="4"/>
  <c r="N41" i="4"/>
  <c r="B46" i="4"/>
  <c r="N46" i="4"/>
  <c r="B51" i="4"/>
  <c r="N51" i="4"/>
  <c r="B56" i="4"/>
  <c r="N56" i="4"/>
  <c r="B61" i="4"/>
  <c r="N61" i="4"/>
  <c r="B67" i="4"/>
  <c r="B72" i="4"/>
  <c r="B77" i="4"/>
  <c r="B82" i="4"/>
  <c r="B87" i="4"/>
  <c r="B108" i="4"/>
  <c r="B118" i="4"/>
  <c r="B138" i="4"/>
  <c r="B143" i="4"/>
  <c r="B153" i="4"/>
  <c r="B158" i="4"/>
  <c r="B163" i="4"/>
  <c r="B168" i="4"/>
  <c r="B173" i="4"/>
  <c r="B178" i="4"/>
  <c r="B183" i="4"/>
  <c r="B188" i="4"/>
  <c r="B218" i="4"/>
  <c r="B258" i="4"/>
  <c r="B263" i="4"/>
  <c r="B269" i="4"/>
  <c r="B274" i="4"/>
  <c r="B279" i="4"/>
  <c r="B284" i="4"/>
  <c r="B289" i="4"/>
  <c r="B294" i="4"/>
  <c r="B299" i="4"/>
  <c r="B309" i="4"/>
  <c r="E116" i="7"/>
  <c r="F85" i="7"/>
  <c r="H118" i="7"/>
  <c r="H111" i="7"/>
  <c r="E102" i="7"/>
  <c r="E103" i="7"/>
  <c r="E104" i="7"/>
  <c r="E100" i="7"/>
  <c r="H105" i="7"/>
  <c r="J105" i="7"/>
  <c r="J101" i="7"/>
  <c r="J97" i="7"/>
  <c r="F97" i="7"/>
  <c r="J92" i="7"/>
  <c r="J88" i="7"/>
  <c r="J86" i="7"/>
  <c r="J84" i="7"/>
  <c r="F90" i="7"/>
  <c r="F82" i="7"/>
  <c r="D85" i="7"/>
  <c r="D83" i="7"/>
  <c r="D81" i="7"/>
  <c r="D80" i="7"/>
  <c r="B20" i="6"/>
  <c r="F321" i="4"/>
  <c r="F320" i="4"/>
  <c r="C21" i="5"/>
  <c r="C20" i="5"/>
  <c r="C26" i="5"/>
  <c r="C22" i="5"/>
  <c r="C17" i="5"/>
  <c r="C19" i="5"/>
  <c r="C16" i="5"/>
  <c r="C15" i="5"/>
  <c r="L2" i="6"/>
  <c r="C317" i="4"/>
  <c r="F317" i="4"/>
  <c r="C318" i="4"/>
  <c r="F318" i="4"/>
  <c r="C319" i="4"/>
  <c r="F319" i="4"/>
  <c r="C320" i="4"/>
  <c r="C321" i="4"/>
  <c r="C322" i="4"/>
  <c r="C323" i="4"/>
  <c r="C324" i="4"/>
  <c r="B146" i="2"/>
  <c r="B37" i="1"/>
  <c r="B37" i="6"/>
  <c r="B16" i="8"/>
  <c r="B76" i="2"/>
  <c r="B12" i="8"/>
  <c r="B108" i="1"/>
  <c r="F42" i="5"/>
  <c r="B73" i="8"/>
  <c r="B80" i="8"/>
  <c r="C5" i="8"/>
  <c r="B78" i="8"/>
  <c r="B76" i="8"/>
  <c r="B75" i="8"/>
  <c r="B11" i="8"/>
  <c r="C4" i="8"/>
  <c r="C17" i="8"/>
  <c r="C15" i="8"/>
  <c r="C13" i="8"/>
  <c r="B13" i="8"/>
  <c r="C9" i="8"/>
  <c r="C8" i="8"/>
  <c r="B8" i="8"/>
  <c r="C7" i="8"/>
  <c r="N37" i="6"/>
  <c r="C53" i="5"/>
  <c r="C55" i="5"/>
  <c r="T18" i="6"/>
  <c r="S17" i="6"/>
  <c r="S19" i="6"/>
  <c r="S18" i="6"/>
  <c r="S13" i="6"/>
  <c r="S14" i="6"/>
  <c r="S12" i="6"/>
  <c r="T16" i="6"/>
  <c r="T11" i="6"/>
  <c r="L39" i="6"/>
  <c r="B94" i="1"/>
  <c r="B79" i="2"/>
  <c r="H64" i="7"/>
  <c r="H63" i="7" s="1"/>
  <c r="E59" i="7"/>
  <c r="E55" i="7"/>
  <c r="H52" i="7"/>
  <c r="E45" i="7"/>
  <c r="D45" i="7"/>
  <c r="E44" i="7"/>
  <c r="D44" i="7"/>
  <c r="E46" i="7"/>
  <c r="D46" i="7"/>
  <c r="E43" i="7"/>
  <c r="D43" i="7"/>
  <c r="E41" i="7"/>
  <c r="E50" i="7"/>
  <c r="E48" i="7"/>
  <c r="E47" i="7"/>
  <c r="H50" i="7"/>
  <c r="E51" i="7"/>
  <c r="C31" i="7"/>
  <c r="C5" i="5"/>
  <c r="C6" i="5"/>
  <c r="C7" i="5"/>
  <c r="C8" i="5"/>
  <c r="C10" i="5"/>
  <c r="C11" i="5"/>
  <c r="C12" i="5"/>
  <c r="C13" i="5"/>
  <c r="C23" i="5"/>
  <c r="C25" i="5"/>
  <c r="C28" i="5"/>
  <c r="C33" i="5"/>
  <c r="F34" i="5"/>
  <c r="F35" i="5"/>
  <c r="F36" i="5"/>
  <c r="F37" i="5"/>
  <c r="F38" i="5"/>
  <c r="F39" i="5"/>
  <c r="F40" i="5"/>
  <c r="C54" i="5"/>
  <c r="A1" i="4"/>
  <c r="A3" i="4"/>
  <c r="A4" i="4"/>
  <c r="B77" i="2"/>
  <c r="B78" i="2"/>
  <c r="B131" i="2"/>
  <c r="B133" i="2"/>
  <c r="B134" i="2"/>
  <c r="B135" i="2"/>
  <c r="B137" i="2"/>
  <c r="B138" i="2"/>
  <c r="B140" i="2"/>
  <c r="B141" i="2"/>
  <c r="B144" i="2"/>
  <c r="C4" i="1"/>
  <c r="C6" i="1"/>
  <c r="C7" i="1"/>
  <c r="C24" i="1" s="1"/>
  <c r="B8" i="1"/>
  <c r="C8" i="1"/>
  <c r="C9" i="1"/>
  <c r="B11" i="1"/>
  <c r="B12" i="1"/>
  <c r="C12" i="1"/>
  <c r="C14" i="1"/>
  <c r="C18" i="1"/>
  <c r="B19" i="1"/>
  <c r="B20" i="1"/>
  <c r="C23" i="1"/>
  <c r="G23" i="1"/>
  <c r="H23" i="1"/>
  <c r="J23" i="1"/>
  <c r="K23" i="1"/>
  <c r="F24" i="1"/>
  <c r="B25" i="1"/>
  <c r="F25" i="1"/>
  <c r="B27" i="1"/>
  <c r="F26" i="1"/>
  <c r="H26" i="1"/>
  <c r="F28" i="1"/>
  <c r="B31" i="1"/>
  <c r="F29" i="1"/>
  <c r="B32" i="1"/>
  <c r="B33" i="1"/>
  <c r="H33" i="1"/>
  <c r="B34" i="1"/>
  <c r="F34" i="1"/>
  <c r="B35" i="1"/>
  <c r="F35" i="1"/>
  <c r="F36" i="1"/>
  <c r="A40" i="1"/>
  <c r="F40" i="1"/>
  <c r="H40" i="1"/>
  <c r="J40" i="1"/>
  <c r="K40" i="1"/>
  <c r="F42" i="1"/>
  <c r="M42" i="1"/>
  <c r="F43" i="1"/>
  <c r="F44" i="1"/>
  <c r="F45" i="1"/>
  <c r="F47" i="1"/>
  <c r="F48" i="1"/>
  <c r="F49" i="1"/>
  <c r="L49" i="1"/>
  <c r="F50" i="1"/>
  <c r="H50" i="1"/>
  <c r="F51" i="1"/>
  <c r="I51" i="1"/>
  <c r="L51" i="1"/>
  <c r="M51" i="1"/>
  <c r="B103" i="1"/>
  <c r="B110" i="1"/>
  <c r="B111" i="1"/>
  <c r="B112" i="1"/>
  <c r="B113" i="1"/>
  <c r="B114" i="1"/>
  <c r="B118" i="1"/>
  <c r="C143" i="1"/>
  <c r="C145" i="1"/>
  <c r="C147" i="1"/>
  <c r="B149" i="1"/>
  <c r="C4" i="6"/>
  <c r="C6" i="6"/>
  <c r="L6" i="6"/>
  <c r="C7" i="6"/>
  <c r="L7" i="6"/>
  <c r="B8" i="6"/>
  <c r="L8" i="6"/>
  <c r="L9" i="6"/>
  <c r="B12" i="6"/>
  <c r="M11" i="6"/>
  <c r="N11" i="6"/>
  <c r="P11" i="6"/>
  <c r="B13" i="6"/>
  <c r="L12" i="6"/>
  <c r="B14" i="6"/>
  <c r="L13" i="6"/>
  <c r="B15" i="6"/>
  <c r="L14" i="6"/>
  <c r="L15" i="6"/>
  <c r="C17" i="6"/>
  <c r="B19" i="6"/>
  <c r="L18" i="6"/>
  <c r="L19" i="6"/>
  <c r="C21" i="6"/>
  <c r="L20" i="6"/>
  <c r="B22" i="6"/>
  <c r="L21" i="6"/>
  <c r="B23" i="6"/>
  <c r="L22" i="6"/>
  <c r="B24" i="6"/>
  <c r="D26" i="6"/>
  <c r="F26" i="6"/>
  <c r="H26" i="6"/>
  <c r="E27" i="6"/>
  <c r="F28" i="6"/>
  <c r="F29" i="6"/>
  <c r="F30" i="6"/>
  <c r="E31" i="6"/>
  <c r="E32" i="6"/>
  <c r="D36" i="6"/>
  <c r="B92" i="6"/>
  <c r="B97" i="6"/>
  <c r="B103" i="6"/>
  <c r="B104" i="6"/>
  <c r="B105" i="6"/>
  <c r="B107" i="6"/>
  <c r="B108" i="6"/>
  <c r="B109" i="6"/>
  <c r="B114" i="6"/>
  <c r="B115" i="6"/>
  <c r="B117" i="6"/>
  <c r="B118" i="6"/>
  <c r="B119" i="6"/>
  <c r="B121" i="6"/>
  <c r="C124" i="6"/>
  <c r="E124" i="6"/>
  <c r="C125" i="6"/>
  <c r="C126" i="6" s="1"/>
  <c r="C127" i="6" s="1"/>
  <c r="C128" i="6" s="1"/>
  <c r="C129" i="6" s="1"/>
  <c r="D125" i="6"/>
  <c r="E125" i="6" s="1"/>
  <c r="C130" i="6"/>
  <c r="C131" i="6"/>
  <c r="E131" i="6"/>
  <c r="B137" i="6"/>
  <c r="B140" i="6"/>
  <c r="B143" i="6"/>
  <c r="B146" i="6"/>
  <c r="B155" i="6"/>
  <c r="E175" i="6"/>
  <c r="C176" i="6"/>
  <c r="F176" i="6"/>
  <c r="G176" i="6"/>
  <c r="H176" i="6"/>
  <c r="C177" i="6"/>
  <c r="F177" i="6"/>
  <c r="G177" i="6"/>
  <c r="D177" i="6" s="1"/>
  <c r="E177" i="6" s="1"/>
  <c r="H177" i="6"/>
  <c r="C178" i="6"/>
  <c r="F178" i="6"/>
  <c r="G178" i="6"/>
  <c r="H178" i="6"/>
  <c r="C179" i="6"/>
  <c r="F179" i="6"/>
  <c r="G179" i="6"/>
  <c r="D179" i="6" s="1"/>
  <c r="E179" i="6" s="1"/>
  <c r="H179" i="6"/>
  <c r="C180" i="6"/>
  <c r="D180" i="6"/>
  <c r="E180" i="6" s="1"/>
  <c r="F180" i="6"/>
  <c r="G180" i="6"/>
  <c r="H180" i="6"/>
  <c r="U120" i="4"/>
  <c r="T121" i="4" s="1"/>
  <c r="U85" i="4"/>
  <c r="O85" i="4"/>
  <c r="R216" i="4"/>
  <c r="V115" i="4"/>
  <c r="J87" i="4"/>
  <c r="S90" i="4"/>
  <c r="Q90" i="4"/>
  <c r="K90" i="4"/>
  <c r="I90" i="4"/>
  <c r="G90" i="4"/>
  <c r="T214" i="4"/>
  <c r="U214" i="4" s="1"/>
  <c r="V214" i="4" s="1"/>
  <c r="W214" i="4" s="1"/>
  <c r="D269" i="4"/>
  <c r="F269" i="4" s="1"/>
  <c r="X85" i="4"/>
  <c r="T85" i="4"/>
  <c r="R85" i="4"/>
  <c r="J85" i="4"/>
  <c r="D85" i="4"/>
  <c r="L90" i="4"/>
  <c r="D36" i="4"/>
  <c r="F36" i="4" s="1"/>
  <c r="D31" i="4"/>
  <c r="F31" i="4" s="1"/>
  <c r="U165" i="4"/>
  <c r="T166" i="4" s="1"/>
  <c r="R201" i="4"/>
  <c r="K196" i="4"/>
  <c r="T211" i="4"/>
  <c r="S226" i="4"/>
  <c r="S251" i="4"/>
  <c r="L246" i="4"/>
  <c r="K246" i="4"/>
  <c r="R251" i="4"/>
  <c r="U116" i="4"/>
  <c r="W115" i="4"/>
  <c r="X115" i="4" s="1"/>
  <c r="V116" i="4"/>
  <c r="U211" i="4"/>
  <c r="M246" i="4"/>
  <c r="V250" i="4"/>
  <c r="T251" i="4"/>
  <c r="V211" i="4"/>
  <c r="N246" i="4"/>
  <c r="X245" i="4"/>
  <c r="W211" i="4"/>
  <c r="X211" i="4"/>
  <c r="O246" i="4"/>
  <c r="P246" i="4"/>
  <c r="Q246" i="4"/>
  <c r="R246" i="4"/>
  <c r="S246" i="4"/>
  <c r="T246" i="4"/>
  <c r="U246" i="4"/>
  <c r="X244" i="4"/>
  <c r="V246" i="4"/>
  <c r="W130" i="4"/>
  <c r="V131" i="4" s="1"/>
  <c r="U125" i="4"/>
  <c r="V125" i="4" s="1"/>
  <c r="R241" i="4"/>
  <c r="C133" i="6"/>
  <c r="D161" i="6"/>
  <c r="E161" i="6" s="1"/>
  <c r="D158" i="6"/>
  <c r="E158" i="6" s="1"/>
  <c r="D162" i="6"/>
  <c r="E162" i="6" s="1"/>
  <c r="D160" i="6"/>
  <c r="E160" i="6" s="1"/>
  <c r="D159" i="6"/>
  <c r="E159" i="6" s="1"/>
  <c r="S206" i="4"/>
  <c r="R206" i="4"/>
  <c r="T206" i="4"/>
  <c r="U206" i="4"/>
  <c r="X205" i="4"/>
  <c r="W206" i="4" s="1"/>
  <c r="V206" i="4"/>
  <c r="X100" i="4"/>
  <c r="L105" i="4"/>
  <c r="C105" i="4"/>
  <c r="K105" i="4"/>
  <c r="O105" i="4"/>
  <c r="S100" i="4"/>
  <c r="U100" i="4"/>
  <c r="H100" i="4"/>
  <c r="Q100" i="4"/>
  <c r="Q105" i="4"/>
  <c r="D176" i="6" l="1"/>
  <c r="E176" i="6" s="1"/>
  <c r="I38" i="7"/>
  <c r="B81" i="8"/>
  <c r="L4" i="3"/>
  <c r="H4" i="3"/>
  <c r="E8" i="7"/>
  <c r="C198" i="6"/>
  <c r="C197" i="6"/>
  <c r="B197" i="6" s="1"/>
  <c r="C182" i="6"/>
  <c r="E188" i="6"/>
  <c r="B189" i="6"/>
  <c r="C184" i="6"/>
  <c r="E192" i="6"/>
  <c r="D284" i="4"/>
  <c r="F284" i="4" s="1"/>
  <c r="N194" i="4"/>
  <c r="L196" i="4"/>
  <c r="C90" i="4"/>
  <c r="D67" i="4"/>
  <c r="F67" i="4" s="1"/>
  <c r="D46" i="4"/>
  <c r="F46" i="4" s="1"/>
  <c r="W90" i="4"/>
  <c r="D168" i="4"/>
  <c r="F168" i="4" s="1"/>
  <c r="J82" i="4"/>
  <c r="J105" i="4"/>
  <c r="N90" i="4"/>
  <c r="H69" i="7"/>
  <c r="G100" i="4"/>
  <c r="X246" i="4"/>
  <c r="S191" i="4"/>
  <c r="U251" i="4"/>
  <c r="V120" i="4"/>
  <c r="W120" i="4" s="1"/>
  <c r="X120" i="4" s="1"/>
  <c r="G85" i="4"/>
  <c r="T90" i="4"/>
  <c r="C136" i="6"/>
  <c r="V165" i="4"/>
  <c r="U166" i="4" s="1"/>
  <c r="D143" i="4"/>
  <c r="F143" i="4" s="1"/>
  <c r="Q85" i="4"/>
  <c r="T234" i="4"/>
  <c r="U234" i="4" s="1"/>
  <c r="V234" i="4" s="1"/>
  <c r="W234" i="4" s="1"/>
  <c r="L100" i="4"/>
  <c r="P105" i="4"/>
  <c r="R105" i="4"/>
  <c r="N85" i="4"/>
  <c r="S105" i="4"/>
  <c r="D274" i="4"/>
  <c r="F274" i="4" s="1"/>
  <c r="D218" i="4"/>
  <c r="F218" i="4" s="1"/>
  <c r="M20" i="6"/>
  <c r="K85" i="4"/>
  <c r="X105" i="4"/>
  <c r="B79" i="8"/>
  <c r="C148" i="6"/>
  <c r="D178" i="4"/>
  <c r="F178" i="4" s="1"/>
  <c r="P90" i="4"/>
  <c r="I85" i="4"/>
  <c r="T126" i="4"/>
  <c r="V100" i="4"/>
  <c r="D279" i="4"/>
  <c r="F279" i="4" s="1"/>
  <c r="D258" i="4"/>
  <c r="F258" i="4" s="1"/>
  <c r="M90" i="4"/>
  <c r="D61" i="4"/>
  <c r="F61" i="4" s="1"/>
  <c r="D41" i="4"/>
  <c r="F41" i="4" s="1"/>
  <c r="D158" i="4"/>
  <c r="F158" i="4" s="1"/>
  <c r="H90" i="4"/>
  <c r="B105" i="4"/>
  <c r="U256" i="4"/>
  <c r="E90" i="4"/>
  <c r="B100" i="4"/>
  <c r="D26" i="4"/>
  <c r="F26" i="4" s="1"/>
  <c r="E185" i="6"/>
  <c r="W116" i="4"/>
  <c r="X116" i="4"/>
  <c r="U239" i="4"/>
  <c r="V239" i="4" s="1"/>
  <c r="W239" i="4" s="1"/>
  <c r="X239" i="4" s="1"/>
  <c r="S241" i="4"/>
  <c r="U126" i="4"/>
  <c r="W125" i="4"/>
  <c r="S216" i="4"/>
  <c r="U215" i="4"/>
  <c r="T216" i="4" s="1"/>
  <c r="D309" i="4"/>
  <c r="F309" i="4" s="1"/>
  <c r="D299" i="4"/>
  <c r="F299" i="4" s="1"/>
  <c r="D294" i="4"/>
  <c r="F294" i="4" s="1"/>
  <c r="D208" i="4"/>
  <c r="F208" i="4" s="1"/>
  <c r="B90" i="4"/>
  <c r="U121" i="4"/>
  <c r="U110" i="4"/>
  <c r="J97" i="4"/>
  <c r="F100" i="4"/>
  <c r="N100" i="4"/>
  <c r="T100" i="4"/>
  <c r="V105" i="4"/>
  <c r="T241" i="4"/>
  <c r="C100" i="4"/>
  <c r="W100" i="4"/>
  <c r="H105" i="4"/>
  <c r="U105" i="4"/>
  <c r="D126" i="6"/>
  <c r="W250" i="4"/>
  <c r="X250" i="4" s="1"/>
  <c r="X251" i="4" s="1"/>
  <c r="D289" i="4"/>
  <c r="F289" i="4" s="1"/>
  <c r="X130" i="4"/>
  <c r="W246" i="4"/>
  <c r="C85" i="4"/>
  <c r="B199" i="6"/>
  <c r="D100" i="4"/>
  <c r="J102" i="4"/>
  <c r="F105" i="4"/>
  <c r="M105" i="4"/>
  <c r="E186" i="6"/>
  <c r="E187" i="6"/>
  <c r="J24" i="7"/>
  <c r="D304" i="4"/>
  <c r="F304" i="4" s="1"/>
  <c r="U200" i="4"/>
  <c r="S201" i="4"/>
  <c r="T191" i="4"/>
  <c r="V190" i="4"/>
  <c r="T226" i="4"/>
  <c r="V225" i="4"/>
  <c r="X255" i="4"/>
  <c r="V256" i="4"/>
  <c r="X240" i="4"/>
  <c r="V241" i="4"/>
  <c r="U235" i="4"/>
  <c r="S236" i="4"/>
  <c r="D113" i="4"/>
  <c r="F113" i="4" s="1"/>
  <c r="K100" i="4"/>
  <c r="M100" i="4"/>
  <c r="O100" i="4"/>
  <c r="D105" i="4"/>
  <c r="W105" i="4"/>
  <c r="I100" i="4"/>
  <c r="X206" i="4"/>
  <c r="D203" i="4" s="1"/>
  <c r="F203" i="4" s="1"/>
  <c r="B2" i="4"/>
  <c r="M24" i="6"/>
  <c r="K24" i="7"/>
  <c r="F94" i="7"/>
  <c r="M23" i="6"/>
  <c r="B59" i="8"/>
  <c r="C59" i="8" s="1"/>
  <c r="C15" i="1"/>
  <c r="H51" i="7" s="1"/>
  <c r="B61" i="8"/>
  <c r="C61" i="8" s="1"/>
  <c r="D178" i="6"/>
  <c r="E178" i="6" s="1"/>
  <c r="E56" i="7"/>
  <c r="B63" i="8"/>
  <c r="C63" i="8" s="1"/>
  <c r="E40" i="7"/>
  <c r="O23" i="6"/>
  <c r="O24" i="6"/>
  <c r="B55" i="8"/>
  <c r="C55" i="8" s="1"/>
  <c r="B65" i="8"/>
  <c r="C65" i="8" s="1"/>
  <c r="B69" i="8"/>
  <c r="C69" i="8" s="1"/>
  <c r="B64" i="8"/>
  <c r="C64" i="8" s="1"/>
  <c r="B67" i="8"/>
  <c r="C67" i="8" s="1"/>
  <c r="H27" i="6"/>
  <c r="H45" i="7" s="1"/>
  <c r="C16" i="8"/>
  <c r="B68" i="8"/>
  <c r="C68" i="8" s="1"/>
  <c r="B56" i="8"/>
  <c r="C56" i="8" s="1"/>
  <c r="B58" i="8"/>
  <c r="C58" i="8" s="1"/>
  <c r="B62" i="8"/>
  <c r="C62" i="8" s="1"/>
  <c r="O18" i="6"/>
  <c r="D35" i="6"/>
  <c r="O21" i="6" s="1"/>
  <c r="B54" i="8"/>
  <c r="C54" i="8" s="1"/>
  <c r="D26" i="7"/>
  <c r="B53" i="8"/>
  <c r="C53" i="8" s="1"/>
  <c r="B60" i="8"/>
  <c r="C60" i="8" s="1"/>
  <c r="B66" i="8"/>
  <c r="C66" i="8" s="1"/>
  <c r="B52" i="8"/>
  <c r="C52" i="8" s="1"/>
  <c r="B57" i="8"/>
  <c r="C57" i="8" s="1"/>
  <c r="T14" i="6"/>
  <c r="C173" i="6"/>
  <c r="C172" i="6"/>
  <c r="C195" i="6"/>
  <c r="A317" i="4" a="1"/>
  <c r="A341" i="4" s="1"/>
  <c r="D148" i="4"/>
  <c r="F148" i="4" s="1"/>
  <c r="H28" i="1"/>
  <c r="H67" i="7"/>
  <c r="H17" i="7"/>
  <c r="B107" i="1"/>
  <c r="E24" i="1"/>
  <c r="B109" i="1"/>
  <c r="H48" i="1"/>
  <c r="B158" i="1"/>
  <c r="B132" i="1"/>
  <c r="G4" i="3"/>
  <c r="C139" i="6"/>
  <c r="C134" i="6"/>
  <c r="C143" i="6"/>
  <c r="C146" i="6"/>
  <c r="AD4" i="3"/>
  <c r="E190" i="6"/>
  <c r="D32" i="1"/>
  <c r="I68" i="7" s="1"/>
  <c r="AE4" i="3"/>
  <c r="T19" i="6"/>
  <c r="C142" i="6"/>
  <c r="C141" i="6"/>
  <c r="C145" i="6"/>
  <c r="I71" i="7"/>
  <c r="B77" i="8"/>
  <c r="C196" i="6"/>
  <c r="B196" i="6" s="1"/>
  <c r="C147" i="6"/>
  <c r="E42" i="7"/>
  <c r="E193" i="6"/>
  <c r="E189" i="6"/>
  <c r="C183" i="6"/>
  <c r="J90" i="7"/>
  <c r="F118" i="7" s="1"/>
  <c r="C132" i="6"/>
  <c r="F27" i="7"/>
  <c r="C137" i="6"/>
  <c r="C135" i="6"/>
  <c r="C138" i="6"/>
  <c r="E33" i="6"/>
  <c r="C144" i="6"/>
  <c r="T17" i="6"/>
  <c r="E14" i="7"/>
  <c r="B201" i="6"/>
  <c r="C201" i="6" s="1"/>
  <c r="B186" i="6"/>
  <c r="B200" i="6"/>
  <c r="C200" i="6" s="1"/>
  <c r="E183" i="6"/>
  <c r="B187" i="6"/>
  <c r="E184" i="6"/>
  <c r="B202" i="6"/>
  <c r="Y4" i="4"/>
  <c r="T3" i="4"/>
  <c r="Q3" i="4"/>
  <c r="C163" i="6" l="1"/>
  <c r="C166" i="6"/>
  <c r="C167" i="6"/>
  <c r="E4" i="7"/>
  <c r="V215" i="4"/>
  <c r="W215" i="4" s="1"/>
  <c r="V121" i="4"/>
  <c r="U241" i="4"/>
  <c r="D82" i="4"/>
  <c r="F82" i="4" s="1"/>
  <c r="D97" i="4"/>
  <c r="F97" i="4" s="1"/>
  <c r="D243" i="4"/>
  <c r="F243" i="4" s="1"/>
  <c r="W251" i="4"/>
  <c r="W165" i="4"/>
  <c r="D87" i="4"/>
  <c r="F87" i="4" s="1"/>
  <c r="O194" i="4"/>
  <c r="M196" i="4"/>
  <c r="V166" i="4"/>
  <c r="X165" i="4"/>
  <c r="V126" i="4"/>
  <c r="X125" i="4"/>
  <c r="V251" i="4"/>
  <c r="D248" i="4" s="1"/>
  <c r="F248" i="4" s="1"/>
  <c r="X131" i="4"/>
  <c r="W131" i="4"/>
  <c r="D128" i="4" s="1"/>
  <c r="V110" i="4"/>
  <c r="T111" i="4"/>
  <c r="D102" i="4"/>
  <c r="F102" i="4" s="1"/>
  <c r="E126" i="6"/>
  <c r="D127" i="6"/>
  <c r="W121" i="4"/>
  <c r="X121" i="4"/>
  <c r="W225" i="4"/>
  <c r="U226" i="4"/>
  <c r="X256" i="4"/>
  <c r="W256" i="4"/>
  <c r="D253" i="4" s="1"/>
  <c r="T201" i="4"/>
  <c r="V200" i="4"/>
  <c r="T236" i="4"/>
  <c r="V235" i="4"/>
  <c r="X241" i="4"/>
  <c r="W241" i="4"/>
  <c r="U191" i="4"/>
  <c r="W190" i="4"/>
  <c r="D157" i="6"/>
  <c r="D137" i="6"/>
  <c r="W4" i="3"/>
  <c r="D139" i="6"/>
  <c r="D133" i="6"/>
  <c r="E133" i="6" s="1"/>
  <c r="D156" i="6"/>
  <c r="D135" i="6"/>
  <c r="E135" i="6" s="1"/>
  <c r="E52" i="7"/>
  <c r="D140" i="6"/>
  <c r="E30" i="6"/>
  <c r="E34" i="6"/>
  <c r="D138" i="6"/>
  <c r="D145" i="6"/>
  <c r="D148" i="6"/>
  <c r="D143" i="6"/>
  <c r="D141" i="6"/>
  <c r="D134" i="6"/>
  <c r="E134" i="6" s="1"/>
  <c r="O20" i="6"/>
  <c r="I28" i="6" s="1"/>
  <c r="D136" i="6"/>
  <c r="E136" i="6" s="1"/>
  <c r="D147" i="6"/>
  <c r="E57" i="7"/>
  <c r="D142" i="6"/>
  <c r="D155" i="6"/>
  <c r="D132" i="6"/>
  <c r="E132" i="6" s="1"/>
  <c r="C168" i="6"/>
  <c r="C169" i="6" s="1"/>
  <c r="D168" i="6"/>
  <c r="D169" i="6" s="1"/>
  <c r="D144" i="6"/>
  <c r="E53" i="7"/>
  <c r="D146" i="6"/>
  <c r="S27" i="6"/>
  <c r="H12" i="7"/>
  <c r="I16" i="7"/>
  <c r="K51" i="1"/>
  <c r="R28" i="1"/>
  <c r="A323" i="4"/>
  <c r="A330" i="4"/>
  <c r="A331" i="4"/>
  <c r="A343" i="4"/>
  <c r="A339" i="4"/>
  <c r="A327" i="4"/>
  <c r="A338" i="4"/>
  <c r="A320" i="4"/>
  <c r="A332" i="4"/>
  <c r="A337" i="4"/>
  <c r="A340" i="4"/>
  <c r="A318" i="4"/>
  <c r="A333" i="4"/>
  <c r="A328" i="4"/>
  <c r="A342" i="4"/>
  <c r="A325" i="4"/>
  <c r="A336" i="4"/>
  <c r="A317" i="4"/>
  <c r="A346" i="4"/>
  <c r="A322" i="4"/>
  <c r="A329" i="4"/>
  <c r="A321" i="4"/>
  <c r="A326" i="4"/>
  <c r="A345" i="4"/>
  <c r="A319" i="4"/>
  <c r="A324" i="4"/>
  <c r="A335" i="4"/>
  <c r="A344" i="4"/>
  <c r="A334" i="4"/>
  <c r="R3" i="4"/>
  <c r="Q4" i="4"/>
  <c r="W4" i="4"/>
  <c r="D4" i="4"/>
  <c r="P3" i="4"/>
  <c r="J3" i="4"/>
  <c r="J2" i="4"/>
  <c r="T4" i="4"/>
  <c r="G4" i="4"/>
  <c r="O4" i="4"/>
  <c r="N4" i="4"/>
  <c r="V4" i="4"/>
  <c r="D3" i="4"/>
  <c r="V3" i="4"/>
  <c r="T2" i="4"/>
  <c r="L3" i="4"/>
  <c r="Z2" i="4"/>
  <c r="X4" i="4"/>
  <c r="U4" i="4"/>
  <c r="S4" i="4"/>
  <c r="U3" i="4"/>
  <c r="W3" i="4"/>
  <c r="P2" i="4"/>
  <c r="C3" i="4"/>
  <c r="X2" i="4"/>
  <c r="F3" i="4"/>
  <c r="E4" i="4"/>
  <c r="J4" i="4"/>
  <c r="R4" i="4"/>
  <c r="B4" i="4"/>
  <c r="M3" i="4"/>
  <c r="S3" i="4"/>
  <c r="K3" i="4"/>
  <c r="H4" i="4"/>
  <c r="K4" i="4"/>
  <c r="M4" i="4"/>
  <c r="X3" i="4"/>
  <c r="N2" i="4"/>
  <c r="I3" i="4"/>
  <c r="L2" i="4"/>
  <c r="V2" i="4"/>
  <c r="O3" i="4"/>
  <c r="P4" i="4"/>
  <c r="N3" i="4"/>
  <c r="G3" i="4"/>
  <c r="C4" i="4"/>
  <c r="B3" i="4"/>
  <c r="H3" i="4"/>
  <c r="H2" i="4"/>
  <c r="R2" i="4"/>
  <c r="I4" i="4"/>
  <c r="L4" i="4"/>
  <c r="Y3" i="4"/>
  <c r="F4" i="4"/>
  <c r="E3" i="4"/>
  <c r="P14" i="6" l="1"/>
  <c r="N14" i="6" s="1"/>
  <c r="I41" i="7" s="1"/>
  <c r="D166" i="6"/>
  <c r="E166" i="6" s="1"/>
  <c r="D167" i="6"/>
  <c r="E167" i="6" s="1"/>
  <c r="D163" i="6"/>
  <c r="E163" i="6" s="1"/>
  <c r="E28" i="6"/>
  <c r="D164" i="6"/>
  <c r="E164" i="6" s="1"/>
  <c r="D165" i="6"/>
  <c r="E165" i="6" s="1"/>
  <c r="A5" i="3"/>
  <c r="B5" i="3" s="1"/>
  <c r="Z5" i="3" s="1"/>
  <c r="N12" i="6"/>
  <c r="N13" i="6"/>
  <c r="C206" i="6"/>
  <c r="C205" i="6"/>
  <c r="C207" i="6"/>
  <c r="C209" i="6"/>
  <c r="C208" i="6"/>
  <c r="C210" i="6"/>
  <c r="N196" i="4"/>
  <c r="P194" i="4"/>
  <c r="D238" i="4"/>
  <c r="U216" i="4"/>
  <c r="F108" i="1"/>
  <c r="F107" i="1"/>
  <c r="F106" i="1"/>
  <c r="H18" i="7"/>
  <c r="F109" i="1"/>
  <c r="F105" i="1"/>
  <c r="E101" i="7"/>
  <c r="C171" i="6"/>
  <c r="C170" i="6"/>
  <c r="E49" i="7"/>
  <c r="E18" i="7"/>
  <c r="T13" i="6"/>
  <c r="T12" i="6"/>
  <c r="C174" i="6"/>
  <c r="M13" i="6"/>
  <c r="D171" i="6"/>
  <c r="B50" i="8"/>
  <c r="C50" i="8" s="1"/>
  <c r="D174" i="6"/>
  <c r="B45" i="8"/>
  <c r="C45" i="8" s="1"/>
  <c r="B51" i="8"/>
  <c r="C51" i="8" s="1"/>
  <c r="B43" i="8"/>
  <c r="C43" i="8" s="1"/>
  <c r="B44" i="8"/>
  <c r="C44" i="8" s="1"/>
  <c r="B46" i="8"/>
  <c r="C46" i="8" s="1"/>
  <c r="D172" i="6"/>
  <c r="D170" i="6"/>
  <c r="D173" i="6"/>
  <c r="B48" i="8"/>
  <c r="C48" i="8" s="1"/>
  <c r="B49" i="8"/>
  <c r="C49" i="8" s="1"/>
  <c r="B47" i="8"/>
  <c r="C47" i="8" s="1"/>
  <c r="M12" i="6"/>
  <c r="W166" i="4"/>
  <c r="X166" i="4"/>
  <c r="E127" i="6"/>
  <c r="D128" i="6"/>
  <c r="W110" i="4"/>
  <c r="U111" i="4"/>
  <c r="X126" i="4"/>
  <c r="W126" i="4"/>
  <c r="D123" i="4" s="1"/>
  <c r="D118" i="4"/>
  <c r="F118" i="4" s="1"/>
  <c r="D163" i="4"/>
  <c r="F163" i="4" s="1"/>
  <c r="W235" i="4"/>
  <c r="U236" i="4"/>
  <c r="W200" i="4"/>
  <c r="U201" i="4"/>
  <c r="X215" i="4"/>
  <c r="V216" i="4"/>
  <c r="V226" i="4"/>
  <c r="X225" i="4"/>
  <c r="X190" i="4"/>
  <c r="V191" i="4"/>
  <c r="I31" i="6"/>
  <c r="C154" i="6" s="1"/>
  <c r="E29" i="6"/>
  <c r="C191" i="6"/>
  <c r="D153" i="6"/>
  <c r="C192" i="6"/>
  <c r="D62" i="8" l="1"/>
  <c r="F62" i="8" s="1"/>
  <c r="I62" i="8" s="1"/>
  <c r="D69" i="8"/>
  <c r="F69" i="8" s="1"/>
  <c r="I69" i="8" s="1"/>
  <c r="D64" i="8"/>
  <c r="E64" i="8" s="1"/>
  <c r="H64" i="8" s="1"/>
  <c r="D56" i="8"/>
  <c r="F56" i="8" s="1"/>
  <c r="I56" i="8" s="1"/>
  <c r="D54" i="8"/>
  <c r="E54" i="8" s="1"/>
  <c r="H54" i="8" s="1"/>
  <c r="D63" i="8"/>
  <c r="E63" i="8" s="1"/>
  <c r="H63" i="8" s="1"/>
  <c r="D60" i="8"/>
  <c r="E60" i="8" s="1"/>
  <c r="H60" i="8" s="1"/>
  <c r="D49" i="8"/>
  <c r="E49" i="8" s="1"/>
  <c r="H49" i="8" s="1"/>
  <c r="D55" i="8"/>
  <c r="F55" i="8" s="1"/>
  <c r="I55" i="8" s="1"/>
  <c r="D45" i="8"/>
  <c r="E45" i="8" s="1"/>
  <c r="H45" i="8" s="1"/>
  <c r="D43" i="8"/>
  <c r="E43" i="8" s="1"/>
  <c r="H43" i="8" s="1"/>
  <c r="D61" i="8"/>
  <c r="F61" i="8" s="1"/>
  <c r="I61" i="8" s="1"/>
  <c r="D47" i="8"/>
  <c r="E47" i="8" s="1"/>
  <c r="H47" i="8" s="1"/>
  <c r="D58" i="8"/>
  <c r="F58" i="8" s="1"/>
  <c r="I58" i="8" s="1"/>
  <c r="D48" i="8"/>
  <c r="F48" i="8" s="1"/>
  <c r="I48" i="8" s="1"/>
  <c r="D67" i="8"/>
  <c r="E67" i="8" s="1"/>
  <c r="H67" i="8" s="1"/>
  <c r="M14" i="6"/>
  <c r="F107" i="7" s="1"/>
  <c r="D51" i="8"/>
  <c r="E51" i="8" s="1"/>
  <c r="H51" i="8" s="1"/>
  <c r="D50" i="8"/>
  <c r="F50" i="8" s="1"/>
  <c r="I50" i="8" s="1"/>
  <c r="D44" i="8"/>
  <c r="E44" i="8" s="1"/>
  <c r="H44" i="8" s="1"/>
  <c r="D53" i="8"/>
  <c r="E53" i="8" s="1"/>
  <c r="H53" i="8" s="1"/>
  <c r="D46" i="8"/>
  <c r="F46" i="8" s="1"/>
  <c r="I46" i="8" s="1"/>
  <c r="D66" i="8"/>
  <c r="E66" i="8" s="1"/>
  <c r="H66" i="8" s="1"/>
  <c r="D68" i="8"/>
  <c r="F68" i="8" s="1"/>
  <c r="I68" i="8" s="1"/>
  <c r="D52" i="8"/>
  <c r="F52" i="8" s="1"/>
  <c r="I52" i="8" s="1"/>
  <c r="D57" i="8"/>
  <c r="E57" i="8" s="1"/>
  <c r="H57" i="8" s="1"/>
  <c r="D65" i="8"/>
  <c r="E65" i="8" s="1"/>
  <c r="H65" i="8" s="1"/>
  <c r="D59" i="8"/>
  <c r="E59" i="8" s="1"/>
  <c r="H59" i="8" s="1"/>
  <c r="E11" i="7"/>
  <c r="C11" i="8"/>
  <c r="H5" i="7"/>
  <c r="H41" i="7"/>
  <c r="E107" i="7"/>
  <c r="P15" i="6"/>
  <c r="E35" i="6"/>
  <c r="O22" i="6" s="1"/>
  <c r="O19" i="6" s="1"/>
  <c r="H28" i="6" s="1"/>
  <c r="C190" i="6" s="1"/>
  <c r="M22" i="6"/>
  <c r="C164" i="6"/>
  <c r="C165" i="6"/>
  <c r="AC5" i="3"/>
  <c r="P5" i="3"/>
  <c r="Q5" i="3" s="1"/>
  <c r="A6" i="3"/>
  <c r="B6" i="3" s="1"/>
  <c r="AC6" i="3" s="1"/>
  <c r="E110" i="7"/>
  <c r="C25" i="1"/>
  <c r="C32" i="1" s="1"/>
  <c r="K49" i="1" s="1"/>
  <c r="AA5" i="3"/>
  <c r="AD5" i="3"/>
  <c r="C204" i="6"/>
  <c r="Q194" i="4"/>
  <c r="O196" i="4"/>
  <c r="V111" i="4"/>
  <c r="X110" i="4"/>
  <c r="E128" i="6"/>
  <c r="D129" i="6"/>
  <c r="X200" i="4"/>
  <c r="V201" i="4"/>
  <c r="W226" i="4"/>
  <c r="X226" i="4"/>
  <c r="X191" i="4"/>
  <c r="W191" i="4"/>
  <c r="W216" i="4"/>
  <c r="X216" i="4"/>
  <c r="V236" i="4"/>
  <c r="X235" i="4"/>
  <c r="C153" i="6"/>
  <c r="F63" i="8" l="1"/>
  <c r="I63" i="8" s="1"/>
  <c r="M15" i="6"/>
  <c r="J42" i="7" s="1"/>
  <c r="E69" i="8"/>
  <c r="H69" i="8" s="1"/>
  <c r="E62" i="8"/>
  <c r="H62" i="8" s="1"/>
  <c r="F60" i="8"/>
  <c r="I60" i="8" s="1"/>
  <c r="E46" i="8"/>
  <c r="H46" i="8" s="1"/>
  <c r="E58" i="8"/>
  <c r="H58" i="8" s="1"/>
  <c r="F53" i="8"/>
  <c r="I53" i="8" s="1"/>
  <c r="F54" i="8"/>
  <c r="I54" i="8" s="1"/>
  <c r="F47" i="8"/>
  <c r="I47" i="8" s="1"/>
  <c r="F49" i="8"/>
  <c r="I49" i="8" s="1"/>
  <c r="E68" i="8"/>
  <c r="H68" i="8" s="1"/>
  <c r="F67" i="8"/>
  <c r="I67" i="8" s="1"/>
  <c r="F43" i="8"/>
  <c r="I43" i="8" s="1"/>
  <c r="F45" i="8"/>
  <c r="I45" i="8" s="1"/>
  <c r="F64" i="8"/>
  <c r="I64" i="8" s="1"/>
  <c r="E61" i="8"/>
  <c r="H61" i="8" s="1"/>
  <c r="E55" i="8"/>
  <c r="H55" i="8" s="1"/>
  <c r="E56" i="8"/>
  <c r="H56" i="8" s="1"/>
  <c r="E52" i="8"/>
  <c r="H52" i="8" s="1"/>
  <c r="E50" i="8"/>
  <c r="H50" i="8" s="1"/>
  <c r="J41" i="7"/>
  <c r="C11" i="1"/>
  <c r="S4" i="3" s="1"/>
  <c r="T4" i="3" s="1"/>
  <c r="U4" i="3" s="1"/>
  <c r="E58" i="7"/>
  <c r="H65" i="7" s="1"/>
  <c r="C12" i="8"/>
  <c r="F51" i="8"/>
  <c r="I51" i="8" s="1"/>
  <c r="F66" i="8"/>
  <c r="I66" i="8" s="1"/>
  <c r="F59" i="8"/>
  <c r="I59" i="8" s="1"/>
  <c r="E48" i="8"/>
  <c r="H48" i="8" s="1"/>
  <c r="F44" i="8"/>
  <c r="I44" i="8" s="1"/>
  <c r="F57" i="8"/>
  <c r="I57" i="8" s="1"/>
  <c r="F65" i="8"/>
  <c r="I65" i="8" s="1"/>
  <c r="N15" i="6"/>
  <c r="I42" i="7" s="1"/>
  <c r="H42" i="7"/>
  <c r="E108" i="7"/>
  <c r="D23" i="7"/>
  <c r="M19" i="6"/>
  <c r="H31" i="6" s="1"/>
  <c r="AA6" i="3"/>
  <c r="P29" i="1"/>
  <c r="A7" i="3"/>
  <c r="B7" i="3" s="1"/>
  <c r="P7" i="3" s="1"/>
  <c r="Q7" i="3" s="1"/>
  <c r="AD6" i="3"/>
  <c r="P6" i="3"/>
  <c r="Q6" i="3" s="1"/>
  <c r="H71" i="7"/>
  <c r="Z6" i="3"/>
  <c r="H68" i="7"/>
  <c r="H16" i="7"/>
  <c r="P28" i="1"/>
  <c r="H46" i="7"/>
  <c r="D152" i="6"/>
  <c r="H13" i="7"/>
  <c r="R194" i="4"/>
  <c r="P196" i="4"/>
  <c r="D213" i="4"/>
  <c r="F213" i="4" s="1"/>
  <c r="C194" i="6"/>
  <c r="D223" i="4"/>
  <c r="F223" i="4" s="1"/>
  <c r="X111" i="4"/>
  <c r="W111" i="4"/>
  <c r="D108" i="4" s="1"/>
  <c r="D188" i="4"/>
  <c r="F188" i="4" s="1"/>
  <c r="D130" i="6"/>
  <c r="E130" i="6" s="1"/>
  <c r="E129" i="6"/>
  <c r="S28" i="6"/>
  <c r="C193" i="6"/>
  <c r="X236" i="4"/>
  <c r="W236" i="4"/>
  <c r="W201" i="4"/>
  <c r="X201" i="4"/>
  <c r="D198" i="4" s="1"/>
  <c r="D2" i="4"/>
  <c r="C149" i="6" l="1"/>
  <c r="F108" i="7"/>
  <c r="H29" i="6"/>
  <c r="H47" i="7" s="1"/>
  <c r="B191" i="6"/>
  <c r="C155" i="6"/>
  <c r="I29" i="6"/>
  <c r="I47" i="7" s="1"/>
  <c r="C150" i="6"/>
  <c r="B192" i="6"/>
  <c r="B193" i="6"/>
  <c r="H32" i="6"/>
  <c r="I32" i="6"/>
  <c r="C157" i="6"/>
  <c r="C152" i="6"/>
  <c r="C151" i="6"/>
  <c r="G57" i="8"/>
  <c r="G65" i="8"/>
  <c r="G49" i="8"/>
  <c r="G59" i="8"/>
  <c r="G51" i="8"/>
  <c r="G64" i="8"/>
  <c r="G54" i="8"/>
  <c r="G63" i="8"/>
  <c r="G44" i="8"/>
  <c r="G45" i="8"/>
  <c r="G53" i="8"/>
  <c r="G43" i="8"/>
  <c r="G60" i="8"/>
  <c r="G47" i="8"/>
  <c r="G66" i="8"/>
  <c r="G67" i="8"/>
  <c r="G48" i="8"/>
  <c r="K48" i="8" s="1"/>
  <c r="M48" i="8" s="1"/>
  <c r="G52" i="8"/>
  <c r="J52" i="8" s="1"/>
  <c r="G68" i="8"/>
  <c r="J68" i="8" s="1"/>
  <c r="G56" i="8"/>
  <c r="J56" i="8" s="1"/>
  <c r="G50" i="8"/>
  <c r="K50" i="8" s="1"/>
  <c r="G61" i="8"/>
  <c r="K61" i="8" s="1"/>
  <c r="M61" i="8" s="1"/>
  <c r="G46" i="8"/>
  <c r="K46" i="8" s="1"/>
  <c r="M46" i="8" s="1"/>
  <c r="G62" i="8"/>
  <c r="J62" i="8" s="1"/>
  <c r="G58" i="8"/>
  <c r="K58" i="8" s="1"/>
  <c r="M58" i="8" s="1"/>
  <c r="G69" i="8"/>
  <c r="J69" i="8" s="1"/>
  <c r="G55" i="8"/>
  <c r="K55" i="8" s="1"/>
  <c r="M55" i="8" s="1"/>
  <c r="F198" i="4"/>
  <c r="A8" i="3"/>
  <c r="B8" i="3" s="1"/>
  <c r="Z8" i="3" s="1"/>
  <c r="Z7" i="3"/>
  <c r="AD7" i="3"/>
  <c r="AA7" i="3"/>
  <c r="AC7" i="3"/>
  <c r="S194" i="4"/>
  <c r="Q196" i="4"/>
  <c r="F108" i="4"/>
  <c r="D233" i="4"/>
  <c r="F233" i="4" s="1"/>
  <c r="F2" i="4"/>
  <c r="H14" i="7" l="1"/>
  <c r="B194" i="6"/>
  <c r="B190" i="6"/>
  <c r="H30" i="6"/>
  <c r="H48" i="7" s="1"/>
  <c r="S29" i="6"/>
  <c r="I30" i="6"/>
  <c r="I48" i="7" s="1"/>
  <c r="I14" i="7"/>
  <c r="C156" i="6"/>
  <c r="J58" i="8"/>
  <c r="L58" i="8" s="1"/>
  <c r="J61" i="8"/>
  <c r="L61" i="8" s="1"/>
  <c r="J46" i="8"/>
  <c r="L46" i="8" s="1"/>
  <c r="J50" i="8"/>
  <c r="L50" i="8" s="1"/>
  <c r="K62" i="8"/>
  <c r="M62" i="8" s="1"/>
  <c r="K69" i="8"/>
  <c r="M69" i="8" s="1"/>
  <c r="J55" i="8"/>
  <c r="L55" i="8" s="1"/>
  <c r="R5" i="3"/>
  <c r="S5" i="3" s="1"/>
  <c r="T5" i="3" s="1"/>
  <c r="R6" i="3"/>
  <c r="R7" i="3"/>
  <c r="K67" i="8"/>
  <c r="M67" i="8" s="1"/>
  <c r="J67" i="8"/>
  <c r="K43" i="8"/>
  <c r="M43" i="8" s="1"/>
  <c r="J43" i="8"/>
  <c r="J48" i="8"/>
  <c r="L48" i="8" s="1"/>
  <c r="J44" i="8"/>
  <c r="K44" i="8"/>
  <c r="M44" i="8" s="1"/>
  <c r="K54" i="8"/>
  <c r="M54" i="8" s="1"/>
  <c r="J54" i="8"/>
  <c r="K51" i="8"/>
  <c r="M51" i="8" s="1"/>
  <c r="J51" i="8"/>
  <c r="K65" i="8"/>
  <c r="M65" i="8" s="1"/>
  <c r="J65" i="8"/>
  <c r="K66" i="8"/>
  <c r="M66" i="8" s="1"/>
  <c r="J66" i="8"/>
  <c r="J47" i="8"/>
  <c r="K47" i="8"/>
  <c r="M47" i="8" s="1"/>
  <c r="J60" i="8"/>
  <c r="K60" i="8"/>
  <c r="M60" i="8" s="1"/>
  <c r="J53" i="8"/>
  <c r="K53" i="8"/>
  <c r="M53" i="8" s="1"/>
  <c r="K56" i="8"/>
  <c r="M56" i="8" s="1"/>
  <c r="J45" i="8"/>
  <c r="K45" i="8"/>
  <c r="M45" i="8" s="1"/>
  <c r="J63" i="8"/>
  <c r="K63" i="8"/>
  <c r="M63" i="8" s="1"/>
  <c r="K52" i="8"/>
  <c r="M52" i="8" s="1"/>
  <c r="J64" i="8"/>
  <c r="K64" i="8"/>
  <c r="M64" i="8" s="1"/>
  <c r="K68" i="8"/>
  <c r="M68" i="8" s="1"/>
  <c r="J59" i="8"/>
  <c r="K59" i="8"/>
  <c r="K49" i="8"/>
  <c r="M49" i="8" s="1"/>
  <c r="J49" i="8"/>
  <c r="J57" i="8"/>
  <c r="K57" i="8"/>
  <c r="M57" i="8" s="1"/>
  <c r="AC8" i="3"/>
  <c r="A9" i="3"/>
  <c r="B9" i="3" s="1"/>
  <c r="P9" i="3" s="1"/>
  <c r="Q9" i="3" s="1"/>
  <c r="R9" i="3" s="1"/>
  <c r="P8" i="3"/>
  <c r="Q8" i="3" s="1"/>
  <c r="R8" i="3" s="1"/>
  <c r="AD8" i="3"/>
  <c r="AA8" i="3"/>
  <c r="M50" i="8"/>
  <c r="R196" i="4"/>
  <c r="T194" i="4"/>
  <c r="H15" i="7" l="1"/>
  <c r="S30" i="6"/>
  <c r="H33" i="6"/>
  <c r="I15" i="7"/>
  <c r="L49" i="8"/>
  <c r="L65" i="8"/>
  <c r="L67" i="8"/>
  <c r="L51" i="8"/>
  <c r="S6" i="3"/>
  <c r="T6" i="3" s="1"/>
  <c r="L66" i="8"/>
  <c r="L43" i="8"/>
  <c r="L56" i="8"/>
  <c r="L68" i="8"/>
  <c r="L69" i="8"/>
  <c r="L62" i="8"/>
  <c r="L52" i="8"/>
  <c r="L54" i="8"/>
  <c r="L44" i="8"/>
  <c r="L57" i="8"/>
  <c r="L63" i="8"/>
  <c r="L45" i="8"/>
  <c r="L53" i="8"/>
  <c r="L60" i="8"/>
  <c r="L47" i="8"/>
  <c r="L59" i="8"/>
  <c r="M59" i="8"/>
  <c r="L64" i="8"/>
  <c r="AG5" i="3"/>
  <c r="AH5" i="3"/>
  <c r="D5" i="3"/>
  <c r="E5" i="3"/>
  <c r="H5" i="3" s="1"/>
  <c r="K5" i="3" s="1"/>
  <c r="AC9" i="3"/>
  <c r="AA9" i="3"/>
  <c r="AD9" i="3"/>
  <c r="Z9" i="3"/>
  <c r="A10" i="3"/>
  <c r="B10" i="3" s="1"/>
  <c r="A11" i="3" s="1"/>
  <c r="B11" i="3" s="1"/>
  <c r="AC11" i="3" s="1"/>
  <c r="U194" i="4"/>
  <c r="S196" i="4"/>
  <c r="S7" i="3" l="1"/>
  <c r="T7" i="3" s="1"/>
  <c r="V5" i="3"/>
  <c r="AE5" i="3"/>
  <c r="G5" i="3"/>
  <c r="F5" i="3"/>
  <c r="AA10" i="3"/>
  <c r="Z10" i="3"/>
  <c r="AD11" i="3"/>
  <c r="A12" i="3"/>
  <c r="B12" i="3" s="1"/>
  <c r="A13" i="3" s="1"/>
  <c r="B13" i="3" s="1"/>
  <c r="Z11" i="3"/>
  <c r="P11" i="3"/>
  <c r="Q11" i="3" s="1"/>
  <c r="R11" i="3" s="1"/>
  <c r="AA11" i="3"/>
  <c r="AD10" i="3"/>
  <c r="P10" i="3"/>
  <c r="Q10" i="3" s="1"/>
  <c r="R10" i="3" s="1"/>
  <c r="AC10" i="3"/>
  <c r="T196" i="4"/>
  <c r="V194" i="4"/>
  <c r="S8" i="3" l="1"/>
  <c r="T8" i="3" s="1"/>
  <c r="I5" i="3"/>
  <c r="W5" i="3" s="1"/>
  <c r="J5" i="3"/>
  <c r="L5" i="3" s="1"/>
  <c r="M5" i="3"/>
  <c r="N5" i="3" s="1"/>
  <c r="P12" i="3"/>
  <c r="Q12" i="3" s="1"/>
  <c r="R12" i="3" s="1"/>
  <c r="AC12" i="3"/>
  <c r="AA12" i="3"/>
  <c r="AD12" i="3"/>
  <c r="Z12" i="3"/>
  <c r="U196" i="4"/>
  <c r="W194" i="4"/>
  <c r="P13" i="3"/>
  <c r="Q13" i="3" s="1"/>
  <c r="R13" i="3" s="1"/>
  <c r="A14" i="3"/>
  <c r="B14" i="3" s="1"/>
  <c r="AC13" i="3"/>
  <c r="AD13" i="3"/>
  <c r="AA13" i="3"/>
  <c r="Z13" i="3"/>
  <c r="S9" i="3" l="1"/>
  <c r="T9" i="3" s="1"/>
  <c r="U5" i="3"/>
  <c r="D6" i="3" s="1"/>
  <c r="G6" i="3" s="1"/>
  <c r="J6" i="3" s="1"/>
  <c r="AG6" i="3"/>
  <c r="AH6" i="3"/>
  <c r="V196" i="4"/>
  <c r="W196" i="4"/>
  <c r="A15" i="3"/>
  <c r="B15" i="3" s="1"/>
  <c r="P14" i="3"/>
  <c r="Q14" i="3" s="1"/>
  <c r="R14" i="3" s="1"/>
  <c r="AD14" i="3"/>
  <c r="AA14" i="3"/>
  <c r="Z14" i="3"/>
  <c r="AC14" i="3"/>
  <c r="S10" i="3" l="1"/>
  <c r="T10" i="3" s="1"/>
  <c r="E6" i="3"/>
  <c r="H6" i="3" s="1"/>
  <c r="K6" i="3" s="1"/>
  <c r="L6" i="3" s="1"/>
  <c r="D193" i="4"/>
  <c r="AA15" i="3"/>
  <c r="P15" i="3"/>
  <c r="Q15" i="3" s="1"/>
  <c r="R15" i="3" s="1"/>
  <c r="AC15" i="3"/>
  <c r="Z15" i="3"/>
  <c r="AD15" i="3"/>
  <c r="A16" i="3"/>
  <c r="B16" i="3" s="1"/>
  <c r="M6" i="3" l="1"/>
  <c r="N6" i="3" s="1"/>
  <c r="S11" i="3"/>
  <c r="T11" i="3" s="1"/>
  <c r="V6" i="3"/>
  <c r="AE6" i="3"/>
  <c r="F6" i="3"/>
  <c r="I6" i="3"/>
  <c r="F193" i="4"/>
  <c r="AA16" i="3"/>
  <c r="AD16" i="3"/>
  <c r="AC16" i="3"/>
  <c r="P16" i="3"/>
  <c r="Q16" i="3" s="1"/>
  <c r="R16" i="3" s="1"/>
  <c r="Z16" i="3"/>
  <c r="A17" i="3"/>
  <c r="B17" i="3" s="1"/>
  <c r="Y5" i="3"/>
  <c r="U6" i="3" l="1"/>
  <c r="N36" i="1"/>
  <c r="M37" i="6"/>
  <c r="S12" i="3"/>
  <c r="S13" i="3" s="1"/>
  <c r="W6" i="3"/>
  <c r="P17" i="3"/>
  <c r="Q17" i="3" s="1"/>
  <c r="R17" i="3" s="1"/>
  <c r="A18" i="3"/>
  <c r="B18" i="3" s="1"/>
  <c r="AC17" i="3"/>
  <c r="Z17" i="3"/>
  <c r="AD17" i="3"/>
  <c r="AA17" i="3"/>
  <c r="E7" i="3" l="1"/>
  <c r="H7" i="3" s="1"/>
  <c r="K7" i="3" s="1"/>
  <c r="T12" i="3"/>
  <c r="AH7" i="3"/>
  <c r="AG7" i="3"/>
  <c r="D7" i="3"/>
  <c r="G7" i="3" s="1"/>
  <c r="S14" i="3"/>
  <c r="T13" i="3"/>
  <c r="AA18" i="3"/>
  <c r="P18" i="3"/>
  <c r="Q18" i="3" s="1"/>
  <c r="R18" i="3" s="1"/>
  <c r="AC18" i="3"/>
  <c r="A19" i="3"/>
  <c r="B19" i="3" s="1"/>
  <c r="AD18" i="3"/>
  <c r="Z18" i="3"/>
  <c r="M7" i="3" l="1"/>
  <c r="N7" i="3" s="1"/>
  <c r="J7" i="3"/>
  <c r="L7" i="3" s="1"/>
  <c r="I7" i="3"/>
  <c r="F7" i="3"/>
  <c r="S15" i="3"/>
  <c r="T14" i="3"/>
  <c r="P19" i="3"/>
  <c r="Q19" i="3" s="1"/>
  <c r="R19" i="3" s="1"/>
  <c r="A20" i="3"/>
  <c r="B20" i="3" s="1"/>
  <c r="Z19" i="3"/>
  <c r="AD19" i="3"/>
  <c r="AA19" i="3"/>
  <c r="AC19" i="3"/>
  <c r="V7" i="3"/>
  <c r="AE7" i="3"/>
  <c r="W7" i="3" l="1"/>
  <c r="AH8" i="3" s="1"/>
  <c r="T15" i="3"/>
  <c r="S16" i="3"/>
  <c r="U7" i="3"/>
  <c r="Y6" i="3"/>
  <c r="P20" i="3"/>
  <c r="Q20" i="3" s="1"/>
  <c r="R20" i="3" s="1"/>
  <c r="A21" i="3"/>
  <c r="B21" i="3" s="1"/>
  <c r="AA20" i="3"/>
  <c r="Z20" i="3"/>
  <c r="AD20" i="3"/>
  <c r="AC20" i="3"/>
  <c r="AG8" i="3" l="1"/>
  <c r="D8" i="3"/>
  <c r="G8" i="3" s="1"/>
  <c r="T16" i="3"/>
  <c r="S17" i="3"/>
  <c r="E8" i="3"/>
  <c r="H8" i="3" s="1"/>
  <c r="K8" i="3" s="1"/>
  <c r="AD21" i="3"/>
  <c r="P21" i="3"/>
  <c r="Q21" i="3" s="1"/>
  <c r="R21" i="3" s="1"/>
  <c r="AC21" i="3"/>
  <c r="AA21" i="3"/>
  <c r="Z21" i="3"/>
  <c r="A22" i="3"/>
  <c r="B22" i="3" s="1"/>
  <c r="T17" i="3" l="1"/>
  <c r="S18" i="3"/>
  <c r="F8" i="3"/>
  <c r="AC22" i="3"/>
  <c r="A23" i="3"/>
  <c r="B23" i="3" s="1"/>
  <c r="AD22" i="3"/>
  <c r="AA22" i="3"/>
  <c r="Z22" i="3"/>
  <c r="P22" i="3"/>
  <c r="Q22" i="3" s="1"/>
  <c r="R22" i="3" s="1"/>
  <c r="I8" i="3"/>
  <c r="J8" i="3"/>
  <c r="M8" i="3"/>
  <c r="N8" i="3" s="1"/>
  <c r="V8" i="3"/>
  <c r="AE8" i="3"/>
  <c r="S19" i="3" l="1"/>
  <c r="T18" i="3"/>
  <c r="W8" i="3"/>
  <c r="A24" i="3"/>
  <c r="B24" i="3" s="1"/>
  <c r="Z23" i="3"/>
  <c r="AA23" i="3"/>
  <c r="AC23" i="3"/>
  <c r="AD23" i="3"/>
  <c r="P23" i="3"/>
  <c r="Q23" i="3" s="1"/>
  <c r="R23" i="3" s="1"/>
  <c r="L8" i="3"/>
  <c r="S20" i="3" l="1"/>
  <c r="T19" i="3"/>
  <c r="U8" i="3"/>
  <c r="D9" i="3" s="1"/>
  <c r="AH9" i="3"/>
  <c r="AG9" i="3"/>
  <c r="Y7" i="3"/>
  <c r="AA24" i="3"/>
  <c r="Z24" i="3"/>
  <c r="AC24" i="3"/>
  <c r="AD24" i="3"/>
  <c r="A25" i="3"/>
  <c r="B25" i="3" s="1"/>
  <c r="P24" i="3"/>
  <c r="Q24" i="3" s="1"/>
  <c r="R24" i="3" s="1"/>
  <c r="S21" i="3" l="1"/>
  <c r="T20" i="3"/>
  <c r="E9" i="3"/>
  <c r="H9" i="3" s="1"/>
  <c r="K9" i="3" s="1"/>
  <c r="P25" i="3"/>
  <c r="Q25" i="3" s="1"/>
  <c r="R25" i="3" s="1"/>
  <c r="Z25" i="3"/>
  <c r="A26" i="3"/>
  <c r="B26" i="3" s="1"/>
  <c r="AC25" i="3"/>
  <c r="AA25" i="3"/>
  <c r="AD25" i="3"/>
  <c r="G9" i="3"/>
  <c r="T21" i="3" l="1"/>
  <c r="S22" i="3"/>
  <c r="F9" i="3"/>
  <c r="AD26" i="3"/>
  <c r="P26" i="3"/>
  <c r="Q26" i="3" s="1"/>
  <c r="R26" i="3" s="1"/>
  <c r="A27" i="3"/>
  <c r="B27" i="3" s="1"/>
  <c r="AA26" i="3"/>
  <c r="Z26" i="3"/>
  <c r="AC26" i="3"/>
  <c r="V9" i="3"/>
  <c r="AE9" i="3"/>
  <c r="I9" i="3"/>
  <c r="J9" i="3"/>
  <c r="M9" i="3"/>
  <c r="N9" i="3" s="1"/>
  <c r="T22" i="3" l="1"/>
  <c r="S23" i="3"/>
  <c r="W9" i="3"/>
  <c r="P27" i="3"/>
  <c r="Q27" i="3" s="1"/>
  <c r="R27" i="3" s="1"/>
  <c r="Z27" i="3"/>
  <c r="AA27" i="3"/>
  <c r="AD27" i="3"/>
  <c r="A28" i="3"/>
  <c r="B28" i="3" s="1"/>
  <c r="AC27" i="3"/>
  <c r="L9" i="3"/>
  <c r="S24" i="3" l="1"/>
  <c r="T23" i="3"/>
  <c r="Z28" i="3"/>
  <c r="P28" i="3"/>
  <c r="Q28" i="3" s="1"/>
  <c r="R28" i="3" s="1"/>
  <c r="A29" i="3"/>
  <c r="B29" i="3" s="1"/>
  <c r="AA28" i="3"/>
  <c r="AC28" i="3"/>
  <c r="AD28" i="3"/>
  <c r="AH10" i="3"/>
  <c r="U9" i="3"/>
  <c r="E10" i="3" s="1"/>
  <c r="H10" i="3" s="1"/>
  <c r="AG10" i="3"/>
  <c r="Y8" i="3"/>
  <c r="S25" i="3" l="1"/>
  <c r="T24" i="3"/>
  <c r="K10" i="3"/>
  <c r="AC29" i="3"/>
  <c r="P29" i="3"/>
  <c r="Q29" i="3" s="1"/>
  <c r="R29" i="3" s="1"/>
  <c r="A30" i="3"/>
  <c r="B30" i="3" s="1"/>
  <c r="AD29" i="3"/>
  <c r="Z29" i="3"/>
  <c r="AA29" i="3"/>
  <c r="D10" i="3"/>
  <c r="T25" i="3" l="1"/>
  <c r="S26" i="3"/>
  <c r="Z30" i="3"/>
  <c r="P30" i="3"/>
  <c r="Q30" i="3" s="1"/>
  <c r="R30" i="3" s="1"/>
  <c r="AC30" i="3"/>
  <c r="AA30" i="3"/>
  <c r="AD30" i="3"/>
  <c r="A31" i="3"/>
  <c r="B31" i="3" s="1"/>
  <c r="F10" i="3"/>
  <c r="G10" i="3"/>
  <c r="V10" i="3"/>
  <c r="AE10" i="3"/>
  <c r="T26" i="3" l="1"/>
  <c r="S27" i="3"/>
  <c r="I10" i="3"/>
  <c r="W10" i="3" s="1"/>
  <c r="J10" i="3"/>
  <c r="M10" i="3"/>
  <c r="N10" i="3" s="1"/>
  <c r="AC31" i="3"/>
  <c r="A32" i="3"/>
  <c r="B32" i="3" s="1"/>
  <c r="Z31" i="3"/>
  <c r="P31" i="3"/>
  <c r="Q31" i="3" s="1"/>
  <c r="R31" i="3" s="1"/>
  <c r="AD31" i="3"/>
  <c r="AA31" i="3"/>
  <c r="S28" i="3" l="1"/>
  <c r="T27" i="3"/>
  <c r="A33" i="3"/>
  <c r="B33" i="3" s="1"/>
  <c r="Z32" i="3"/>
  <c r="P32" i="3"/>
  <c r="Q32" i="3" s="1"/>
  <c r="R32" i="3" s="1"/>
  <c r="AD32" i="3"/>
  <c r="AC32" i="3"/>
  <c r="AA32" i="3"/>
  <c r="L10" i="3"/>
  <c r="S29" i="3" l="1"/>
  <c r="T28" i="3"/>
  <c r="P33" i="3"/>
  <c r="Q33" i="3" s="1"/>
  <c r="R33" i="3" s="1"/>
  <c r="AC33" i="3"/>
  <c r="A34" i="3"/>
  <c r="B34" i="3" s="1"/>
  <c r="AA33" i="3"/>
  <c r="Z33" i="3"/>
  <c r="AD33" i="3"/>
  <c r="AG11" i="3"/>
  <c r="AH11" i="3"/>
  <c r="U10" i="3"/>
  <c r="E11" i="3" s="1"/>
  <c r="H11" i="3" s="1"/>
  <c r="Y9" i="3"/>
  <c r="T29" i="3" l="1"/>
  <c r="S30" i="3"/>
  <c r="K11" i="3"/>
  <c r="Z34" i="3"/>
  <c r="P34" i="3"/>
  <c r="Q34" i="3" s="1"/>
  <c r="R34" i="3" s="1"/>
  <c r="AC34" i="3"/>
  <c r="A35" i="3"/>
  <c r="B35" i="3" s="1"/>
  <c r="AA34" i="3"/>
  <c r="D11" i="3"/>
  <c r="S31" i="3" l="1"/>
  <c r="T30" i="3"/>
  <c r="V11" i="3"/>
  <c r="AE11" i="3"/>
  <c r="A36" i="3"/>
  <c r="B36" i="3" s="1"/>
  <c r="Z35" i="3"/>
  <c r="AD35" i="3"/>
  <c r="AA35" i="3"/>
  <c r="AC35" i="3"/>
  <c r="P35" i="3"/>
  <c r="Q35" i="3" s="1"/>
  <c r="R35" i="3" s="1"/>
  <c r="F11" i="3"/>
  <c r="G11" i="3"/>
  <c r="T31" i="3" l="1"/>
  <c r="S32" i="3"/>
  <c r="AD36" i="3"/>
  <c r="AA36" i="3"/>
  <c r="P36" i="3"/>
  <c r="Q36" i="3" s="1"/>
  <c r="R36" i="3" s="1"/>
  <c r="Z36" i="3"/>
  <c r="A37" i="3"/>
  <c r="B37" i="3" s="1"/>
  <c r="AC36" i="3"/>
  <c r="I11" i="3"/>
  <c r="W11" i="3" s="1"/>
  <c r="J11" i="3"/>
  <c r="M11" i="3"/>
  <c r="N11" i="3" s="1"/>
  <c r="T32" i="3" l="1"/>
  <c r="S33" i="3"/>
  <c r="AD37" i="3"/>
  <c r="Z37" i="3"/>
  <c r="AA37" i="3"/>
  <c r="AC37" i="3"/>
  <c r="P37" i="3"/>
  <c r="Q37" i="3" s="1"/>
  <c r="R37" i="3" s="1"/>
  <c r="A38" i="3"/>
  <c r="B38" i="3" s="1"/>
  <c r="L11" i="3"/>
  <c r="S34" i="3" l="1"/>
  <c r="T33" i="3"/>
  <c r="P38" i="3"/>
  <c r="Q38" i="3" s="1"/>
  <c r="R38" i="3" s="1"/>
  <c r="A39" i="3"/>
  <c r="B39" i="3" s="1"/>
  <c r="AC38" i="3"/>
  <c r="AA38" i="3"/>
  <c r="AD38" i="3"/>
  <c r="Z38" i="3"/>
  <c r="AH12" i="3"/>
  <c r="U11" i="3"/>
  <c r="E12" i="3" s="1"/>
  <c r="H12" i="3" s="1"/>
  <c r="AG12" i="3"/>
  <c r="Y10" i="3"/>
  <c r="S35" i="3" l="1"/>
  <c r="T34" i="3"/>
  <c r="D12" i="3"/>
  <c r="G12" i="3" s="1"/>
  <c r="K12" i="3"/>
  <c r="AC39" i="3"/>
  <c r="P39" i="3"/>
  <c r="Q39" i="3" s="1"/>
  <c r="R39" i="3" s="1"/>
  <c r="AD39" i="3"/>
  <c r="Z39" i="3"/>
  <c r="A40" i="3"/>
  <c r="B40" i="3" s="1"/>
  <c r="AA39" i="3"/>
  <c r="T35" i="3" l="1"/>
  <c r="S36" i="3"/>
  <c r="F12" i="3"/>
  <c r="P40" i="3"/>
  <c r="Q40" i="3" s="1"/>
  <c r="R40" i="3" s="1"/>
  <c r="AA40" i="3"/>
  <c r="A41" i="3"/>
  <c r="B41" i="3" s="1"/>
  <c r="AC40" i="3"/>
  <c r="Z40" i="3"/>
  <c r="AD40" i="3"/>
  <c r="V12" i="3"/>
  <c r="AE12" i="3"/>
  <c r="I12" i="3"/>
  <c r="J12" i="3"/>
  <c r="M12" i="3"/>
  <c r="N12" i="3" s="1"/>
  <c r="T36" i="3" l="1"/>
  <c r="S37" i="3"/>
  <c r="W12" i="3"/>
  <c r="P41" i="3"/>
  <c r="Q41" i="3" s="1"/>
  <c r="R41" i="3" s="1"/>
  <c r="AC41" i="3"/>
  <c r="A42" i="3"/>
  <c r="B42" i="3" s="1"/>
  <c r="AA41" i="3"/>
  <c r="Z41" i="3"/>
  <c r="AD41" i="3"/>
  <c r="L12" i="3"/>
  <c r="S38" i="3" l="1"/>
  <c r="T37" i="3"/>
  <c r="AG13" i="3"/>
  <c r="U12" i="3"/>
  <c r="E13" i="3" s="1"/>
  <c r="H13" i="3" s="1"/>
  <c r="AH13" i="3"/>
  <c r="Y11" i="3"/>
  <c r="P42" i="3"/>
  <c r="Q42" i="3" s="1"/>
  <c r="R42" i="3" s="1"/>
  <c r="Z42" i="3"/>
  <c r="AA42" i="3"/>
  <c r="A43" i="3"/>
  <c r="B43" i="3" s="1"/>
  <c r="AD42" i="3"/>
  <c r="AC42" i="3"/>
  <c r="S39" i="3" l="1"/>
  <c r="T38" i="3"/>
  <c r="D13" i="3"/>
  <c r="F13" i="3" s="1"/>
  <c r="K13" i="3"/>
  <c r="AC43" i="3"/>
  <c r="P43" i="3"/>
  <c r="Q43" i="3" s="1"/>
  <c r="R43" i="3" s="1"/>
  <c r="AD43" i="3"/>
  <c r="Z43" i="3"/>
  <c r="A44" i="3"/>
  <c r="B44" i="3" s="1"/>
  <c r="AA43" i="3"/>
  <c r="S40" i="3" l="1"/>
  <c r="T39" i="3"/>
  <c r="G13" i="3"/>
  <c r="I13" i="3" s="1"/>
  <c r="AA44" i="3"/>
  <c r="P44" i="3"/>
  <c r="Q44" i="3" s="1"/>
  <c r="R44" i="3" s="1"/>
  <c r="A45" i="3"/>
  <c r="B45" i="3" s="1"/>
  <c r="Z44" i="3"/>
  <c r="AC44" i="3"/>
  <c r="V13" i="3"/>
  <c r="AE13" i="3"/>
  <c r="S41" i="3" l="1"/>
  <c r="T40" i="3"/>
  <c r="J13" i="3"/>
  <c r="L13" i="3" s="1"/>
  <c r="M13" i="3"/>
  <c r="N13" i="3" s="1"/>
  <c r="P45" i="3"/>
  <c r="Q45" i="3" s="1"/>
  <c r="R45" i="3" s="1"/>
  <c r="A46" i="3"/>
  <c r="B46" i="3" s="1"/>
  <c r="AA45" i="3"/>
  <c r="AD45" i="3"/>
  <c r="Z45" i="3"/>
  <c r="AC45" i="3"/>
  <c r="W13" i="3"/>
  <c r="T41" i="3" l="1"/>
  <c r="S42" i="3"/>
  <c r="P46" i="3"/>
  <c r="Q46" i="3" s="1"/>
  <c r="R46" i="3" s="1"/>
  <c r="AA46" i="3"/>
  <c r="AD46" i="3"/>
  <c r="A47" i="3"/>
  <c r="B47" i="3" s="1"/>
  <c r="Z46" i="3"/>
  <c r="AC46" i="3"/>
  <c r="AH14" i="3"/>
  <c r="AG14" i="3"/>
  <c r="U13" i="3"/>
  <c r="D14" i="3" s="1"/>
  <c r="Y12" i="3"/>
  <c r="S43" i="3" l="1"/>
  <c r="T42" i="3"/>
  <c r="E14" i="3"/>
  <c r="H14" i="3" s="1"/>
  <c r="K14" i="3" s="1"/>
  <c r="AD47" i="3"/>
  <c r="AA47" i="3"/>
  <c r="P47" i="3"/>
  <c r="Q47" i="3" s="1"/>
  <c r="R47" i="3" s="1"/>
  <c r="A48" i="3"/>
  <c r="B48" i="3" s="1"/>
  <c r="Z47" i="3"/>
  <c r="AC47" i="3"/>
  <c r="G14" i="3"/>
  <c r="S44" i="3" l="1"/>
  <c r="T43" i="3"/>
  <c r="F14" i="3"/>
  <c r="AC48" i="3"/>
  <c r="Z48" i="3"/>
  <c r="AA48" i="3"/>
  <c r="A49" i="3"/>
  <c r="B49" i="3" s="1"/>
  <c r="AD48" i="3"/>
  <c r="P48" i="3"/>
  <c r="Q48" i="3" s="1"/>
  <c r="R48" i="3" s="1"/>
  <c r="V14" i="3"/>
  <c r="AE14" i="3"/>
  <c r="I14" i="3"/>
  <c r="J14" i="3"/>
  <c r="M14" i="3"/>
  <c r="N14" i="3" s="1"/>
  <c r="S45" i="3" l="1"/>
  <c r="T44" i="3"/>
  <c r="A50" i="3"/>
  <c r="B50" i="3" s="1"/>
  <c r="P49" i="3"/>
  <c r="Q49" i="3" s="1"/>
  <c r="R49" i="3" s="1"/>
  <c r="AC49" i="3"/>
  <c r="AD49" i="3"/>
  <c r="AA49" i="3"/>
  <c r="Z49" i="3"/>
  <c r="W14" i="3"/>
  <c r="L14" i="3"/>
  <c r="T45" i="3" l="1"/>
  <c r="S46" i="3"/>
  <c r="U14" i="3"/>
  <c r="E15" i="3" s="1"/>
  <c r="H15" i="3" s="1"/>
  <c r="AG15" i="3"/>
  <c r="AH15" i="3"/>
  <c r="Y13" i="3"/>
  <c r="Z50" i="3"/>
  <c r="AA50" i="3"/>
  <c r="P50" i="3"/>
  <c r="Q50" i="3" s="1"/>
  <c r="R50" i="3" s="1"/>
  <c r="A51" i="3"/>
  <c r="B51" i="3" s="1"/>
  <c r="AD50" i="3"/>
  <c r="AC50" i="3"/>
  <c r="T46" i="3" l="1"/>
  <c r="S47" i="3"/>
  <c r="D15" i="3"/>
  <c r="F15" i="3" s="1"/>
  <c r="AD51" i="3"/>
  <c r="A52" i="3"/>
  <c r="B52" i="3" s="1"/>
  <c r="P51" i="3"/>
  <c r="Q51" i="3" s="1"/>
  <c r="R51" i="3" s="1"/>
  <c r="AA51" i="3"/>
  <c r="Z51" i="3"/>
  <c r="AC51" i="3"/>
  <c r="K15" i="3"/>
  <c r="T47" i="3" l="1"/>
  <c r="S48" i="3"/>
  <c r="G15" i="3"/>
  <c r="I15" i="3" s="1"/>
  <c r="A53" i="3"/>
  <c r="B53" i="3" s="1"/>
  <c r="AC52" i="3"/>
  <c r="P52" i="3"/>
  <c r="Q52" i="3" s="1"/>
  <c r="R52" i="3" s="1"/>
  <c r="AA52" i="3"/>
  <c r="AD52" i="3"/>
  <c r="Z52" i="3"/>
  <c r="V15" i="3"/>
  <c r="AE15" i="3"/>
  <c r="T48" i="3" l="1"/>
  <c r="S49" i="3"/>
  <c r="J15" i="3"/>
  <c r="L15" i="3" s="1"/>
  <c r="M15" i="3"/>
  <c r="N15" i="3" s="1"/>
  <c r="A54" i="3"/>
  <c r="B54" i="3" s="1"/>
  <c r="AD53" i="3"/>
  <c r="P53" i="3"/>
  <c r="Q53" i="3" s="1"/>
  <c r="R53" i="3" s="1"/>
  <c r="AA53" i="3"/>
  <c r="AC53" i="3"/>
  <c r="Z53" i="3"/>
  <c r="W15" i="3"/>
  <c r="S50" i="3" l="1"/>
  <c r="T49" i="3"/>
  <c r="AC54" i="3"/>
  <c r="P54" i="3"/>
  <c r="Q54" i="3" s="1"/>
  <c r="R54" i="3" s="1"/>
  <c r="A55" i="3"/>
  <c r="B55" i="3" s="1"/>
  <c r="AA54" i="3"/>
  <c r="Z54" i="3"/>
  <c r="AD54" i="3"/>
  <c r="U15" i="3"/>
  <c r="D16" i="3" s="1"/>
  <c r="AG16" i="3"/>
  <c r="AH16" i="3"/>
  <c r="Y14" i="3"/>
  <c r="S51" i="3" l="1"/>
  <c r="T50" i="3"/>
  <c r="E16" i="3"/>
  <c r="H16" i="3" s="1"/>
  <c r="K16" i="3" s="1"/>
  <c r="G16" i="3"/>
  <c r="P55" i="3"/>
  <c r="Q55" i="3" s="1"/>
  <c r="R55" i="3" s="1"/>
  <c r="A56" i="3"/>
  <c r="B56" i="3" s="1"/>
  <c r="AC55" i="3"/>
  <c r="AA55" i="3"/>
  <c r="Z55" i="3"/>
  <c r="AD55" i="3"/>
  <c r="T51" i="3" l="1"/>
  <c r="S52" i="3"/>
  <c r="F16" i="3"/>
  <c r="P56" i="3"/>
  <c r="Q56" i="3" s="1"/>
  <c r="R56" i="3" s="1"/>
  <c r="AA56" i="3"/>
  <c r="A57" i="3"/>
  <c r="B57" i="3" s="1"/>
  <c r="AD56" i="3"/>
  <c r="Z56" i="3"/>
  <c r="AC56" i="3"/>
  <c r="I16" i="3"/>
  <c r="J16" i="3"/>
  <c r="M16" i="3"/>
  <c r="N16" i="3" s="1"/>
  <c r="V16" i="3"/>
  <c r="AE16" i="3"/>
  <c r="S53" i="3" l="1"/>
  <c r="T52" i="3"/>
  <c r="AD57" i="3"/>
  <c r="AA57" i="3"/>
  <c r="A58" i="3"/>
  <c r="B58" i="3" s="1"/>
  <c r="AC57" i="3"/>
  <c r="P57" i="3"/>
  <c r="Q57" i="3" s="1"/>
  <c r="R57" i="3" s="1"/>
  <c r="Z57" i="3"/>
  <c r="L16" i="3"/>
  <c r="W16" i="3"/>
  <c r="S54" i="3" l="1"/>
  <c r="T53" i="3"/>
  <c r="Z58" i="3"/>
  <c r="AD58" i="3"/>
  <c r="AA58" i="3"/>
  <c r="P58" i="3"/>
  <c r="Q58" i="3" s="1"/>
  <c r="R58" i="3" s="1"/>
  <c r="A59" i="3"/>
  <c r="B59" i="3" s="1"/>
  <c r="AC58" i="3"/>
  <c r="U16" i="3"/>
  <c r="D17" i="3" s="1"/>
  <c r="AG17" i="3"/>
  <c r="AH17" i="3"/>
  <c r="Y15" i="3"/>
  <c r="S55" i="3" l="1"/>
  <c r="T54" i="3"/>
  <c r="G17" i="3"/>
  <c r="P59" i="3"/>
  <c r="Q59" i="3" s="1"/>
  <c r="R59" i="3" s="1"/>
  <c r="A60" i="3"/>
  <c r="B60" i="3" s="1"/>
  <c r="AC59" i="3"/>
  <c r="AD59" i="3"/>
  <c r="Z59" i="3"/>
  <c r="AA59" i="3"/>
  <c r="E17" i="3"/>
  <c r="H17" i="3" s="1"/>
  <c r="S56" i="3" l="1"/>
  <c r="T55" i="3"/>
  <c r="AC60" i="3"/>
  <c r="AD60" i="3"/>
  <c r="Z60" i="3"/>
  <c r="P60" i="3"/>
  <c r="Q60" i="3" s="1"/>
  <c r="R60" i="3" s="1"/>
  <c r="A61" i="3"/>
  <c r="B61" i="3" s="1"/>
  <c r="AA60" i="3"/>
  <c r="F17" i="3"/>
  <c r="I17" i="3"/>
  <c r="J17" i="3"/>
  <c r="M17" i="3"/>
  <c r="N17" i="3" s="1"/>
  <c r="K17" i="3"/>
  <c r="S57" i="3" l="1"/>
  <c r="T56" i="3"/>
  <c r="A62" i="3"/>
  <c r="B62" i="3" s="1"/>
  <c r="Z61" i="3"/>
  <c r="AD61" i="3"/>
  <c r="AC61" i="3"/>
  <c r="P61" i="3"/>
  <c r="Q61" i="3" s="1"/>
  <c r="R61" i="3" s="1"/>
  <c r="AA61" i="3"/>
  <c r="V17" i="3"/>
  <c r="W17" i="3" s="1"/>
  <c r="AE17" i="3"/>
  <c r="L17" i="3"/>
  <c r="S58" i="3" l="1"/>
  <c r="T57" i="3"/>
  <c r="AD62" i="3"/>
  <c r="P62" i="3"/>
  <c r="Q62" i="3" s="1"/>
  <c r="R62" i="3" s="1"/>
  <c r="Z62" i="3"/>
  <c r="AA62" i="3"/>
  <c r="AC62" i="3"/>
  <c r="A63" i="3"/>
  <c r="B63" i="3" s="1"/>
  <c r="U17" i="3"/>
  <c r="E18" i="3" s="1"/>
  <c r="H18" i="3" s="1"/>
  <c r="AG18" i="3"/>
  <c r="AH18" i="3"/>
  <c r="Y16" i="3"/>
  <c r="S59" i="3" l="1"/>
  <c r="T58" i="3"/>
  <c r="D18" i="3"/>
  <c r="G18" i="3" s="1"/>
  <c r="K18" i="3"/>
  <c r="AC63" i="3"/>
  <c r="AA63" i="3"/>
  <c r="A64" i="3"/>
  <c r="B64" i="3" s="1"/>
  <c r="AD63" i="3"/>
  <c r="P63" i="3"/>
  <c r="Q63" i="3" s="1"/>
  <c r="R63" i="3" s="1"/>
  <c r="Z63" i="3"/>
  <c r="T59" i="3" l="1"/>
  <c r="S60" i="3"/>
  <c r="F18" i="3"/>
  <c r="I18" i="3"/>
  <c r="J18" i="3"/>
  <c r="M18" i="3"/>
  <c r="N18" i="3" s="1"/>
  <c r="A65" i="3"/>
  <c r="B65" i="3" s="1"/>
  <c r="Z64" i="3"/>
  <c r="AA64" i="3"/>
  <c r="AC64" i="3"/>
  <c r="AD64" i="3"/>
  <c r="P64" i="3"/>
  <c r="Q64" i="3" s="1"/>
  <c r="R64" i="3" s="1"/>
  <c r="V18" i="3"/>
  <c r="AE18" i="3"/>
  <c r="T60" i="3" l="1"/>
  <c r="S61" i="3"/>
  <c r="Z65" i="3"/>
  <c r="AA65" i="3"/>
  <c r="A66" i="3"/>
  <c r="B66" i="3" s="1"/>
  <c r="AC65" i="3"/>
  <c r="P65" i="3"/>
  <c r="Q65" i="3" s="1"/>
  <c r="R65" i="3" s="1"/>
  <c r="AD65" i="3"/>
  <c r="L18" i="3"/>
  <c r="W18" i="3"/>
  <c r="T61" i="3" l="1"/>
  <c r="S62" i="3"/>
  <c r="A67" i="3"/>
  <c r="B67" i="3" s="1"/>
  <c r="P66" i="3"/>
  <c r="Q66" i="3" s="1"/>
  <c r="R66" i="3" s="1"/>
  <c r="AC66" i="3"/>
  <c r="Z66" i="3"/>
  <c r="AD66" i="3"/>
  <c r="AA66" i="3"/>
  <c r="U18" i="3"/>
  <c r="D19" i="3" s="1"/>
  <c r="AH19" i="3"/>
  <c r="AG19" i="3"/>
  <c r="Y17" i="3"/>
  <c r="S63" i="3" l="1"/>
  <c r="T62" i="3"/>
  <c r="G19" i="3"/>
  <c r="E19" i="3"/>
  <c r="H19" i="3" s="1"/>
  <c r="AA67" i="3"/>
  <c r="Z67" i="3"/>
  <c r="AD67" i="3"/>
  <c r="AC67" i="3"/>
  <c r="P67" i="3"/>
  <c r="Q67" i="3" s="1"/>
  <c r="R67" i="3" s="1"/>
  <c r="A68" i="3"/>
  <c r="B68" i="3" s="1"/>
  <c r="T63" i="3" l="1"/>
  <c r="S64" i="3"/>
  <c r="F19" i="3"/>
  <c r="AD68" i="3"/>
  <c r="AC68" i="3"/>
  <c r="Z68" i="3"/>
  <c r="AA68" i="3"/>
  <c r="A69" i="3"/>
  <c r="B69" i="3" s="1"/>
  <c r="P68" i="3"/>
  <c r="Q68" i="3" s="1"/>
  <c r="R68" i="3" s="1"/>
  <c r="I19" i="3"/>
  <c r="J19" i="3"/>
  <c r="M19" i="3"/>
  <c r="N19" i="3" s="1"/>
  <c r="K19" i="3"/>
  <c r="S65" i="3" l="1"/>
  <c r="T64" i="3"/>
  <c r="Z69" i="3"/>
  <c r="AC69" i="3"/>
  <c r="P69" i="3"/>
  <c r="Q69" i="3" s="1"/>
  <c r="R69" i="3" s="1"/>
  <c r="AA69" i="3"/>
  <c r="AD69" i="3"/>
  <c r="A70" i="3"/>
  <c r="B70" i="3" s="1"/>
  <c r="V19" i="3"/>
  <c r="W19" i="3" s="1"/>
  <c r="AE19" i="3"/>
  <c r="L19" i="3"/>
  <c r="T65" i="3" l="1"/>
  <c r="S66" i="3"/>
  <c r="AH20" i="3"/>
  <c r="U19" i="3"/>
  <c r="E20" i="3" s="1"/>
  <c r="H20" i="3" s="1"/>
  <c r="AG20" i="3"/>
  <c r="Y18" i="3"/>
  <c r="A71" i="3"/>
  <c r="B71" i="3" s="1"/>
  <c r="AC70" i="3"/>
  <c r="AA70" i="3"/>
  <c r="AD70" i="3"/>
  <c r="P70" i="3"/>
  <c r="Q70" i="3" s="1"/>
  <c r="R70" i="3" s="1"/>
  <c r="Z70" i="3"/>
  <c r="S67" i="3" l="1"/>
  <c r="T66" i="3"/>
  <c r="D20" i="3"/>
  <c r="G20" i="3" s="1"/>
  <c r="K20" i="3"/>
  <c r="AA71" i="3"/>
  <c r="A72" i="3"/>
  <c r="B72" i="3" s="1"/>
  <c r="AC71" i="3"/>
  <c r="Z71" i="3"/>
  <c r="AD71" i="3"/>
  <c r="P71" i="3"/>
  <c r="Q71" i="3" s="1"/>
  <c r="R71" i="3" s="1"/>
  <c r="S68" i="3" l="1"/>
  <c r="T67" i="3"/>
  <c r="F20" i="3"/>
  <c r="A73" i="3"/>
  <c r="B73" i="3" s="1"/>
  <c r="Z72" i="3"/>
  <c r="P72" i="3"/>
  <c r="Q72" i="3" s="1"/>
  <c r="R72" i="3" s="1"/>
  <c r="AD72" i="3"/>
  <c r="AA72" i="3"/>
  <c r="AC72" i="3"/>
  <c r="V20" i="3"/>
  <c r="AE20" i="3"/>
  <c r="I20" i="3"/>
  <c r="J20" i="3"/>
  <c r="M20" i="3"/>
  <c r="N20" i="3" s="1"/>
  <c r="S69" i="3" l="1"/>
  <c r="T68" i="3"/>
  <c r="AC73" i="3"/>
  <c r="A74" i="3"/>
  <c r="B74" i="3" s="1"/>
  <c r="Z73" i="3"/>
  <c r="AA73" i="3"/>
  <c r="AD73" i="3"/>
  <c r="P73" i="3"/>
  <c r="Q73" i="3" s="1"/>
  <c r="R73" i="3" s="1"/>
  <c r="L20" i="3"/>
  <c r="W20" i="3"/>
  <c r="T69" i="3" l="1"/>
  <c r="S70" i="3"/>
  <c r="AD74" i="3"/>
  <c r="P74" i="3"/>
  <c r="Q74" i="3" s="1"/>
  <c r="R74" i="3" s="1"/>
  <c r="AC74" i="3"/>
  <c r="A75" i="3"/>
  <c r="B75" i="3" s="1"/>
  <c r="AA74" i="3"/>
  <c r="Z74" i="3"/>
  <c r="AG21" i="3"/>
  <c r="U20" i="3"/>
  <c r="E21" i="3" s="1"/>
  <c r="H21" i="3" s="1"/>
  <c r="AH21" i="3"/>
  <c r="Y19" i="3"/>
  <c r="T70" i="3" l="1"/>
  <c r="S71" i="3"/>
  <c r="D21" i="3"/>
  <c r="G21" i="3" s="1"/>
  <c r="K21" i="3"/>
  <c r="P75" i="3"/>
  <c r="Q75" i="3" s="1"/>
  <c r="R75" i="3" s="1"/>
  <c r="Z75" i="3"/>
  <c r="A76" i="3"/>
  <c r="B76" i="3" s="1"/>
  <c r="AA75" i="3"/>
  <c r="AC75" i="3"/>
  <c r="AD75" i="3"/>
  <c r="S72" i="3" l="1"/>
  <c r="T71" i="3"/>
  <c r="F21" i="3"/>
  <c r="AC76" i="3"/>
  <c r="Z76" i="3"/>
  <c r="AD76" i="3"/>
  <c r="AA76" i="3"/>
  <c r="A77" i="3"/>
  <c r="B77" i="3" s="1"/>
  <c r="P76" i="3"/>
  <c r="Q76" i="3" s="1"/>
  <c r="R76" i="3" s="1"/>
  <c r="I21" i="3"/>
  <c r="J21" i="3"/>
  <c r="M21" i="3"/>
  <c r="N21" i="3" s="1"/>
  <c r="V21" i="3"/>
  <c r="AE21" i="3"/>
  <c r="S73" i="3" l="1"/>
  <c r="T72" i="3"/>
  <c r="W21" i="3"/>
  <c r="A78" i="3"/>
  <c r="B78" i="3" s="1"/>
  <c r="AA77" i="3"/>
  <c r="Z77" i="3"/>
  <c r="P77" i="3"/>
  <c r="Q77" i="3" s="1"/>
  <c r="R77" i="3" s="1"/>
  <c r="AD77" i="3"/>
  <c r="AC77" i="3"/>
  <c r="L21" i="3"/>
  <c r="T73" i="3" l="1"/>
  <c r="S74" i="3"/>
  <c r="AG22" i="3"/>
  <c r="U21" i="3"/>
  <c r="D22" i="3" s="1"/>
  <c r="AH22" i="3"/>
  <c r="Y20" i="3"/>
  <c r="A79" i="3"/>
  <c r="B79" i="3" s="1"/>
  <c r="AD78" i="3"/>
  <c r="P78" i="3"/>
  <c r="Q78" i="3" s="1"/>
  <c r="R78" i="3" s="1"/>
  <c r="AC78" i="3"/>
  <c r="AA78" i="3"/>
  <c r="Z78" i="3"/>
  <c r="S75" i="3" l="1"/>
  <c r="T74" i="3"/>
  <c r="G22" i="3"/>
  <c r="E22" i="3"/>
  <c r="H22" i="3" s="1"/>
  <c r="P79" i="3"/>
  <c r="Q79" i="3" s="1"/>
  <c r="R79" i="3" s="1"/>
  <c r="A80" i="3"/>
  <c r="B80" i="3" s="1"/>
  <c r="Z79" i="3"/>
  <c r="AC79" i="3"/>
  <c r="AA79" i="3"/>
  <c r="AD79" i="3"/>
  <c r="T75" i="3" l="1"/>
  <c r="S76" i="3"/>
  <c r="AA80" i="3"/>
  <c r="A81" i="3"/>
  <c r="B81" i="3" s="1"/>
  <c r="AD80" i="3"/>
  <c r="AC80" i="3"/>
  <c r="P80" i="3"/>
  <c r="Q80" i="3" s="1"/>
  <c r="R80" i="3" s="1"/>
  <c r="Z80" i="3"/>
  <c r="I22" i="3"/>
  <c r="J22" i="3"/>
  <c r="M22" i="3"/>
  <c r="N22" i="3" s="1"/>
  <c r="K22" i="3"/>
  <c r="F22" i="3"/>
  <c r="S77" i="3" l="1"/>
  <c r="T76" i="3"/>
  <c r="L22" i="3"/>
  <c r="Z81" i="3"/>
  <c r="AC81" i="3"/>
  <c r="A82" i="3"/>
  <c r="B82" i="3" s="1"/>
  <c r="AA81" i="3"/>
  <c r="AD81" i="3"/>
  <c r="P81" i="3"/>
  <c r="Q81" i="3" s="1"/>
  <c r="R81" i="3" s="1"/>
  <c r="V22" i="3"/>
  <c r="W22" i="3" s="1"/>
  <c r="AE22" i="3"/>
  <c r="T77" i="3" l="1"/>
  <c r="S78" i="3"/>
  <c r="U22" i="3"/>
  <c r="E23" i="3" s="1"/>
  <c r="H23" i="3" s="1"/>
  <c r="AH23" i="3"/>
  <c r="AG23" i="3"/>
  <c r="Y21" i="3"/>
  <c r="A83" i="3"/>
  <c r="B83" i="3" s="1"/>
  <c r="P82" i="3"/>
  <c r="Q82" i="3" s="1"/>
  <c r="R82" i="3" s="1"/>
  <c r="AC82" i="3"/>
  <c r="AA82" i="3"/>
  <c r="Z82" i="3"/>
  <c r="AD82" i="3"/>
  <c r="S79" i="3" l="1"/>
  <c r="T78" i="3"/>
  <c r="AA83" i="3"/>
  <c r="AC83" i="3"/>
  <c r="P83" i="3"/>
  <c r="Q83" i="3" s="1"/>
  <c r="R83" i="3" s="1"/>
  <c r="Z83" i="3"/>
  <c r="AD83" i="3"/>
  <c r="A84" i="3"/>
  <c r="B84" i="3" s="1"/>
  <c r="K23" i="3"/>
  <c r="D23" i="3"/>
  <c r="S80" i="3" l="1"/>
  <c r="T79" i="3"/>
  <c r="AA84" i="3"/>
  <c r="Z84" i="3"/>
  <c r="A85" i="3"/>
  <c r="B85" i="3" s="1"/>
  <c r="P84" i="3"/>
  <c r="Q84" i="3" s="1"/>
  <c r="R84" i="3" s="1"/>
  <c r="AD84" i="3"/>
  <c r="AC84" i="3"/>
  <c r="V23" i="3"/>
  <c r="AE23" i="3"/>
  <c r="F23" i="3"/>
  <c r="G23" i="3"/>
  <c r="T80" i="3" l="1"/>
  <c r="S81" i="3"/>
  <c r="A86" i="3"/>
  <c r="B86" i="3" s="1"/>
  <c r="P85" i="3"/>
  <c r="Q85" i="3" s="1"/>
  <c r="R85" i="3" s="1"/>
  <c r="AA85" i="3"/>
  <c r="AC85" i="3"/>
  <c r="Z85" i="3"/>
  <c r="AD85" i="3"/>
  <c r="I23" i="3"/>
  <c r="W23" i="3" s="1"/>
  <c r="J23" i="3"/>
  <c r="M23" i="3"/>
  <c r="N23" i="3" s="1"/>
  <c r="T81" i="3" l="1"/>
  <c r="S82" i="3"/>
  <c r="AC86" i="3"/>
  <c r="Z86" i="3"/>
  <c r="P86" i="3"/>
  <c r="Q86" i="3" s="1"/>
  <c r="R86" i="3" s="1"/>
  <c r="AA86" i="3"/>
  <c r="A87" i="3"/>
  <c r="B87" i="3" s="1"/>
  <c r="AD86" i="3"/>
  <c r="L23" i="3"/>
  <c r="T82" i="3" l="1"/>
  <c r="S83" i="3"/>
  <c r="P87" i="3"/>
  <c r="Q87" i="3" s="1"/>
  <c r="R87" i="3" s="1"/>
  <c r="Z87" i="3"/>
  <c r="A88" i="3"/>
  <c r="B88" i="3" s="1"/>
  <c r="AD87" i="3"/>
  <c r="AC87" i="3"/>
  <c r="AA87" i="3"/>
  <c r="AG24" i="3"/>
  <c r="AH24" i="3"/>
  <c r="U23" i="3"/>
  <c r="E24" i="3" s="1"/>
  <c r="H24" i="3" s="1"/>
  <c r="Y22" i="3"/>
  <c r="T83" i="3" l="1"/>
  <c r="S84" i="3"/>
  <c r="D24" i="3"/>
  <c r="G24" i="3" s="1"/>
  <c r="A89" i="3"/>
  <c r="B89" i="3" s="1"/>
  <c r="P88" i="3"/>
  <c r="Q88" i="3" s="1"/>
  <c r="R88" i="3" s="1"/>
  <c r="AC88" i="3"/>
  <c r="Z88" i="3"/>
  <c r="AA88" i="3"/>
  <c r="AD88" i="3"/>
  <c r="K24" i="3"/>
  <c r="T84" i="3" l="1"/>
  <c r="S85" i="3"/>
  <c r="F24" i="3"/>
  <c r="AD89" i="3"/>
  <c r="AC89" i="3"/>
  <c r="P89" i="3"/>
  <c r="Q89" i="3" s="1"/>
  <c r="R89" i="3" s="1"/>
  <c r="Z89" i="3"/>
  <c r="AA89" i="3"/>
  <c r="A90" i="3"/>
  <c r="B90" i="3" s="1"/>
  <c r="V24" i="3"/>
  <c r="AE24" i="3"/>
  <c r="I24" i="3"/>
  <c r="J24" i="3"/>
  <c r="M24" i="3"/>
  <c r="N24" i="3" s="1"/>
  <c r="T85" i="3" l="1"/>
  <c r="S86" i="3"/>
  <c r="A91" i="3"/>
  <c r="B91" i="3" s="1"/>
  <c r="P90" i="3"/>
  <c r="Q90" i="3" s="1"/>
  <c r="R90" i="3" s="1"/>
  <c r="AC90" i="3"/>
  <c r="Z90" i="3"/>
  <c r="AA90" i="3"/>
  <c r="AD90" i="3"/>
  <c r="L24" i="3"/>
  <c r="W24" i="3"/>
  <c r="T86" i="3" l="1"/>
  <c r="S87" i="3"/>
  <c r="P91" i="3"/>
  <c r="Q91" i="3" s="1"/>
  <c r="R91" i="3" s="1"/>
  <c r="AD91" i="3"/>
  <c r="AA91" i="3"/>
  <c r="A92" i="3"/>
  <c r="B92" i="3" s="1"/>
  <c r="AC91" i="3"/>
  <c r="Z91" i="3"/>
  <c r="AH25" i="3"/>
  <c r="AG25" i="3"/>
  <c r="U24" i="3"/>
  <c r="D25" i="3" s="1"/>
  <c r="Y23" i="3"/>
  <c r="S88" i="3" l="1"/>
  <c r="T87" i="3"/>
  <c r="E25" i="3"/>
  <c r="H25" i="3" s="1"/>
  <c r="K25" i="3" s="1"/>
  <c r="G25" i="3"/>
  <c r="AA92" i="3"/>
  <c r="AD92" i="3"/>
  <c r="AC92" i="3"/>
  <c r="P92" i="3"/>
  <c r="Q92" i="3" s="1"/>
  <c r="R92" i="3" s="1"/>
  <c r="Z92" i="3"/>
  <c r="A93" i="3"/>
  <c r="B93" i="3" s="1"/>
  <c r="T88" i="3" l="1"/>
  <c r="S89" i="3"/>
  <c r="F25" i="3"/>
  <c r="Z93" i="3"/>
  <c r="AA93" i="3"/>
  <c r="P93" i="3"/>
  <c r="Q93" i="3" s="1"/>
  <c r="R93" i="3" s="1"/>
  <c r="A94" i="3"/>
  <c r="B94" i="3" s="1"/>
  <c r="AD93" i="3"/>
  <c r="AC93" i="3"/>
  <c r="I25" i="3"/>
  <c r="J25" i="3"/>
  <c r="M25" i="3"/>
  <c r="N25" i="3" s="1"/>
  <c r="V25" i="3"/>
  <c r="AE25" i="3"/>
  <c r="S90" i="3" l="1"/>
  <c r="T89" i="3"/>
  <c r="W25" i="3"/>
  <c r="AC94" i="3"/>
  <c r="Z94" i="3"/>
  <c r="AA94" i="3"/>
  <c r="AD94" i="3"/>
  <c r="A95" i="3"/>
  <c r="B95" i="3" s="1"/>
  <c r="P94" i="3"/>
  <c r="Q94" i="3" s="1"/>
  <c r="R94" i="3" s="1"/>
  <c r="L25" i="3"/>
  <c r="S91" i="3" l="1"/>
  <c r="T90" i="3"/>
  <c r="U25" i="3"/>
  <c r="E26" i="3" s="1"/>
  <c r="H26" i="3" s="1"/>
  <c r="AH26" i="3"/>
  <c r="AG26" i="3"/>
  <c r="Y24" i="3"/>
  <c r="Z95" i="3"/>
  <c r="A96" i="3"/>
  <c r="B96" i="3" s="1"/>
  <c r="P95" i="3"/>
  <c r="Q95" i="3" s="1"/>
  <c r="R95" i="3" s="1"/>
  <c r="AC95" i="3"/>
  <c r="AD95" i="3"/>
  <c r="AA95" i="3"/>
  <c r="T91" i="3" l="1"/>
  <c r="S92" i="3"/>
  <c r="D26" i="3"/>
  <c r="G26" i="3" s="1"/>
  <c r="K26" i="3"/>
  <c r="Z96" i="3"/>
  <c r="P96" i="3"/>
  <c r="Q96" i="3" s="1"/>
  <c r="R96" i="3" s="1"/>
  <c r="AC96" i="3"/>
  <c r="AA96" i="3"/>
  <c r="AD96" i="3"/>
  <c r="A97" i="3"/>
  <c r="B97" i="3" s="1"/>
  <c r="S93" i="3" l="1"/>
  <c r="T92" i="3"/>
  <c r="F26" i="3"/>
  <c r="I26" i="3"/>
  <c r="J26" i="3"/>
  <c r="M26" i="3"/>
  <c r="N26" i="3" s="1"/>
  <c r="A98" i="3"/>
  <c r="B98" i="3" s="1"/>
  <c r="P97" i="3"/>
  <c r="Q97" i="3" s="1"/>
  <c r="R97" i="3" s="1"/>
  <c r="AD97" i="3"/>
  <c r="AA97" i="3"/>
  <c r="Z97" i="3"/>
  <c r="AC97" i="3"/>
  <c r="V26" i="3"/>
  <c r="AE26" i="3"/>
  <c r="T93" i="3" l="1"/>
  <c r="S94" i="3"/>
  <c r="W26" i="3"/>
  <c r="A99" i="3"/>
  <c r="B99" i="3" s="1"/>
  <c r="AD98" i="3"/>
  <c r="AA98" i="3"/>
  <c r="P98" i="3"/>
  <c r="Q98" i="3" s="1"/>
  <c r="R98" i="3" s="1"/>
  <c r="Z98" i="3"/>
  <c r="AC98" i="3"/>
  <c r="L26" i="3"/>
  <c r="T94" i="3" l="1"/>
  <c r="S95" i="3"/>
  <c r="AD99" i="3"/>
  <c r="P99" i="3"/>
  <c r="Q99" i="3" s="1"/>
  <c r="R99" i="3" s="1"/>
  <c r="Z99" i="3"/>
  <c r="A100" i="3"/>
  <c r="B100" i="3" s="1"/>
  <c r="AC99" i="3"/>
  <c r="AA99" i="3"/>
  <c r="AH27" i="3"/>
  <c r="U26" i="3"/>
  <c r="D27" i="3" s="1"/>
  <c r="AG27" i="3"/>
  <c r="Y25" i="3"/>
  <c r="S96" i="3" l="1"/>
  <c r="T95" i="3"/>
  <c r="E27" i="3"/>
  <c r="H27" i="3" s="1"/>
  <c r="K27" i="3" s="1"/>
  <c r="G27" i="3"/>
  <c r="A101" i="3"/>
  <c r="B101" i="3" s="1"/>
  <c r="AA100" i="3"/>
  <c r="AC100" i="3"/>
  <c r="Z100" i="3"/>
  <c r="AD100" i="3"/>
  <c r="P100" i="3"/>
  <c r="Q100" i="3" s="1"/>
  <c r="R100" i="3" s="1"/>
  <c r="S97" i="3" l="1"/>
  <c r="T96" i="3"/>
  <c r="F27" i="3"/>
  <c r="AD101" i="3"/>
  <c r="Z101" i="3"/>
  <c r="P101" i="3"/>
  <c r="Q101" i="3" s="1"/>
  <c r="R101" i="3" s="1"/>
  <c r="AC101" i="3"/>
  <c r="A102" i="3"/>
  <c r="B102" i="3" s="1"/>
  <c r="AA101" i="3"/>
  <c r="I27" i="3"/>
  <c r="J27" i="3"/>
  <c r="M27" i="3"/>
  <c r="N27" i="3" s="1"/>
  <c r="V27" i="3"/>
  <c r="AE27" i="3"/>
  <c r="S98" i="3" l="1"/>
  <c r="T97" i="3"/>
  <c r="P102" i="3"/>
  <c r="Q102" i="3" s="1"/>
  <c r="R102" i="3" s="1"/>
  <c r="A103" i="3"/>
  <c r="B103" i="3" s="1"/>
  <c r="AA102" i="3"/>
  <c r="AC102" i="3"/>
  <c r="AD102" i="3"/>
  <c r="Z102" i="3"/>
  <c r="L27" i="3"/>
  <c r="W27" i="3"/>
  <c r="T98" i="3" l="1"/>
  <c r="S99" i="3"/>
  <c r="P103" i="3"/>
  <c r="Q103" i="3" s="1"/>
  <c r="R103" i="3" s="1"/>
  <c r="AD103" i="3"/>
  <c r="AC103" i="3"/>
  <c r="Z103" i="3"/>
  <c r="A104" i="3"/>
  <c r="B104" i="3" s="1"/>
  <c r="AA103" i="3"/>
  <c r="U27" i="3"/>
  <c r="E28" i="3" s="1"/>
  <c r="H28" i="3" s="1"/>
  <c r="AG28" i="3"/>
  <c r="AH28" i="3"/>
  <c r="Y26" i="3"/>
  <c r="S100" i="3" l="1"/>
  <c r="T99" i="3"/>
  <c r="D28" i="3"/>
  <c r="F28" i="3" s="1"/>
  <c r="K28" i="3"/>
  <c r="AC104" i="3"/>
  <c r="P104" i="3"/>
  <c r="Q104" i="3" s="1"/>
  <c r="R104" i="3" s="1"/>
  <c r="Z104" i="3"/>
  <c r="AA104" i="3"/>
  <c r="S101" i="3" l="1"/>
  <c r="T100" i="3"/>
  <c r="G28" i="3"/>
  <c r="I28" i="3" s="1"/>
  <c r="V28" i="3"/>
  <c r="AE28" i="3"/>
  <c r="T101" i="3" l="1"/>
  <c r="S102" i="3"/>
  <c r="M28" i="3"/>
  <c r="N28" i="3" s="1"/>
  <c r="J28" i="3"/>
  <c r="L28" i="3" s="1"/>
  <c r="W28" i="3"/>
  <c r="S103" i="3" l="1"/>
  <c r="T102" i="3"/>
  <c r="AH29" i="3"/>
  <c r="AG29" i="3"/>
  <c r="U28" i="3"/>
  <c r="E29" i="3" s="1"/>
  <c r="H29" i="3" s="1"/>
  <c r="Y27" i="3"/>
  <c r="S104" i="3" l="1"/>
  <c r="T103" i="3"/>
  <c r="D29" i="3"/>
  <c r="F29" i="3" s="1"/>
  <c r="K29" i="3"/>
  <c r="T104" i="3" l="1"/>
  <c r="G29" i="3"/>
  <c r="M29" i="3" s="1"/>
  <c r="N29" i="3" s="1"/>
  <c r="V29" i="3"/>
  <c r="AE29" i="3"/>
  <c r="J29" i="3" l="1"/>
  <c r="L29" i="3" s="1"/>
  <c r="I29" i="3"/>
  <c r="W29" i="3" s="1"/>
  <c r="U29" i="3" l="1"/>
  <c r="D30" i="3" s="1"/>
  <c r="AG30" i="3"/>
  <c r="AH30" i="3"/>
  <c r="Y28" i="3"/>
  <c r="E30" i="3" l="1"/>
  <c r="H30" i="3" s="1"/>
  <c r="K30" i="3" s="1"/>
  <c r="G30" i="3"/>
  <c r="F30" i="3" l="1"/>
  <c r="I30" i="3"/>
  <c r="J30" i="3"/>
  <c r="M30" i="3"/>
  <c r="N30" i="3" s="1"/>
  <c r="V30" i="3"/>
  <c r="AE30" i="3"/>
  <c r="W30" i="3" l="1"/>
  <c r="L30" i="3"/>
  <c r="U30" i="3" l="1"/>
  <c r="D31" i="3" s="1"/>
  <c r="AG31" i="3"/>
  <c r="AH31" i="3"/>
  <c r="Y29" i="3"/>
  <c r="E31" i="3" l="1"/>
  <c r="H31" i="3" s="1"/>
  <c r="K31" i="3" s="1"/>
  <c r="G31" i="3"/>
  <c r="F31" i="3" l="1"/>
  <c r="V31" i="3"/>
  <c r="AE31" i="3"/>
  <c r="I31" i="3"/>
  <c r="J31" i="3"/>
  <c r="M31" i="3"/>
  <c r="N31" i="3" s="1"/>
  <c r="L31" i="3" l="1"/>
  <c r="W31" i="3"/>
  <c r="AG32" i="3" l="1"/>
  <c r="AH32" i="3"/>
  <c r="U31" i="3"/>
  <c r="E32" i="3" s="1"/>
  <c r="H32" i="3" s="1"/>
  <c r="Y30" i="3"/>
  <c r="D32" i="3" l="1"/>
  <c r="F32" i="3" s="1"/>
  <c r="K32" i="3"/>
  <c r="G32" i="3" l="1"/>
  <c r="I32" i="3" s="1"/>
  <c r="V32" i="3"/>
  <c r="AE32" i="3"/>
  <c r="M32" i="3" l="1"/>
  <c r="N32" i="3" s="1"/>
  <c r="J32" i="3"/>
  <c r="L32" i="3" s="1"/>
  <c r="W32" i="3"/>
  <c r="AH33" i="3" l="1"/>
  <c r="AG33" i="3"/>
  <c r="U32" i="3"/>
  <c r="D33" i="3" s="1"/>
  <c r="Y31" i="3"/>
  <c r="E33" i="3" l="1"/>
  <c r="H33" i="3" s="1"/>
  <c r="K33" i="3" s="1"/>
  <c r="G33" i="3"/>
  <c r="F33" i="3" l="1"/>
  <c r="I33" i="3"/>
  <c r="J33" i="3"/>
  <c r="M33" i="3"/>
  <c r="N33" i="3" s="1"/>
  <c r="V33" i="3"/>
  <c r="AE33" i="3"/>
  <c r="W33" i="3" l="1"/>
  <c r="L33" i="3"/>
  <c r="AH34" i="3" l="1"/>
  <c r="AG34" i="3"/>
  <c r="U33" i="3"/>
  <c r="D34" i="3" s="1"/>
  <c r="Y32" i="3"/>
  <c r="G34" i="3" l="1"/>
  <c r="E34" i="3"/>
  <c r="H34" i="3" s="1"/>
  <c r="F34" i="3" l="1"/>
  <c r="I34" i="3"/>
  <c r="J34" i="3"/>
  <c r="AD34" i="3" s="1"/>
  <c r="M34" i="3"/>
  <c r="N34" i="3" s="1"/>
  <c r="K34" i="3"/>
  <c r="V34" i="3" l="1"/>
  <c r="W34" i="3" s="1"/>
  <c r="AE34" i="3"/>
  <c r="L34" i="3"/>
  <c r="U34" i="3" l="1"/>
  <c r="E35" i="3" s="1"/>
  <c r="H35" i="3" s="1"/>
  <c r="AH35" i="3"/>
  <c r="AG35" i="3"/>
  <c r="Y33" i="3"/>
  <c r="D35" i="3" l="1"/>
  <c r="G35" i="3" s="1"/>
  <c r="K35" i="3"/>
  <c r="F35" i="3" l="1"/>
  <c r="I35" i="3"/>
  <c r="J35" i="3"/>
  <c r="M35" i="3"/>
  <c r="N35" i="3" s="1"/>
  <c r="V35" i="3"/>
  <c r="AE35" i="3"/>
  <c r="W35" i="3" l="1"/>
  <c r="L35" i="3"/>
  <c r="U35" i="3" l="1"/>
  <c r="E36" i="3" s="1"/>
  <c r="H36" i="3" s="1"/>
  <c r="AG36" i="3"/>
  <c r="AH36" i="3"/>
  <c r="Y34" i="3"/>
  <c r="K36" i="3" l="1"/>
  <c r="D36" i="3"/>
  <c r="F36" i="3" l="1"/>
  <c r="G36" i="3"/>
  <c r="V36" i="3"/>
  <c r="AE36" i="3"/>
  <c r="I36" i="3" l="1"/>
  <c r="W36" i="3" s="1"/>
  <c r="J36" i="3"/>
  <c r="M36" i="3"/>
  <c r="N36" i="3" s="1"/>
  <c r="L36" i="3" l="1"/>
  <c r="AH37" i="3" l="1"/>
  <c r="AG37" i="3"/>
  <c r="U36" i="3"/>
  <c r="E37" i="3" s="1"/>
  <c r="H37" i="3" s="1"/>
  <c r="Y35" i="3"/>
  <c r="D37" i="3" l="1"/>
  <c r="G37" i="3" s="1"/>
  <c r="K37" i="3"/>
  <c r="F37" i="3" l="1"/>
  <c r="I37" i="3"/>
  <c r="J37" i="3"/>
  <c r="M37" i="3"/>
  <c r="N37" i="3" s="1"/>
  <c r="V37" i="3"/>
  <c r="AE37" i="3"/>
  <c r="W37" i="3" l="1"/>
  <c r="L37" i="3"/>
  <c r="AH38" i="3" l="1"/>
  <c r="AG38" i="3"/>
  <c r="U37" i="3"/>
  <c r="D38" i="3" s="1"/>
  <c r="Y36" i="3"/>
  <c r="G38" i="3" l="1"/>
  <c r="E38" i="3"/>
  <c r="H38" i="3" s="1"/>
  <c r="K38" i="3" l="1"/>
  <c r="F38" i="3"/>
  <c r="I38" i="3"/>
  <c r="J38" i="3"/>
  <c r="M38" i="3"/>
  <c r="N38" i="3" s="1"/>
  <c r="L38" i="3" l="1"/>
  <c r="V38" i="3"/>
  <c r="W38" i="3" s="1"/>
  <c r="AE38" i="3"/>
  <c r="U38" i="3" l="1"/>
  <c r="D39" i="3" s="1"/>
  <c r="AG39" i="3"/>
  <c r="AH39" i="3"/>
  <c r="Y37" i="3"/>
  <c r="G39" i="3" l="1"/>
  <c r="E39" i="3"/>
  <c r="H39" i="3" s="1"/>
  <c r="F39" i="3" l="1"/>
  <c r="K39" i="3"/>
  <c r="I39" i="3"/>
  <c r="J39" i="3"/>
  <c r="M39" i="3"/>
  <c r="N39" i="3" s="1"/>
  <c r="L39" i="3" l="1"/>
  <c r="V39" i="3"/>
  <c r="W39" i="3" s="1"/>
  <c r="AE39" i="3"/>
  <c r="U39" i="3" l="1"/>
  <c r="E40" i="3" s="1"/>
  <c r="H40" i="3" s="1"/>
  <c r="AH40" i="3"/>
  <c r="AG40" i="3"/>
  <c r="Y38" i="3"/>
  <c r="D40" i="3" l="1"/>
  <c r="F40" i="3" s="1"/>
  <c r="K40" i="3"/>
  <c r="G40" i="3" l="1"/>
  <c r="M40" i="3" s="1"/>
  <c r="N40" i="3" s="1"/>
  <c r="V40" i="3"/>
  <c r="AE40" i="3"/>
  <c r="I40" i="3" l="1"/>
  <c r="W40" i="3" s="1"/>
  <c r="J40" i="3"/>
  <c r="L40" i="3" s="1"/>
  <c r="U40" i="3" l="1"/>
  <c r="D41" i="3" s="1"/>
  <c r="AG41" i="3"/>
  <c r="AH41" i="3"/>
  <c r="Y39" i="3"/>
  <c r="G41" i="3" l="1"/>
  <c r="E41" i="3"/>
  <c r="H41" i="3" s="1"/>
  <c r="F41" i="3" l="1"/>
  <c r="I41" i="3"/>
  <c r="J41" i="3"/>
  <c r="M41" i="3"/>
  <c r="N41" i="3" s="1"/>
  <c r="K41" i="3"/>
  <c r="V41" i="3" l="1"/>
  <c r="W41" i="3" s="1"/>
  <c r="AE41" i="3"/>
  <c r="L41" i="3"/>
  <c r="U41" i="3" l="1"/>
  <c r="E42" i="3" s="1"/>
  <c r="H42" i="3" s="1"/>
  <c r="AG42" i="3"/>
  <c r="AH42" i="3"/>
  <c r="Y40" i="3"/>
  <c r="D42" i="3" l="1"/>
  <c r="G42" i="3" s="1"/>
  <c r="K42" i="3"/>
  <c r="F42" i="3" l="1"/>
  <c r="V42" i="3"/>
  <c r="AE42" i="3"/>
  <c r="I42" i="3"/>
  <c r="J42" i="3"/>
  <c r="M42" i="3"/>
  <c r="N42" i="3" s="1"/>
  <c r="W42" i="3" l="1"/>
  <c r="L42" i="3"/>
  <c r="AG43" i="3" l="1"/>
  <c r="AH43" i="3"/>
  <c r="U42" i="3"/>
  <c r="E43" i="3" s="1"/>
  <c r="H43" i="3" s="1"/>
  <c r="Y41" i="3"/>
  <c r="K43" i="3" l="1"/>
  <c r="D43" i="3"/>
  <c r="V43" i="3" l="1"/>
  <c r="AE43" i="3"/>
  <c r="F43" i="3"/>
  <c r="G43" i="3"/>
  <c r="I43" i="3" l="1"/>
  <c r="W43" i="3" s="1"/>
  <c r="J43" i="3"/>
  <c r="M43" i="3"/>
  <c r="N43" i="3" s="1"/>
  <c r="L43" i="3" l="1"/>
  <c r="AG44" i="3" l="1"/>
  <c r="AH44" i="3"/>
  <c r="U43" i="3"/>
  <c r="E44" i="3" s="1"/>
  <c r="H44" i="3" s="1"/>
  <c r="Y42" i="3"/>
  <c r="D44" i="3" l="1"/>
  <c r="F44" i="3" s="1"/>
  <c r="K44" i="3"/>
  <c r="G44" i="3" l="1"/>
  <c r="J44" i="3" s="1"/>
  <c r="AD44" i="3" s="1"/>
  <c r="V44" i="3"/>
  <c r="AE44" i="3"/>
  <c r="M44" i="3" l="1"/>
  <c r="N44" i="3" s="1"/>
  <c r="I44" i="3"/>
  <c r="W44" i="3" s="1"/>
  <c r="L44" i="3"/>
  <c r="U44" i="3" l="1"/>
  <c r="E45" i="3" s="1"/>
  <c r="H45" i="3" s="1"/>
  <c r="AH45" i="3"/>
  <c r="AG45" i="3"/>
  <c r="Y43" i="3"/>
  <c r="D45" i="3" l="1"/>
  <c r="G45" i="3" s="1"/>
  <c r="K45" i="3"/>
  <c r="F45" i="3" l="1"/>
  <c r="I45" i="3"/>
  <c r="J45" i="3"/>
  <c r="M45" i="3"/>
  <c r="N45" i="3" s="1"/>
  <c r="V45" i="3"/>
  <c r="AE45" i="3"/>
  <c r="L45" i="3" l="1"/>
  <c r="W45" i="3"/>
  <c r="U45" i="3" l="1"/>
  <c r="D46" i="3" s="1"/>
  <c r="AG46" i="3"/>
  <c r="AH46" i="3"/>
  <c r="Y44" i="3"/>
  <c r="E46" i="3" l="1"/>
  <c r="H46" i="3" s="1"/>
  <c r="K46" i="3" s="1"/>
  <c r="G46" i="3"/>
  <c r="F46" i="3" l="1"/>
  <c r="I46" i="3"/>
  <c r="J46" i="3"/>
  <c r="M46" i="3"/>
  <c r="N46" i="3" s="1"/>
  <c r="V46" i="3"/>
  <c r="AE46" i="3"/>
  <c r="W46" i="3" l="1"/>
  <c r="L46" i="3"/>
  <c r="AG47" i="3" l="1"/>
  <c r="U46" i="3"/>
  <c r="D47" i="3" s="1"/>
  <c r="AH47" i="3"/>
  <c r="Y45" i="3"/>
  <c r="E47" i="3" l="1"/>
  <c r="H47" i="3" s="1"/>
  <c r="K47" i="3" s="1"/>
  <c r="G47" i="3"/>
  <c r="F47" i="3" l="1"/>
  <c r="I47" i="3"/>
  <c r="J47" i="3"/>
  <c r="M47" i="3"/>
  <c r="N47" i="3" s="1"/>
  <c r="V47" i="3"/>
  <c r="AE47" i="3"/>
  <c r="W47" i="3" l="1"/>
  <c r="L47" i="3"/>
  <c r="AG48" i="3" l="1"/>
  <c r="U47" i="3"/>
  <c r="E48" i="3" s="1"/>
  <c r="H48" i="3" s="1"/>
  <c r="AH48" i="3"/>
  <c r="Y46" i="3"/>
  <c r="K48" i="3" l="1"/>
  <c r="D48" i="3"/>
  <c r="V48" i="3" l="1"/>
  <c r="AE48" i="3"/>
  <c r="F48" i="3"/>
  <c r="G48" i="3"/>
  <c r="I48" i="3" l="1"/>
  <c r="W48" i="3" s="1"/>
  <c r="J48" i="3"/>
  <c r="M48" i="3"/>
  <c r="N48" i="3" s="1"/>
  <c r="L48" i="3" l="1"/>
  <c r="AH49" i="3" l="1"/>
  <c r="U48" i="3"/>
  <c r="E49" i="3" s="1"/>
  <c r="H49" i="3" s="1"/>
  <c r="AG49" i="3"/>
  <c r="Y47" i="3"/>
  <c r="D49" i="3" l="1"/>
  <c r="G49" i="3" s="1"/>
  <c r="K49" i="3"/>
  <c r="F49" i="3" l="1"/>
  <c r="V49" i="3"/>
  <c r="AE49" i="3"/>
  <c r="I49" i="3"/>
  <c r="J49" i="3"/>
  <c r="M49" i="3"/>
  <c r="N49" i="3" s="1"/>
  <c r="W49" i="3" l="1"/>
  <c r="L49" i="3"/>
  <c r="AG50" i="3" l="1"/>
  <c r="AH50" i="3"/>
  <c r="U49" i="3"/>
  <c r="D50" i="3" s="1"/>
  <c r="Y48" i="3"/>
  <c r="E50" i="3" l="1"/>
  <c r="H50" i="3" s="1"/>
  <c r="K50" i="3" s="1"/>
  <c r="G50" i="3"/>
  <c r="F50" i="3" l="1"/>
  <c r="I50" i="3"/>
  <c r="J50" i="3"/>
  <c r="M50" i="3"/>
  <c r="N50" i="3" s="1"/>
  <c r="V50" i="3"/>
  <c r="AE50" i="3"/>
  <c r="L50" i="3" l="1"/>
  <c r="W50" i="3"/>
  <c r="U50" i="3" l="1"/>
  <c r="D51" i="3" s="1"/>
  <c r="AH51" i="3"/>
  <c r="AG51" i="3"/>
  <c r="Y49" i="3"/>
  <c r="E51" i="3" l="1"/>
  <c r="H51" i="3" s="1"/>
  <c r="K51" i="3" s="1"/>
  <c r="G51" i="3"/>
  <c r="F51" i="3" l="1"/>
  <c r="V51" i="3"/>
  <c r="AE51" i="3"/>
  <c r="I51" i="3"/>
  <c r="J51" i="3"/>
  <c r="M51" i="3"/>
  <c r="N51" i="3" s="1"/>
  <c r="W51" i="3" l="1"/>
  <c r="L51" i="3"/>
  <c r="AH52" i="3" l="1"/>
  <c r="AG52" i="3"/>
  <c r="U51" i="3"/>
  <c r="E52" i="3" s="1"/>
  <c r="H52" i="3" s="1"/>
  <c r="Y50" i="3"/>
  <c r="D52" i="3" l="1"/>
  <c r="G52" i="3" s="1"/>
  <c r="K52" i="3"/>
  <c r="F52" i="3" l="1"/>
  <c r="V52" i="3"/>
  <c r="AE52" i="3"/>
  <c r="I52" i="3"/>
  <c r="J52" i="3"/>
  <c r="M52" i="3"/>
  <c r="N52" i="3" s="1"/>
  <c r="L52" i="3" l="1"/>
  <c r="W52" i="3"/>
  <c r="AH53" i="3" l="1"/>
  <c r="AG53" i="3"/>
  <c r="U52" i="3"/>
  <c r="E53" i="3" s="1"/>
  <c r="H53" i="3" s="1"/>
  <c r="Y51" i="3"/>
  <c r="K53" i="3" l="1"/>
  <c r="D53" i="3"/>
  <c r="V53" i="3" l="1"/>
  <c r="AE53" i="3"/>
  <c r="F53" i="3"/>
  <c r="G53" i="3"/>
  <c r="I53" i="3" l="1"/>
  <c r="W53" i="3" s="1"/>
  <c r="J53" i="3"/>
  <c r="M53" i="3"/>
  <c r="N53" i="3" s="1"/>
  <c r="L53" i="3" l="1"/>
  <c r="AH54" i="3" l="1"/>
  <c r="AG54" i="3"/>
  <c r="U53" i="3"/>
  <c r="D54" i="3" s="1"/>
  <c r="Y52" i="3"/>
  <c r="G54" i="3" l="1"/>
  <c r="E54" i="3"/>
  <c r="H54" i="3" s="1"/>
  <c r="I54" i="3" l="1"/>
  <c r="J54" i="3"/>
  <c r="M54" i="3"/>
  <c r="N54" i="3" s="1"/>
  <c r="F54" i="3"/>
  <c r="K54" i="3"/>
  <c r="L54" i="3" l="1"/>
  <c r="V54" i="3"/>
  <c r="W54" i="3" s="1"/>
  <c r="AE54" i="3"/>
  <c r="U54" i="3" l="1"/>
  <c r="D55" i="3" s="1"/>
  <c r="AG55" i="3"/>
  <c r="AH55" i="3"/>
  <c r="Y53" i="3"/>
  <c r="E55" i="3" l="1"/>
  <c r="H55" i="3" s="1"/>
  <c r="K55" i="3" s="1"/>
  <c r="G55" i="3"/>
  <c r="F55" i="3" l="1"/>
  <c r="V55" i="3"/>
  <c r="AE55" i="3"/>
  <c r="I55" i="3"/>
  <c r="J55" i="3"/>
  <c r="M55" i="3"/>
  <c r="N55" i="3" s="1"/>
  <c r="W55" i="3" l="1"/>
  <c r="L55" i="3"/>
  <c r="AH56" i="3" l="1"/>
  <c r="U55" i="3"/>
  <c r="D56" i="3" s="1"/>
  <c r="AG56" i="3"/>
  <c r="Y54" i="3"/>
  <c r="E56" i="3" l="1"/>
  <c r="H56" i="3" s="1"/>
  <c r="K56" i="3" s="1"/>
  <c r="G56" i="3"/>
  <c r="F56" i="3" l="1"/>
  <c r="I56" i="3"/>
  <c r="J56" i="3"/>
  <c r="M56" i="3"/>
  <c r="N56" i="3" s="1"/>
  <c r="V56" i="3"/>
  <c r="AE56" i="3"/>
  <c r="W56" i="3" l="1"/>
  <c r="L56" i="3"/>
  <c r="AG57" i="3" l="1"/>
  <c r="U56" i="3"/>
  <c r="D57" i="3" s="1"/>
  <c r="AH57" i="3"/>
  <c r="Y55" i="3"/>
  <c r="E57" i="3" l="1"/>
  <c r="H57" i="3" s="1"/>
  <c r="K57" i="3" s="1"/>
  <c r="G57" i="3"/>
  <c r="F57" i="3" l="1"/>
  <c r="I57" i="3"/>
  <c r="J57" i="3"/>
  <c r="M57" i="3"/>
  <c r="N57" i="3" s="1"/>
  <c r="V57" i="3"/>
  <c r="AE57" i="3"/>
  <c r="W57" i="3" l="1"/>
  <c r="L57" i="3"/>
  <c r="U57" i="3" l="1"/>
  <c r="D58" i="3" s="1"/>
  <c r="AH58" i="3"/>
  <c r="AG58" i="3"/>
  <c r="Y56" i="3"/>
  <c r="E58" i="3" l="1"/>
  <c r="H58" i="3" s="1"/>
  <c r="K58" i="3" s="1"/>
  <c r="G58" i="3"/>
  <c r="F58" i="3" l="1"/>
  <c r="V58" i="3"/>
  <c r="AE58" i="3"/>
  <c r="I58" i="3"/>
  <c r="J58" i="3"/>
  <c r="M58" i="3"/>
  <c r="N58" i="3" s="1"/>
  <c r="W58" i="3" l="1"/>
  <c r="L58" i="3"/>
  <c r="AG59" i="3" l="1"/>
  <c r="U58" i="3"/>
  <c r="E59" i="3" s="1"/>
  <c r="H59" i="3" s="1"/>
  <c r="AH59" i="3"/>
  <c r="Y57" i="3"/>
  <c r="D59" i="3" l="1"/>
  <c r="F59" i="3" s="1"/>
  <c r="K59" i="3"/>
  <c r="G59" i="3" l="1"/>
  <c r="M59" i="3" s="1"/>
  <c r="N59" i="3" s="1"/>
  <c r="V59" i="3"/>
  <c r="AE59" i="3"/>
  <c r="I59" i="3" l="1"/>
  <c r="W59" i="3" s="1"/>
  <c r="J59" i="3"/>
  <c r="L59" i="3" s="1"/>
  <c r="AH60" i="3" l="1"/>
  <c r="U59" i="3"/>
  <c r="D60" i="3" s="1"/>
  <c r="AG60" i="3"/>
  <c r="Y58" i="3"/>
  <c r="E60" i="3" l="1"/>
  <c r="H60" i="3" s="1"/>
  <c r="K60" i="3" s="1"/>
  <c r="G60" i="3"/>
  <c r="F60" i="3" l="1"/>
  <c r="I60" i="3"/>
  <c r="J60" i="3"/>
  <c r="M60" i="3"/>
  <c r="N60" i="3" s="1"/>
  <c r="V60" i="3"/>
  <c r="AE60" i="3"/>
  <c r="W60" i="3" l="1"/>
  <c r="L60" i="3"/>
  <c r="AG61" i="3" l="1"/>
  <c r="U60" i="3"/>
  <c r="D61" i="3" s="1"/>
  <c r="AH61" i="3"/>
  <c r="Y59" i="3"/>
  <c r="G61" i="3" l="1"/>
  <c r="E61" i="3"/>
  <c r="H61" i="3" s="1"/>
  <c r="F61" i="3" l="1"/>
  <c r="I61" i="3"/>
  <c r="J61" i="3"/>
  <c r="M61" i="3"/>
  <c r="N61" i="3" s="1"/>
  <c r="K61" i="3"/>
  <c r="V61" i="3" l="1"/>
  <c r="W61" i="3" s="1"/>
  <c r="AE61" i="3"/>
  <c r="L61" i="3"/>
  <c r="AG62" i="3" l="1"/>
  <c r="U61" i="3"/>
  <c r="D62" i="3" s="1"/>
  <c r="AH62" i="3"/>
  <c r="Y60" i="3"/>
  <c r="G62" i="3" l="1"/>
  <c r="E62" i="3"/>
  <c r="H62" i="3" s="1"/>
  <c r="F62" i="3" l="1"/>
  <c r="I62" i="3"/>
  <c r="J62" i="3"/>
  <c r="M62" i="3"/>
  <c r="N62" i="3" s="1"/>
  <c r="K62" i="3"/>
  <c r="V62" i="3" l="1"/>
  <c r="W62" i="3" s="1"/>
  <c r="AE62" i="3"/>
  <c r="L62" i="3"/>
  <c r="U62" i="3" l="1"/>
  <c r="E63" i="3" s="1"/>
  <c r="H63" i="3" s="1"/>
  <c r="AG63" i="3"/>
  <c r="AH63" i="3"/>
  <c r="Y61" i="3"/>
  <c r="D63" i="3" l="1"/>
  <c r="G63" i="3" s="1"/>
  <c r="K63" i="3"/>
  <c r="F63" i="3" l="1"/>
  <c r="I63" i="3"/>
  <c r="J63" i="3"/>
  <c r="M63" i="3"/>
  <c r="N63" i="3" s="1"/>
  <c r="V63" i="3"/>
  <c r="AE63" i="3"/>
  <c r="W63" i="3" l="1"/>
  <c r="L63" i="3"/>
  <c r="U63" i="3" l="1"/>
  <c r="E64" i="3" s="1"/>
  <c r="H64" i="3" s="1"/>
  <c r="AH64" i="3"/>
  <c r="AG64" i="3"/>
  <c r="Y62" i="3"/>
  <c r="D64" i="3" l="1"/>
  <c r="G64" i="3" s="1"/>
  <c r="K64" i="3"/>
  <c r="F64" i="3" l="1"/>
  <c r="V64" i="3"/>
  <c r="AE64" i="3"/>
  <c r="I64" i="3"/>
  <c r="J64" i="3"/>
  <c r="M64" i="3"/>
  <c r="N64" i="3" s="1"/>
  <c r="W64" i="3" l="1"/>
  <c r="L64" i="3"/>
  <c r="U64" i="3" l="1"/>
  <c r="E65" i="3" s="1"/>
  <c r="H65" i="3" s="1"/>
  <c r="AH65" i="3"/>
  <c r="AG65" i="3"/>
  <c r="Y63" i="3"/>
  <c r="D65" i="3" l="1"/>
  <c r="G65" i="3" s="1"/>
  <c r="K65" i="3"/>
  <c r="F65" i="3" l="1"/>
  <c r="V65" i="3"/>
  <c r="AE65" i="3"/>
  <c r="I65" i="3"/>
  <c r="J65" i="3"/>
  <c r="M65" i="3"/>
  <c r="N65" i="3" s="1"/>
  <c r="W65" i="3" l="1"/>
  <c r="L65" i="3"/>
  <c r="U65" i="3" l="1"/>
  <c r="D66" i="3" s="1"/>
  <c r="AH66" i="3"/>
  <c r="AG66" i="3"/>
  <c r="Y64" i="3"/>
  <c r="E66" i="3" l="1"/>
  <c r="H66" i="3" s="1"/>
  <c r="K66" i="3" s="1"/>
  <c r="G66" i="3"/>
  <c r="F66" i="3" l="1"/>
  <c r="I66" i="3"/>
  <c r="J66" i="3"/>
  <c r="M66" i="3"/>
  <c r="N66" i="3" s="1"/>
  <c r="V66" i="3"/>
  <c r="AE66" i="3"/>
  <c r="W66" i="3" l="1"/>
  <c r="L66" i="3"/>
  <c r="U66" i="3" l="1"/>
  <c r="D67" i="3" s="1"/>
  <c r="AH67" i="3"/>
  <c r="AG67" i="3"/>
  <c r="Y65" i="3"/>
  <c r="E67" i="3" l="1"/>
  <c r="H67" i="3" s="1"/>
  <c r="K67" i="3" s="1"/>
  <c r="G67" i="3"/>
  <c r="F67" i="3" l="1"/>
  <c r="I67" i="3"/>
  <c r="J67" i="3"/>
  <c r="M67" i="3"/>
  <c r="N67" i="3" s="1"/>
  <c r="V67" i="3"/>
  <c r="AE67" i="3"/>
  <c r="W67" i="3" l="1"/>
  <c r="L67" i="3"/>
  <c r="U67" i="3" l="1"/>
  <c r="D68" i="3" s="1"/>
  <c r="AH68" i="3"/>
  <c r="AG68" i="3"/>
  <c r="Y66" i="3"/>
  <c r="E68" i="3" l="1"/>
  <c r="H68" i="3" s="1"/>
  <c r="K68" i="3" s="1"/>
  <c r="G68" i="3"/>
  <c r="F68" i="3" l="1"/>
  <c r="I68" i="3"/>
  <c r="J68" i="3"/>
  <c r="M68" i="3"/>
  <c r="N68" i="3" s="1"/>
  <c r="V68" i="3"/>
  <c r="AE68" i="3"/>
  <c r="W68" i="3" l="1"/>
  <c r="L68" i="3"/>
  <c r="U68" i="3" l="1"/>
  <c r="D69" i="3" s="1"/>
  <c r="AH69" i="3"/>
  <c r="AG69" i="3"/>
  <c r="Y67" i="3"/>
  <c r="E69" i="3" l="1"/>
  <c r="H69" i="3" s="1"/>
  <c r="K69" i="3" s="1"/>
  <c r="G69" i="3"/>
  <c r="F69" i="3" l="1"/>
  <c r="I69" i="3"/>
  <c r="J69" i="3"/>
  <c r="M69" i="3"/>
  <c r="N69" i="3" s="1"/>
  <c r="V69" i="3"/>
  <c r="AE69" i="3"/>
  <c r="W69" i="3" l="1"/>
  <c r="L69" i="3"/>
  <c r="AH70" i="3" l="1"/>
  <c r="U69" i="3"/>
  <c r="E70" i="3" s="1"/>
  <c r="H70" i="3" s="1"/>
  <c r="AG70" i="3"/>
  <c r="Y68" i="3"/>
  <c r="D70" i="3" l="1"/>
  <c r="G70" i="3" s="1"/>
  <c r="K70" i="3"/>
  <c r="F70" i="3" l="1"/>
  <c r="I70" i="3"/>
  <c r="J70" i="3"/>
  <c r="M70" i="3"/>
  <c r="N70" i="3" s="1"/>
  <c r="V70" i="3"/>
  <c r="AE70" i="3"/>
  <c r="W70" i="3" l="1"/>
  <c r="L70" i="3"/>
  <c r="AG71" i="3" l="1"/>
  <c r="AH71" i="3"/>
  <c r="U70" i="3"/>
  <c r="E71" i="3" s="1"/>
  <c r="H71" i="3" s="1"/>
  <c r="Y69" i="3"/>
  <c r="D71" i="3" l="1"/>
  <c r="G71" i="3" s="1"/>
  <c r="K71" i="3"/>
  <c r="F71" i="3" l="1"/>
  <c r="I71" i="3"/>
  <c r="J71" i="3"/>
  <c r="M71" i="3"/>
  <c r="N71" i="3" s="1"/>
  <c r="V71" i="3"/>
  <c r="AE71" i="3"/>
  <c r="W71" i="3" l="1"/>
  <c r="L71" i="3"/>
  <c r="AH72" i="3" l="1"/>
  <c r="U71" i="3"/>
  <c r="E72" i="3" s="1"/>
  <c r="H72" i="3" s="1"/>
  <c r="AG72" i="3"/>
  <c r="Y70" i="3"/>
  <c r="D72" i="3" l="1"/>
  <c r="F72" i="3" s="1"/>
  <c r="K72" i="3"/>
  <c r="G72" i="3" l="1"/>
  <c r="M72" i="3" s="1"/>
  <c r="N72" i="3" s="1"/>
  <c r="V72" i="3"/>
  <c r="AE72" i="3"/>
  <c r="I72" i="3" l="1"/>
  <c r="W72" i="3" s="1"/>
  <c r="J72" i="3"/>
  <c r="L72" i="3" s="1"/>
  <c r="U72" i="3" l="1"/>
  <c r="D73" i="3" s="1"/>
  <c r="AG73" i="3"/>
  <c r="AH73" i="3"/>
  <c r="Y71" i="3"/>
  <c r="E73" i="3" l="1"/>
  <c r="H73" i="3" s="1"/>
  <c r="K73" i="3" s="1"/>
  <c r="G73" i="3"/>
  <c r="F73" i="3" l="1"/>
  <c r="I73" i="3"/>
  <c r="J73" i="3"/>
  <c r="M73" i="3"/>
  <c r="N73" i="3" s="1"/>
  <c r="V73" i="3"/>
  <c r="AE73" i="3"/>
  <c r="W73" i="3" l="1"/>
  <c r="L73" i="3"/>
  <c r="AG74" i="3" l="1"/>
  <c r="AH74" i="3"/>
  <c r="U73" i="3"/>
  <c r="D74" i="3" s="1"/>
  <c r="Y72" i="3"/>
  <c r="G74" i="3" l="1"/>
  <c r="E74" i="3"/>
  <c r="H74" i="3" s="1"/>
  <c r="I74" i="3" l="1"/>
  <c r="J74" i="3"/>
  <c r="M74" i="3"/>
  <c r="N74" i="3" s="1"/>
  <c r="K74" i="3"/>
  <c r="F74" i="3"/>
  <c r="V74" i="3" l="1"/>
  <c r="W74" i="3" s="1"/>
  <c r="AE74" i="3"/>
  <c r="L74" i="3"/>
  <c r="AG75" i="3" l="1"/>
  <c r="U74" i="3"/>
  <c r="E75" i="3" s="1"/>
  <c r="H75" i="3" s="1"/>
  <c r="AH75" i="3"/>
  <c r="Y73" i="3"/>
  <c r="K75" i="3" l="1"/>
  <c r="D75" i="3"/>
  <c r="V75" i="3" l="1"/>
  <c r="AE75" i="3"/>
  <c r="F75" i="3"/>
  <c r="G75" i="3"/>
  <c r="I75" i="3" l="1"/>
  <c r="W75" i="3" s="1"/>
  <c r="J75" i="3"/>
  <c r="M75" i="3"/>
  <c r="N75" i="3" s="1"/>
  <c r="L75" i="3" l="1"/>
  <c r="U75" i="3" l="1"/>
  <c r="E76" i="3" s="1"/>
  <c r="H76" i="3" s="1"/>
  <c r="AH76" i="3"/>
  <c r="AG76" i="3"/>
  <c r="Y74" i="3"/>
  <c r="D76" i="3" l="1"/>
  <c r="F76" i="3" s="1"/>
  <c r="K76" i="3"/>
  <c r="G76" i="3" l="1"/>
  <c r="I76" i="3" s="1"/>
  <c r="V76" i="3"/>
  <c r="AE76" i="3"/>
  <c r="J76" i="3" l="1"/>
  <c r="L76" i="3" s="1"/>
  <c r="M76" i="3"/>
  <c r="N76" i="3" s="1"/>
  <c r="W76" i="3"/>
  <c r="U76" i="3" l="1"/>
  <c r="D77" i="3" s="1"/>
  <c r="AH77" i="3"/>
  <c r="AG77" i="3"/>
  <c r="Y75" i="3"/>
  <c r="E77" i="3" l="1"/>
  <c r="H77" i="3" s="1"/>
  <c r="K77" i="3" s="1"/>
  <c r="G77" i="3"/>
  <c r="F77" i="3" l="1"/>
  <c r="I77" i="3"/>
  <c r="J77" i="3"/>
  <c r="M77" i="3"/>
  <c r="N77" i="3" s="1"/>
  <c r="V77" i="3"/>
  <c r="AE77" i="3"/>
  <c r="W77" i="3" l="1"/>
  <c r="L77" i="3"/>
  <c r="AH78" i="3" l="1"/>
  <c r="U77" i="3"/>
  <c r="D78" i="3" s="1"/>
  <c r="AG78" i="3"/>
  <c r="Y76" i="3"/>
  <c r="E78" i="3" l="1"/>
  <c r="H78" i="3" s="1"/>
  <c r="K78" i="3" s="1"/>
  <c r="G78" i="3"/>
  <c r="F78" i="3" l="1"/>
  <c r="I78" i="3"/>
  <c r="J78" i="3"/>
  <c r="M78" i="3"/>
  <c r="N78" i="3" s="1"/>
  <c r="V78" i="3"/>
  <c r="AE78" i="3"/>
  <c r="W78" i="3" l="1"/>
  <c r="L78" i="3"/>
  <c r="U78" i="3" l="1"/>
  <c r="E79" i="3" s="1"/>
  <c r="H79" i="3" s="1"/>
  <c r="AH79" i="3"/>
  <c r="AG79" i="3"/>
  <c r="Y77" i="3"/>
  <c r="D79" i="3" l="1"/>
  <c r="G79" i="3" s="1"/>
  <c r="K79" i="3"/>
  <c r="F79" i="3" l="1"/>
  <c r="I79" i="3"/>
  <c r="J79" i="3"/>
  <c r="M79" i="3"/>
  <c r="N79" i="3" s="1"/>
  <c r="V79" i="3"/>
  <c r="AE79" i="3"/>
  <c r="W79" i="3" l="1"/>
  <c r="L79" i="3"/>
  <c r="AH80" i="3" l="1"/>
  <c r="AG80" i="3"/>
  <c r="U79" i="3"/>
  <c r="E80" i="3" s="1"/>
  <c r="H80" i="3" s="1"/>
  <c r="Y78" i="3"/>
  <c r="D80" i="3" l="1"/>
  <c r="F80" i="3" s="1"/>
  <c r="K80" i="3"/>
  <c r="G80" i="3" l="1"/>
  <c r="I80" i="3" s="1"/>
  <c r="V80" i="3"/>
  <c r="AE80" i="3"/>
  <c r="J80" i="3" l="1"/>
  <c r="L80" i="3" s="1"/>
  <c r="M80" i="3"/>
  <c r="N80" i="3" s="1"/>
  <c r="W80" i="3"/>
  <c r="U80" i="3" l="1"/>
  <c r="E81" i="3" s="1"/>
  <c r="H81" i="3" s="1"/>
  <c r="AG81" i="3"/>
  <c r="AH81" i="3"/>
  <c r="Y79" i="3"/>
  <c r="D81" i="3" l="1"/>
  <c r="G81" i="3" s="1"/>
  <c r="K81" i="3"/>
  <c r="F81" i="3" l="1"/>
  <c r="I81" i="3"/>
  <c r="J81" i="3"/>
  <c r="M81" i="3"/>
  <c r="N81" i="3" s="1"/>
  <c r="V81" i="3"/>
  <c r="AE81" i="3"/>
  <c r="W81" i="3" l="1"/>
  <c r="L81" i="3"/>
  <c r="AH82" i="3" l="1"/>
  <c r="AG82" i="3"/>
  <c r="U81" i="3"/>
  <c r="E82" i="3" s="1"/>
  <c r="H82" i="3" s="1"/>
  <c r="Y80" i="3"/>
  <c r="D82" i="3" l="1"/>
  <c r="G82" i="3" s="1"/>
  <c r="K82" i="3"/>
  <c r="F82" i="3" l="1"/>
  <c r="I82" i="3"/>
  <c r="J82" i="3"/>
  <c r="M82" i="3"/>
  <c r="N82" i="3" s="1"/>
  <c r="V82" i="3"/>
  <c r="AE82" i="3"/>
  <c r="W82" i="3" l="1"/>
  <c r="L82" i="3"/>
  <c r="AG83" i="3" l="1"/>
  <c r="U82" i="3"/>
  <c r="D83" i="3" s="1"/>
  <c r="AH83" i="3"/>
  <c r="Y81" i="3"/>
  <c r="E83" i="3" l="1"/>
  <c r="H83" i="3" s="1"/>
  <c r="K83" i="3" s="1"/>
  <c r="G83" i="3"/>
  <c r="F83" i="3" l="1"/>
  <c r="I83" i="3"/>
  <c r="J83" i="3"/>
  <c r="M83" i="3"/>
  <c r="N83" i="3" s="1"/>
  <c r="V83" i="3"/>
  <c r="AE83" i="3"/>
  <c r="W83" i="3" l="1"/>
  <c r="L83" i="3"/>
  <c r="AG84" i="3" l="1"/>
  <c r="AH84" i="3"/>
  <c r="U83" i="3"/>
  <c r="D84" i="3" s="1"/>
  <c r="Y82" i="3"/>
  <c r="G84" i="3" l="1"/>
  <c r="E84" i="3"/>
  <c r="H84" i="3" s="1"/>
  <c r="K84" i="3" l="1"/>
  <c r="I84" i="3"/>
  <c r="J84" i="3"/>
  <c r="M84" i="3"/>
  <c r="N84" i="3" s="1"/>
  <c r="F84" i="3"/>
  <c r="L84" i="3" l="1"/>
  <c r="V84" i="3"/>
  <c r="W84" i="3" s="1"/>
  <c r="AE84" i="3"/>
  <c r="AH85" i="3" l="1"/>
  <c r="AG85" i="3"/>
  <c r="U84" i="3"/>
  <c r="D85" i="3" s="1"/>
  <c r="Y83" i="3"/>
  <c r="E85" i="3" l="1"/>
  <c r="H85" i="3" s="1"/>
  <c r="K85" i="3" s="1"/>
  <c r="G85" i="3"/>
  <c r="F85" i="3" l="1"/>
  <c r="I85" i="3"/>
  <c r="J85" i="3"/>
  <c r="M85" i="3"/>
  <c r="N85" i="3" s="1"/>
  <c r="V85" i="3"/>
  <c r="AE85" i="3"/>
  <c r="W85" i="3" l="1"/>
  <c r="L85" i="3"/>
  <c r="AH86" i="3" l="1"/>
  <c r="AG86" i="3"/>
  <c r="U85" i="3"/>
  <c r="E86" i="3" s="1"/>
  <c r="H86" i="3" s="1"/>
  <c r="Y84" i="3"/>
  <c r="D86" i="3" l="1"/>
  <c r="F86" i="3" s="1"/>
  <c r="K86" i="3"/>
  <c r="G86" i="3" l="1"/>
  <c r="M86" i="3" s="1"/>
  <c r="N86" i="3" s="1"/>
  <c r="V86" i="3"/>
  <c r="AE86" i="3"/>
  <c r="I86" i="3" l="1"/>
  <c r="W86" i="3" s="1"/>
  <c r="J86" i="3"/>
  <c r="L86" i="3" s="1"/>
  <c r="U86" i="3" l="1"/>
  <c r="E87" i="3" s="1"/>
  <c r="H87" i="3" s="1"/>
  <c r="AH87" i="3"/>
  <c r="AG87" i="3"/>
  <c r="Y85" i="3"/>
  <c r="D87" i="3" l="1"/>
  <c r="G87" i="3" s="1"/>
  <c r="K87" i="3"/>
  <c r="F87" i="3" l="1"/>
  <c r="V87" i="3"/>
  <c r="AE87" i="3"/>
  <c r="I87" i="3"/>
  <c r="J87" i="3"/>
  <c r="M87" i="3"/>
  <c r="N87" i="3" s="1"/>
  <c r="L87" i="3" l="1"/>
  <c r="W87" i="3"/>
  <c r="U87" i="3" l="1"/>
  <c r="E88" i="3" s="1"/>
  <c r="H88" i="3" s="1"/>
  <c r="AG88" i="3"/>
  <c r="AH88" i="3"/>
  <c r="Y86" i="3"/>
  <c r="D88" i="3" l="1"/>
  <c r="G88" i="3" s="1"/>
  <c r="K88" i="3"/>
  <c r="F88" i="3" l="1"/>
  <c r="I88" i="3"/>
  <c r="J88" i="3"/>
  <c r="M88" i="3"/>
  <c r="N88" i="3" s="1"/>
  <c r="V88" i="3"/>
  <c r="AE88" i="3"/>
  <c r="W88" i="3" l="1"/>
  <c r="L88" i="3"/>
  <c r="AH89" i="3" l="1"/>
  <c r="U88" i="3"/>
  <c r="E89" i="3" s="1"/>
  <c r="H89" i="3" s="1"/>
  <c r="AG89" i="3"/>
  <c r="Y87" i="3"/>
  <c r="K89" i="3" l="1"/>
  <c r="D89" i="3"/>
  <c r="V89" i="3" l="1"/>
  <c r="AE89" i="3"/>
  <c r="F89" i="3"/>
  <c r="G89" i="3"/>
  <c r="I89" i="3" l="1"/>
  <c r="W89" i="3" s="1"/>
  <c r="J89" i="3"/>
  <c r="M89" i="3"/>
  <c r="N89" i="3" s="1"/>
  <c r="L89" i="3" l="1"/>
  <c r="U89" i="3" l="1"/>
  <c r="D90" i="3" s="1"/>
  <c r="AH90" i="3"/>
  <c r="AG90" i="3"/>
  <c r="Y88" i="3"/>
  <c r="G90" i="3" l="1"/>
  <c r="E90" i="3"/>
  <c r="H90" i="3" s="1"/>
  <c r="F90" i="3" l="1"/>
  <c r="I90" i="3"/>
  <c r="J90" i="3"/>
  <c r="M90" i="3"/>
  <c r="N90" i="3" s="1"/>
  <c r="K90" i="3"/>
  <c r="V90" i="3" l="1"/>
  <c r="W90" i="3" s="1"/>
  <c r="AE90" i="3"/>
  <c r="L90" i="3"/>
  <c r="AG91" i="3" l="1"/>
  <c r="AH91" i="3"/>
  <c r="U90" i="3"/>
  <c r="D91" i="3" s="1"/>
  <c r="Y89" i="3"/>
  <c r="G91" i="3" l="1"/>
  <c r="E91" i="3"/>
  <c r="H91" i="3" s="1"/>
  <c r="F91" i="3" l="1"/>
  <c r="I91" i="3"/>
  <c r="J91" i="3"/>
  <c r="M91" i="3"/>
  <c r="N91" i="3" s="1"/>
  <c r="K91" i="3"/>
  <c r="V91" i="3" l="1"/>
  <c r="W91" i="3" s="1"/>
  <c r="AE91" i="3"/>
  <c r="L91" i="3"/>
  <c r="AH92" i="3" l="1"/>
  <c r="AG92" i="3"/>
  <c r="U91" i="3"/>
  <c r="D92" i="3" s="1"/>
  <c r="Y90" i="3"/>
  <c r="G92" i="3" l="1"/>
  <c r="E92" i="3"/>
  <c r="H92" i="3" s="1"/>
  <c r="F92" i="3" l="1"/>
  <c r="I92" i="3"/>
  <c r="J92" i="3"/>
  <c r="M92" i="3"/>
  <c r="N92" i="3" s="1"/>
  <c r="K92" i="3"/>
  <c r="V92" i="3" l="1"/>
  <c r="W92" i="3" s="1"/>
  <c r="AE92" i="3"/>
  <c r="L92" i="3"/>
  <c r="U92" i="3" l="1"/>
  <c r="D93" i="3" s="1"/>
  <c r="AH93" i="3"/>
  <c r="AG93" i="3"/>
  <c r="Y91" i="3"/>
  <c r="E93" i="3" l="1"/>
  <c r="H93" i="3" s="1"/>
  <c r="K93" i="3" s="1"/>
  <c r="G93" i="3"/>
  <c r="F93" i="3" l="1"/>
  <c r="I93" i="3"/>
  <c r="J93" i="3"/>
  <c r="M93" i="3"/>
  <c r="N93" i="3" s="1"/>
  <c r="V93" i="3"/>
  <c r="AE93" i="3"/>
  <c r="W93" i="3" l="1"/>
  <c r="L93" i="3"/>
  <c r="AG94" i="3" l="1"/>
  <c r="AH94" i="3"/>
  <c r="U93" i="3"/>
  <c r="D94" i="3" s="1"/>
  <c r="Y92" i="3"/>
  <c r="E94" i="3" l="1"/>
  <c r="H94" i="3" s="1"/>
  <c r="K94" i="3" s="1"/>
  <c r="G94" i="3"/>
  <c r="F94" i="3" l="1"/>
  <c r="I94" i="3"/>
  <c r="J94" i="3"/>
  <c r="M94" i="3"/>
  <c r="N94" i="3" s="1"/>
  <c r="V94" i="3"/>
  <c r="AE94" i="3"/>
  <c r="L94" i="3" l="1"/>
  <c r="W94" i="3"/>
  <c r="U94" i="3" l="1"/>
  <c r="D95" i="3" s="1"/>
  <c r="AG95" i="3"/>
  <c r="AH95" i="3"/>
  <c r="Y93" i="3"/>
  <c r="E95" i="3" l="1"/>
  <c r="H95" i="3" s="1"/>
  <c r="K95" i="3" s="1"/>
  <c r="G95" i="3"/>
  <c r="F95" i="3" l="1"/>
  <c r="I95" i="3"/>
  <c r="J95" i="3"/>
  <c r="M95" i="3"/>
  <c r="N95" i="3" s="1"/>
  <c r="V95" i="3"/>
  <c r="AE95" i="3"/>
  <c r="W95" i="3" l="1"/>
  <c r="L95" i="3"/>
  <c r="AG96" i="3" l="1"/>
  <c r="AH96" i="3"/>
  <c r="U95" i="3"/>
  <c r="D96" i="3" s="1"/>
  <c r="Y94" i="3"/>
  <c r="G96" i="3" l="1"/>
  <c r="E96" i="3"/>
  <c r="H96" i="3" s="1"/>
  <c r="F96" i="3" l="1"/>
  <c r="I96" i="3"/>
  <c r="J96" i="3"/>
  <c r="M96" i="3"/>
  <c r="N96" i="3" s="1"/>
  <c r="K96" i="3"/>
  <c r="L96" i="3" l="1"/>
  <c r="V96" i="3"/>
  <c r="W96" i="3" s="1"/>
  <c r="AE96" i="3"/>
  <c r="AG97" i="3" l="1"/>
  <c r="AH97" i="3"/>
  <c r="U96" i="3"/>
  <c r="E97" i="3" s="1"/>
  <c r="H97" i="3" s="1"/>
  <c r="Y95" i="3"/>
  <c r="K97" i="3" l="1"/>
  <c r="D97" i="3"/>
  <c r="V97" i="3" l="1"/>
  <c r="AE97" i="3"/>
  <c r="F97" i="3"/>
  <c r="G97" i="3"/>
  <c r="I97" i="3" l="1"/>
  <c r="W97" i="3" s="1"/>
  <c r="J97" i="3"/>
  <c r="M97" i="3"/>
  <c r="N97" i="3" s="1"/>
  <c r="L97" i="3" l="1"/>
  <c r="U97" i="3" l="1"/>
  <c r="D98" i="3" s="1"/>
  <c r="AH98" i="3"/>
  <c r="AG98" i="3"/>
  <c r="Y96" i="3"/>
  <c r="G98" i="3" l="1"/>
  <c r="E98" i="3"/>
  <c r="H98" i="3" s="1"/>
  <c r="I98" i="3" l="1"/>
  <c r="J98" i="3"/>
  <c r="M98" i="3"/>
  <c r="N98" i="3" s="1"/>
  <c r="F98" i="3"/>
  <c r="K98" i="3"/>
  <c r="L98" i="3" l="1"/>
  <c r="V98" i="3"/>
  <c r="W98" i="3" s="1"/>
  <c r="AE98" i="3"/>
  <c r="AG99" i="3" l="1"/>
  <c r="AH99" i="3"/>
  <c r="U98" i="3"/>
  <c r="D99" i="3" s="1"/>
  <c r="Y97" i="3"/>
  <c r="G99" i="3" l="1"/>
  <c r="E99" i="3"/>
  <c r="H99" i="3" s="1"/>
  <c r="F99" i="3" l="1"/>
  <c r="I99" i="3"/>
  <c r="J99" i="3"/>
  <c r="M99" i="3"/>
  <c r="N99" i="3" s="1"/>
  <c r="K99" i="3"/>
  <c r="V99" i="3" l="1"/>
  <c r="W99" i="3" s="1"/>
  <c r="AE99" i="3"/>
  <c r="L99" i="3"/>
  <c r="U99" i="3" l="1"/>
  <c r="D100" i="3" s="1"/>
  <c r="AH100" i="3"/>
  <c r="AG100" i="3"/>
  <c r="Y98" i="3"/>
  <c r="E100" i="3" l="1"/>
  <c r="H100" i="3" s="1"/>
  <c r="K100" i="3" s="1"/>
  <c r="G100" i="3"/>
  <c r="F100" i="3" l="1"/>
  <c r="V100" i="3"/>
  <c r="AE100" i="3"/>
  <c r="I100" i="3"/>
  <c r="J100" i="3"/>
  <c r="M100" i="3"/>
  <c r="N100" i="3" s="1"/>
  <c r="W100" i="3" l="1"/>
  <c r="L100" i="3"/>
  <c r="AH101" i="3" l="1"/>
  <c r="U100" i="3"/>
  <c r="E101" i="3" s="1"/>
  <c r="H101" i="3" s="1"/>
  <c r="AG101" i="3"/>
  <c r="Y99" i="3"/>
  <c r="K101" i="3" l="1"/>
  <c r="D101" i="3"/>
  <c r="V101" i="3" l="1"/>
  <c r="AE101" i="3"/>
  <c r="F101" i="3"/>
  <c r="G101" i="3"/>
  <c r="I101" i="3" l="1"/>
  <c r="W101" i="3" s="1"/>
  <c r="J101" i="3"/>
  <c r="M101" i="3"/>
  <c r="N101" i="3" s="1"/>
  <c r="L101" i="3" l="1"/>
  <c r="AH102" i="3" l="1"/>
  <c r="AG102" i="3"/>
  <c r="U101" i="3"/>
  <c r="E102" i="3" s="1"/>
  <c r="H102" i="3" s="1"/>
  <c r="Y100" i="3"/>
  <c r="K102" i="3" l="1"/>
  <c r="D102" i="3"/>
  <c r="V102" i="3" l="1"/>
  <c r="AE102" i="3"/>
  <c r="F102" i="3"/>
  <c r="G102" i="3"/>
  <c r="I102" i="3" l="1"/>
  <c r="W102" i="3" s="1"/>
  <c r="J102" i="3"/>
  <c r="M102" i="3"/>
  <c r="N102" i="3" s="1"/>
  <c r="L102" i="3" l="1"/>
  <c r="AG103" i="3" l="1"/>
  <c r="AH103" i="3"/>
  <c r="U102" i="3"/>
  <c r="E103" i="3" s="1"/>
  <c r="H103" i="3" s="1"/>
  <c r="Y101" i="3"/>
  <c r="K103" i="3" l="1"/>
  <c r="D103" i="3"/>
  <c r="V103" i="3" l="1"/>
  <c r="AE103" i="3"/>
  <c r="F103" i="3"/>
  <c r="G103" i="3"/>
  <c r="I103" i="3" l="1"/>
  <c r="W103" i="3" s="1"/>
  <c r="J103" i="3"/>
  <c r="M103" i="3"/>
  <c r="N103" i="3" s="1"/>
  <c r="L103" i="3" l="1"/>
  <c r="AG104" i="3" l="1"/>
  <c r="AH104" i="3"/>
  <c r="U103" i="3"/>
  <c r="E104" i="3" s="1"/>
  <c r="H104" i="3" s="1"/>
  <c r="Y102" i="3"/>
  <c r="K104" i="3" l="1"/>
  <c r="A105" i="3" s="1"/>
  <c r="B105" i="3" s="1"/>
  <c r="D104" i="3"/>
  <c r="AA105" i="3" l="1"/>
  <c r="P105" i="3"/>
  <c r="Q105" i="3" s="1"/>
  <c r="R105" i="3" s="1"/>
  <c r="S105" i="3" s="1"/>
  <c r="AD105" i="3"/>
  <c r="Z105" i="3"/>
  <c r="AC105" i="3"/>
  <c r="V104" i="3"/>
  <c r="AE104" i="3"/>
  <c r="F104" i="3"/>
  <c r="G104" i="3"/>
  <c r="T105" i="3" l="1"/>
  <c r="I104" i="3"/>
  <c r="W104" i="3" s="1"/>
  <c r="J104" i="3"/>
  <c r="M104" i="3"/>
  <c r="N104" i="3" s="1"/>
  <c r="L104" i="3" l="1"/>
  <c r="AD104" i="3"/>
  <c r="U104" i="3" l="1"/>
  <c r="E105" i="3" s="1"/>
  <c r="H105" i="3" s="1"/>
  <c r="AG105" i="3"/>
  <c r="AH105" i="3"/>
  <c r="Y103" i="3"/>
  <c r="D105" i="3" l="1"/>
  <c r="G105" i="3" s="1"/>
  <c r="K105" i="3"/>
  <c r="A106" i="3" s="1"/>
  <c r="B106" i="3" s="1"/>
  <c r="Z106" i="3" l="1"/>
  <c r="AC106" i="3"/>
  <c r="AA106" i="3"/>
  <c r="AD106" i="3"/>
  <c r="P106" i="3"/>
  <c r="Q106" i="3" s="1"/>
  <c r="R106" i="3" s="1"/>
  <c r="S106" i="3" s="1"/>
  <c r="F105" i="3"/>
  <c r="V105" i="3"/>
  <c r="AE105" i="3"/>
  <c r="I105" i="3"/>
  <c r="J105" i="3"/>
  <c r="M105" i="3"/>
  <c r="N105" i="3" s="1"/>
  <c r="T106" i="3" l="1"/>
  <c r="W105" i="3"/>
  <c r="L105" i="3"/>
  <c r="AH106" i="3" l="1"/>
  <c r="AG106" i="3"/>
  <c r="U105" i="3"/>
  <c r="D106" i="3" s="1"/>
  <c r="Y104" i="3"/>
  <c r="E106" i="3" l="1"/>
  <c r="H106" i="3" s="1"/>
  <c r="K106" i="3" s="1"/>
  <c r="A107" i="3" s="1"/>
  <c r="B107" i="3" s="1"/>
  <c r="G106" i="3"/>
  <c r="Z107" i="3" l="1"/>
  <c r="AA107" i="3"/>
  <c r="AC107" i="3"/>
  <c r="P107" i="3"/>
  <c r="Q107" i="3" s="1"/>
  <c r="R107" i="3" s="1"/>
  <c r="S107" i="3" s="1"/>
  <c r="AD107" i="3"/>
  <c r="F106" i="3"/>
  <c r="V106" i="3"/>
  <c r="AE106" i="3"/>
  <c r="I106" i="3"/>
  <c r="J106" i="3"/>
  <c r="M106" i="3"/>
  <c r="N106" i="3" s="1"/>
  <c r="T107" i="3" l="1"/>
  <c r="W106" i="3"/>
  <c r="L106" i="3"/>
  <c r="AG107" i="3" l="1"/>
  <c r="AH107" i="3"/>
  <c r="U106" i="3"/>
  <c r="E107" i="3" s="1"/>
  <c r="H107" i="3" s="1"/>
  <c r="Y105" i="3"/>
  <c r="K107" i="3" l="1"/>
  <c r="A108" i="3" s="1"/>
  <c r="B108" i="3" s="1"/>
  <c r="D107" i="3"/>
  <c r="AA108" i="3" l="1"/>
  <c r="AC108" i="3"/>
  <c r="AD108" i="3"/>
  <c r="Z108" i="3"/>
  <c r="P108" i="3"/>
  <c r="Q108" i="3" s="1"/>
  <c r="R108" i="3" s="1"/>
  <c r="S108" i="3" s="1"/>
  <c r="V107" i="3"/>
  <c r="AE107" i="3"/>
  <c r="F107" i="3"/>
  <c r="G107" i="3"/>
  <c r="T108" i="3" l="1"/>
  <c r="I107" i="3"/>
  <c r="W107" i="3" s="1"/>
  <c r="J107" i="3"/>
  <c r="M107" i="3"/>
  <c r="N107" i="3" s="1"/>
  <c r="L107" i="3" l="1"/>
  <c r="AH108" i="3" l="1"/>
  <c r="U107" i="3"/>
  <c r="E108" i="3" s="1"/>
  <c r="H108" i="3" s="1"/>
  <c r="AG108" i="3"/>
  <c r="Y106" i="3"/>
  <c r="D108" i="3" l="1"/>
  <c r="G108" i="3" s="1"/>
  <c r="K108" i="3"/>
  <c r="A109" i="3" s="1"/>
  <c r="B109" i="3" s="1"/>
  <c r="P109" i="3" l="1"/>
  <c r="Q109" i="3" s="1"/>
  <c r="R109" i="3" s="1"/>
  <c r="S109" i="3" s="1"/>
  <c r="AA109" i="3"/>
  <c r="Z109" i="3"/>
  <c r="AD109" i="3"/>
  <c r="AC109" i="3"/>
  <c r="F108" i="3"/>
  <c r="I108" i="3"/>
  <c r="J108" i="3"/>
  <c r="M108" i="3"/>
  <c r="N108" i="3" s="1"/>
  <c r="V108" i="3"/>
  <c r="AE108" i="3"/>
  <c r="T109" i="3" l="1"/>
  <c r="W108" i="3"/>
  <c r="L108" i="3"/>
  <c r="AG109" i="3" l="1"/>
  <c r="U108" i="3"/>
  <c r="D109" i="3" s="1"/>
  <c r="AH109" i="3"/>
  <c r="Y107" i="3"/>
  <c r="E109" i="3" l="1"/>
  <c r="H109" i="3" s="1"/>
  <c r="K109" i="3" s="1"/>
  <c r="A110" i="3" s="1"/>
  <c r="B110" i="3" s="1"/>
  <c r="G109" i="3"/>
  <c r="AD110" i="3" l="1"/>
  <c r="P110" i="3"/>
  <c r="Q110" i="3" s="1"/>
  <c r="R110" i="3" s="1"/>
  <c r="S110" i="3" s="1"/>
  <c r="AA110" i="3"/>
  <c r="Z110" i="3"/>
  <c r="AC110" i="3"/>
  <c r="F109" i="3"/>
  <c r="V109" i="3"/>
  <c r="AE109" i="3"/>
  <c r="I109" i="3"/>
  <c r="J109" i="3"/>
  <c r="M109" i="3"/>
  <c r="N109" i="3" s="1"/>
  <c r="T110" i="3" l="1"/>
  <c r="L109" i="3"/>
  <c r="W109" i="3"/>
  <c r="AH110" i="3" l="1"/>
  <c r="AG110" i="3"/>
  <c r="U109" i="3"/>
  <c r="D110" i="3" s="1"/>
  <c r="Y108" i="3"/>
  <c r="E110" i="3" l="1"/>
  <c r="H110" i="3" s="1"/>
  <c r="K110" i="3" s="1"/>
  <c r="A111" i="3" s="1"/>
  <c r="B111" i="3" s="1"/>
  <c r="G110" i="3"/>
  <c r="AA111" i="3" l="1"/>
  <c r="AC111" i="3"/>
  <c r="P111" i="3"/>
  <c r="Q111" i="3" s="1"/>
  <c r="R111" i="3" s="1"/>
  <c r="S111" i="3" s="1"/>
  <c r="Z111" i="3"/>
  <c r="AD111" i="3"/>
  <c r="F110" i="3"/>
  <c r="I110" i="3"/>
  <c r="J110" i="3"/>
  <c r="M110" i="3"/>
  <c r="N110" i="3" s="1"/>
  <c r="V110" i="3"/>
  <c r="AE110" i="3"/>
  <c r="T111" i="3" l="1"/>
  <c r="W110" i="3"/>
  <c r="L110" i="3"/>
  <c r="AH111" i="3" l="1"/>
  <c r="U110" i="3"/>
  <c r="E111" i="3" s="1"/>
  <c r="H111" i="3" s="1"/>
  <c r="AG111" i="3"/>
  <c r="Y109" i="3"/>
  <c r="D111" i="3" l="1"/>
  <c r="G111" i="3" s="1"/>
  <c r="K111" i="3"/>
  <c r="A112" i="3" s="1"/>
  <c r="B112" i="3" s="1"/>
  <c r="AD112" i="3" l="1"/>
  <c r="AA112" i="3"/>
  <c r="AC112" i="3"/>
  <c r="P112" i="3"/>
  <c r="Q112" i="3" s="1"/>
  <c r="R112" i="3" s="1"/>
  <c r="S112" i="3" s="1"/>
  <c r="Z112" i="3"/>
  <c r="F111" i="3"/>
  <c r="I111" i="3"/>
  <c r="J111" i="3"/>
  <c r="M111" i="3"/>
  <c r="N111" i="3" s="1"/>
  <c r="V111" i="3"/>
  <c r="AE111" i="3"/>
  <c r="T112" i="3" l="1"/>
  <c r="W111" i="3"/>
  <c r="L111" i="3"/>
  <c r="AH112" i="3" l="1"/>
  <c r="U111" i="3"/>
  <c r="D112" i="3" s="1"/>
  <c r="AG112" i="3"/>
  <c r="Y110" i="3"/>
  <c r="E112" i="3" l="1"/>
  <c r="H112" i="3" s="1"/>
  <c r="K112" i="3" s="1"/>
  <c r="A113" i="3" s="1"/>
  <c r="B113" i="3" s="1"/>
  <c r="G112" i="3"/>
  <c r="AC113" i="3" l="1"/>
  <c r="AA113" i="3"/>
  <c r="Z113" i="3"/>
  <c r="P113" i="3"/>
  <c r="Q113" i="3" s="1"/>
  <c r="R113" i="3" s="1"/>
  <c r="S113" i="3" s="1"/>
  <c r="AD113" i="3"/>
  <c r="F112" i="3"/>
  <c r="V112" i="3"/>
  <c r="AE112" i="3"/>
  <c r="I112" i="3"/>
  <c r="J112" i="3"/>
  <c r="M112" i="3"/>
  <c r="N112" i="3" s="1"/>
  <c r="T113" i="3" l="1"/>
  <c r="W112" i="3"/>
  <c r="L112" i="3"/>
  <c r="AG113" i="3" l="1"/>
  <c r="U112" i="3"/>
  <c r="E113" i="3" s="1"/>
  <c r="H113" i="3" s="1"/>
  <c r="AH113" i="3"/>
  <c r="Y111" i="3"/>
  <c r="D113" i="3" l="1"/>
  <c r="G113" i="3" s="1"/>
  <c r="K113" i="3"/>
  <c r="A114" i="3" s="1"/>
  <c r="B114" i="3" s="1"/>
  <c r="Z114" i="3" l="1"/>
  <c r="AC114" i="3"/>
  <c r="AA114" i="3"/>
  <c r="P114" i="3"/>
  <c r="Q114" i="3" s="1"/>
  <c r="R114" i="3" s="1"/>
  <c r="S114" i="3" s="1"/>
  <c r="F113" i="3"/>
  <c r="V113" i="3"/>
  <c r="AE113" i="3"/>
  <c r="I113" i="3"/>
  <c r="J113" i="3"/>
  <c r="M113" i="3"/>
  <c r="N113" i="3" s="1"/>
  <c r="T114" i="3" l="1"/>
  <c r="W113" i="3"/>
  <c r="L113" i="3"/>
  <c r="AH114" i="3" l="1"/>
  <c r="U113" i="3"/>
  <c r="D114" i="3" s="1"/>
  <c r="AG114" i="3"/>
  <c r="Y112" i="3"/>
  <c r="E114" i="3" l="1"/>
  <c r="H114" i="3" s="1"/>
  <c r="K114" i="3" s="1"/>
  <c r="A115" i="3" s="1"/>
  <c r="B115" i="3" s="1"/>
  <c r="G114" i="3"/>
  <c r="AA115" i="3" l="1"/>
  <c r="AD115" i="3"/>
  <c r="P115" i="3"/>
  <c r="Q115" i="3" s="1"/>
  <c r="R115" i="3" s="1"/>
  <c r="S115" i="3" s="1"/>
  <c r="Z115" i="3"/>
  <c r="AC115" i="3"/>
  <c r="F114" i="3"/>
  <c r="I114" i="3"/>
  <c r="J114" i="3"/>
  <c r="AD114" i="3" s="1"/>
  <c r="M114" i="3"/>
  <c r="N114" i="3" s="1"/>
  <c r="V114" i="3"/>
  <c r="AE114" i="3"/>
  <c r="T115" i="3" l="1"/>
  <c r="W114" i="3"/>
  <c r="L114" i="3"/>
  <c r="U114" i="3" l="1"/>
  <c r="D115" i="3" s="1"/>
  <c r="AH115" i="3"/>
  <c r="AG115" i="3"/>
  <c r="Y113" i="3"/>
  <c r="G115" i="3" l="1"/>
  <c r="E115" i="3"/>
  <c r="H115" i="3" s="1"/>
  <c r="F115" i="3" l="1"/>
  <c r="I115" i="3"/>
  <c r="J115" i="3"/>
  <c r="M115" i="3"/>
  <c r="N115" i="3" s="1"/>
  <c r="K115" i="3"/>
  <c r="A116" i="3" s="1"/>
  <c r="B116" i="3" s="1"/>
  <c r="AD116" i="3" l="1"/>
  <c r="AA116" i="3"/>
  <c r="AC116" i="3"/>
  <c r="Z116" i="3"/>
  <c r="P116" i="3"/>
  <c r="Q116" i="3" s="1"/>
  <c r="R116" i="3" s="1"/>
  <c r="S116" i="3" s="1"/>
  <c r="V115" i="3"/>
  <c r="W115" i="3" s="1"/>
  <c r="AE115" i="3"/>
  <c r="L115" i="3"/>
  <c r="T116" i="3" l="1"/>
  <c r="AH116" i="3" s="1"/>
  <c r="U115" i="3"/>
  <c r="Y114" i="3"/>
  <c r="AG116" i="3" l="1"/>
  <c r="E116" i="3"/>
  <c r="H116" i="3" s="1"/>
  <c r="K116" i="3" s="1"/>
  <c r="A117" i="3" s="1"/>
  <c r="B117" i="3" s="1"/>
  <c r="D116" i="3"/>
  <c r="P117" i="3" l="1"/>
  <c r="Q117" i="3" s="1"/>
  <c r="R117" i="3" s="1"/>
  <c r="S117" i="3" s="1"/>
  <c r="AC117" i="3"/>
  <c r="AD117" i="3"/>
  <c r="AA117" i="3"/>
  <c r="Z117" i="3"/>
  <c r="V116" i="3"/>
  <c r="AE116" i="3"/>
  <c r="F116" i="3"/>
  <c r="G116" i="3"/>
  <c r="T117" i="3" l="1"/>
  <c r="I116" i="3"/>
  <c r="W116" i="3" s="1"/>
  <c r="J116" i="3"/>
  <c r="M116" i="3"/>
  <c r="N116" i="3" s="1"/>
  <c r="L116" i="3" l="1"/>
  <c r="U116" i="3" l="1"/>
  <c r="D117" i="3" s="1"/>
  <c r="AH117" i="3"/>
  <c r="AG117" i="3"/>
  <c r="Y115" i="3"/>
  <c r="E117" i="3" l="1"/>
  <c r="H117" i="3" s="1"/>
  <c r="K117" i="3" s="1"/>
  <c r="A118" i="3" s="1"/>
  <c r="B118" i="3" s="1"/>
  <c r="G117" i="3"/>
  <c r="P118" i="3" l="1"/>
  <c r="Q118" i="3" s="1"/>
  <c r="R118" i="3" s="1"/>
  <c r="S118" i="3" s="1"/>
  <c r="Z118" i="3"/>
  <c r="AA118" i="3"/>
  <c r="AC118" i="3"/>
  <c r="AD118" i="3"/>
  <c r="F117" i="3"/>
  <c r="I117" i="3"/>
  <c r="J117" i="3"/>
  <c r="M117" i="3"/>
  <c r="N117" i="3" s="1"/>
  <c r="V117" i="3"/>
  <c r="AE117" i="3"/>
  <c r="T118" i="3" l="1"/>
  <c r="W117" i="3"/>
  <c r="L117" i="3"/>
  <c r="AG118" i="3" l="1"/>
  <c r="U117" i="3"/>
  <c r="D118" i="3" s="1"/>
  <c r="AH118" i="3"/>
  <c r="Y116" i="3"/>
  <c r="E118" i="3" l="1"/>
  <c r="H118" i="3" s="1"/>
  <c r="K118" i="3" s="1"/>
  <c r="A119" i="3" s="1"/>
  <c r="B119" i="3" s="1"/>
  <c r="G118" i="3"/>
  <c r="AD119" i="3" l="1"/>
  <c r="Z119" i="3"/>
  <c r="AA119" i="3"/>
  <c r="P119" i="3"/>
  <c r="Q119" i="3" s="1"/>
  <c r="R119" i="3" s="1"/>
  <c r="S119" i="3" s="1"/>
  <c r="AC119" i="3"/>
  <c r="F118" i="3"/>
  <c r="I118" i="3"/>
  <c r="J118" i="3"/>
  <c r="M118" i="3"/>
  <c r="N118" i="3" s="1"/>
  <c r="V118" i="3"/>
  <c r="AE118" i="3"/>
  <c r="T119" i="3" l="1"/>
  <c r="L118" i="3"/>
  <c r="W118" i="3"/>
  <c r="U118" i="3" l="1"/>
  <c r="E119" i="3" s="1"/>
  <c r="H119" i="3" s="1"/>
  <c r="AG119" i="3"/>
  <c r="AH119" i="3"/>
  <c r="Y117" i="3"/>
  <c r="D119" i="3" l="1"/>
  <c r="F119" i="3" s="1"/>
  <c r="K119" i="3"/>
  <c r="A120" i="3" s="1"/>
  <c r="B120" i="3" s="1"/>
  <c r="P120" i="3" l="1"/>
  <c r="Q120" i="3" s="1"/>
  <c r="R120" i="3" s="1"/>
  <c r="S120" i="3" s="1"/>
  <c r="Z120" i="3"/>
  <c r="AA120" i="3"/>
  <c r="AC120" i="3"/>
  <c r="AD120" i="3"/>
  <c r="G119" i="3"/>
  <c r="M119" i="3" s="1"/>
  <c r="N119" i="3" s="1"/>
  <c r="V119" i="3"/>
  <c r="AE119" i="3"/>
  <c r="T120" i="3" l="1"/>
  <c r="I119" i="3"/>
  <c r="W119" i="3" s="1"/>
  <c r="J119" i="3"/>
  <c r="L119" i="3" s="1"/>
  <c r="AH120" i="3" l="1"/>
  <c r="U119" i="3"/>
  <c r="D120" i="3" s="1"/>
  <c r="AG120" i="3"/>
  <c r="Y118" i="3"/>
  <c r="E120" i="3" l="1"/>
  <c r="H120" i="3" s="1"/>
  <c r="K120" i="3" s="1"/>
  <c r="A121" i="3" s="1"/>
  <c r="B121" i="3" s="1"/>
  <c r="G120" i="3"/>
  <c r="P121" i="3" l="1"/>
  <c r="Q121" i="3" s="1"/>
  <c r="R121" i="3" s="1"/>
  <c r="S121" i="3" s="1"/>
  <c r="AC121" i="3"/>
  <c r="AA121" i="3"/>
  <c r="Z121" i="3"/>
  <c r="AD121" i="3"/>
  <c r="F120" i="3"/>
  <c r="I120" i="3"/>
  <c r="J120" i="3"/>
  <c r="M120" i="3"/>
  <c r="N120" i="3" s="1"/>
  <c r="V120" i="3"/>
  <c r="AE120" i="3"/>
  <c r="T121" i="3" l="1"/>
  <c r="W120" i="3"/>
  <c r="L120" i="3"/>
  <c r="U120" i="3" l="1"/>
  <c r="E121" i="3" s="1"/>
  <c r="H121" i="3" s="1"/>
  <c r="AH121" i="3"/>
  <c r="AG121" i="3"/>
  <c r="Y119" i="3"/>
  <c r="D121" i="3" l="1"/>
  <c r="G121" i="3" s="1"/>
  <c r="K121" i="3"/>
  <c r="A122" i="3" s="1"/>
  <c r="B122" i="3" s="1"/>
  <c r="AA122" i="3" l="1"/>
  <c r="AD122" i="3"/>
  <c r="Z122" i="3"/>
  <c r="P122" i="3"/>
  <c r="Q122" i="3" s="1"/>
  <c r="R122" i="3" s="1"/>
  <c r="S122" i="3" s="1"/>
  <c r="AC122" i="3"/>
  <c r="F121" i="3"/>
  <c r="I121" i="3"/>
  <c r="J121" i="3"/>
  <c r="M121" i="3"/>
  <c r="N121" i="3" s="1"/>
  <c r="V121" i="3"/>
  <c r="AE121" i="3"/>
  <c r="T122" i="3" l="1"/>
  <c r="L121" i="3"/>
  <c r="W121" i="3"/>
  <c r="U121" i="3" l="1"/>
  <c r="D122" i="3" s="1"/>
  <c r="AG122" i="3"/>
  <c r="AH122" i="3"/>
  <c r="Y120" i="3"/>
  <c r="G122" i="3" l="1"/>
  <c r="E122" i="3"/>
  <c r="H122" i="3" s="1"/>
  <c r="F122" i="3" l="1"/>
  <c r="K122" i="3"/>
  <c r="A123" i="3" s="1"/>
  <c r="B123" i="3" s="1"/>
  <c r="I122" i="3"/>
  <c r="J122" i="3"/>
  <c r="M122" i="3"/>
  <c r="N122" i="3" s="1"/>
  <c r="P123" i="3" l="1"/>
  <c r="Q123" i="3" s="1"/>
  <c r="R123" i="3" s="1"/>
  <c r="S123" i="3" s="1"/>
  <c r="Z123" i="3"/>
  <c r="AC123" i="3"/>
  <c r="AD123" i="3"/>
  <c r="AA123" i="3"/>
  <c r="L122" i="3"/>
  <c r="V122" i="3"/>
  <c r="W122" i="3" s="1"/>
  <c r="AE122" i="3"/>
  <c r="T123" i="3" l="1"/>
  <c r="AG123" i="3" s="1"/>
  <c r="U122" i="3"/>
  <c r="Y121" i="3"/>
  <c r="AH123" i="3" l="1"/>
  <c r="D123" i="3"/>
  <c r="G123" i="3" s="1"/>
  <c r="E123" i="3"/>
  <c r="H123" i="3" s="1"/>
  <c r="I123" i="3" l="1"/>
  <c r="J123" i="3"/>
  <c r="M123" i="3"/>
  <c r="N123" i="3" s="1"/>
  <c r="K123" i="3"/>
  <c r="A124" i="3" s="1"/>
  <c r="B124" i="3" s="1"/>
  <c r="F123" i="3"/>
  <c r="AC124" i="3" l="1"/>
  <c r="AA124" i="3"/>
  <c r="Z124" i="3"/>
  <c r="P124" i="3"/>
  <c r="Q124" i="3" s="1"/>
  <c r="R124" i="3" s="1"/>
  <c r="S124" i="3" s="1"/>
  <c r="V123" i="3"/>
  <c r="W123" i="3" s="1"/>
  <c r="AE123" i="3"/>
  <c r="L123" i="3"/>
  <c r="T124" i="3" l="1"/>
  <c r="AG124" i="3" s="1"/>
  <c r="U123" i="3"/>
  <c r="Y122" i="3"/>
  <c r="AH124" i="3" l="1"/>
  <c r="D124" i="3"/>
  <c r="G124" i="3" s="1"/>
  <c r="E124" i="3"/>
  <c r="H124" i="3" s="1"/>
  <c r="K124" i="3" s="1"/>
  <c r="A125" i="3" s="1"/>
  <c r="B125" i="3" s="1"/>
  <c r="Z125" i="3" l="1"/>
  <c r="AD125" i="3"/>
  <c r="AC125" i="3"/>
  <c r="AA125" i="3"/>
  <c r="P125" i="3"/>
  <c r="Q125" i="3" s="1"/>
  <c r="R125" i="3" s="1"/>
  <c r="S125" i="3" s="1"/>
  <c r="F124" i="3"/>
  <c r="I124" i="3"/>
  <c r="J124" i="3"/>
  <c r="AD124" i="3" s="1"/>
  <c r="M124" i="3"/>
  <c r="N124" i="3" s="1"/>
  <c r="V124" i="3"/>
  <c r="AE124" i="3"/>
  <c r="T125" i="3" l="1"/>
  <c r="W124" i="3"/>
  <c r="L124" i="3"/>
  <c r="U124" i="3" l="1"/>
  <c r="E125" i="3" s="1"/>
  <c r="H125" i="3" s="1"/>
  <c r="AH125" i="3"/>
  <c r="AG125" i="3"/>
  <c r="Y123" i="3"/>
  <c r="K125" i="3" l="1"/>
  <c r="A126" i="3" s="1"/>
  <c r="B126" i="3" s="1"/>
  <c r="D125" i="3"/>
  <c r="AA126" i="3" l="1"/>
  <c r="P126" i="3"/>
  <c r="Q126" i="3" s="1"/>
  <c r="R126" i="3" s="1"/>
  <c r="S126" i="3" s="1"/>
  <c r="Z126" i="3"/>
  <c r="AD126" i="3"/>
  <c r="AC126" i="3"/>
  <c r="V125" i="3"/>
  <c r="AE125" i="3"/>
  <c r="F125" i="3"/>
  <c r="G125" i="3"/>
  <c r="T126" i="3" l="1"/>
  <c r="I125" i="3"/>
  <c r="W125" i="3" s="1"/>
  <c r="J125" i="3"/>
  <c r="M125" i="3"/>
  <c r="N125" i="3" s="1"/>
  <c r="L125" i="3" l="1"/>
  <c r="AG126" i="3" l="1"/>
  <c r="AH126" i="3"/>
  <c r="U125" i="3"/>
  <c r="D126" i="3" s="1"/>
  <c r="Y124" i="3"/>
  <c r="E126" i="3" l="1"/>
  <c r="H126" i="3" s="1"/>
  <c r="K126" i="3" s="1"/>
  <c r="A127" i="3" s="1"/>
  <c r="B127" i="3" s="1"/>
  <c r="G126" i="3"/>
  <c r="AC127" i="3" l="1"/>
  <c r="P127" i="3"/>
  <c r="Q127" i="3" s="1"/>
  <c r="R127" i="3" s="1"/>
  <c r="S127" i="3" s="1"/>
  <c r="AA127" i="3"/>
  <c r="Z127" i="3"/>
  <c r="AD127" i="3"/>
  <c r="F126" i="3"/>
  <c r="I126" i="3"/>
  <c r="J126" i="3"/>
  <c r="M126" i="3"/>
  <c r="N126" i="3" s="1"/>
  <c r="V126" i="3"/>
  <c r="AE126" i="3"/>
  <c r="T127" i="3" l="1"/>
  <c r="W126" i="3"/>
  <c r="L126" i="3"/>
  <c r="U126" i="3" l="1"/>
  <c r="E127" i="3" s="1"/>
  <c r="H127" i="3" s="1"/>
  <c r="AH127" i="3"/>
  <c r="AG127" i="3"/>
  <c r="Y125" i="3"/>
  <c r="D127" i="3" l="1"/>
  <c r="G127" i="3" s="1"/>
  <c r="K127" i="3"/>
  <c r="A128" i="3" s="1"/>
  <c r="B128" i="3" s="1"/>
  <c r="Z128" i="3" l="1"/>
  <c r="AC128" i="3"/>
  <c r="AD128" i="3"/>
  <c r="P128" i="3"/>
  <c r="Q128" i="3" s="1"/>
  <c r="R128" i="3" s="1"/>
  <c r="S128" i="3" s="1"/>
  <c r="AA128" i="3"/>
  <c r="F127" i="3"/>
  <c r="I127" i="3"/>
  <c r="J127" i="3"/>
  <c r="M127" i="3"/>
  <c r="N127" i="3" s="1"/>
  <c r="V127" i="3"/>
  <c r="AE127" i="3"/>
  <c r="T128" i="3" l="1"/>
  <c r="W127" i="3"/>
  <c r="L127" i="3"/>
  <c r="AH128" i="3" l="1"/>
  <c r="U127" i="3"/>
  <c r="E128" i="3" s="1"/>
  <c r="H128" i="3" s="1"/>
  <c r="AG128" i="3"/>
  <c r="Y126" i="3"/>
  <c r="D128" i="3" l="1"/>
  <c r="G128" i="3" s="1"/>
  <c r="K128" i="3"/>
  <c r="A129" i="3" s="1"/>
  <c r="B129" i="3" s="1"/>
  <c r="AA129" i="3" l="1"/>
  <c r="AC129" i="3"/>
  <c r="Z129" i="3"/>
  <c r="AD129" i="3"/>
  <c r="P129" i="3"/>
  <c r="Q129" i="3" s="1"/>
  <c r="R129" i="3" s="1"/>
  <c r="S129" i="3" s="1"/>
  <c r="F128" i="3"/>
  <c r="I128" i="3"/>
  <c r="J128" i="3"/>
  <c r="M128" i="3"/>
  <c r="N128" i="3" s="1"/>
  <c r="V128" i="3"/>
  <c r="AE128" i="3"/>
  <c r="T129" i="3" l="1"/>
  <c r="W128" i="3"/>
  <c r="L128" i="3"/>
  <c r="AH129" i="3" l="1"/>
  <c r="U128" i="3"/>
  <c r="D129" i="3" s="1"/>
  <c r="AG129" i="3"/>
  <c r="Y127" i="3"/>
  <c r="G129" i="3" l="1"/>
  <c r="E129" i="3"/>
  <c r="H129" i="3" s="1"/>
  <c r="F129" i="3" l="1"/>
  <c r="I129" i="3"/>
  <c r="J129" i="3"/>
  <c r="M129" i="3"/>
  <c r="N129" i="3" s="1"/>
  <c r="K129" i="3"/>
  <c r="A130" i="3" s="1"/>
  <c r="B130" i="3" s="1"/>
  <c r="AD130" i="3" l="1"/>
  <c r="P130" i="3"/>
  <c r="Q130" i="3" s="1"/>
  <c r="R130" i="3" s="1"/>
  <c r="S130" i="3" s="1"/>
  <c r="AA130" i="3"/>
  <c r="Z130" i="3"/>
  <c r="AC130" i="3"/>
  <c r="V129" i="3"/>
  <c r="W129" i="3" s="1"/>
  <c r="AE129" i="3"/>
  <c r="L129" i="3"/>
  <c r="T130" i="3" l="1"/>
  <c r="AH130" i="3" s="1"/>
  <c r="U129" i="3"/>
  <c r="Y128" i="3"/>
  <c r="AG130" i="3" l="1"/>
  <c r="E130" i="3"/>
  <c r="H130" i="3" s="1"/>
  <c r="K130" i="3" s="1"/>
  <c r="A131" i="3" s="1"/>
  <c r="B131" i="3" s="1"/>
  <c r="D130" i="3"/>
  <c r="G130" i="3" s="1"/>
  <c r="AC131" i="3" l="1"/>
  <c r="Z131" i="3"/>
  <c r="AA131" i="3"/>
  <c r="P131" i="3"/>
  <c r="Q131" i="3" s="1"/>
  <c r="R131" i="3" s="1"/>
  <c r="S131" i="3" s="1"/>
  <c r="AD131" i="3"/>
  <c r="F130" i="3"/>
  <c r="V130" i="3"/>
  <c r="AE130" i="3"/>
  <c r="I130" i="3"/>
  <c r="J130" i="3"/>
  <c r="M130" i="3"/>
  <c r="N130" i="3" s="1"/>
  <c r="T131" i="3" l="1"/>
  <c r="L130" i="3"/>
  <c r="W130" i="3"/>
  <c r="U130" i="3" l="1"/>
  <c r="E131" i="3" s="1"/>
  <c r="H131" i="3" s="1"/>
  <c r="AH131" i="3"/>
  <c r="AG131" i="3"/>
  <c r="Y129" i="3"/>
  <c r="D131" i="3" l="1"/>
  <c r="F131" i="3" s="1"/>
  <c r="K131" i="3"/>
  <c r="A132" i="3" s="1"/>
  <c r="B132" i="3" s="1"/>
  <c r="AD132" i="3" l="1"/>
  <c r="P132" i="3"/>
  <c r="Q132" i="3" s="1"/>
  <c r="R132" i="3" s="1"/>
  <c r="S132" i="3" s="1"/>
  <c r="Z132" i="3"/>
  <c r="AA132" i="3"/>
  <c r="AC132" i="3"/>
  <c r="G131" i="3"/>
  <c r="M131" i="3" s="1"/>
  <c r="N131" i="3" s="1"/>
  <c r="V131" i="3"/>
  <c r="AE131" i="3"/>
  <c r="T132" i="3" l="1"/>
  <c r="J131" i="3"/>
  <c r="L131" i="3" s="1"/>
  <c r="I131" i="3"/>
  <c r="W131" i="3" s="1"/>
  <c r="U131" i="3" l="1"/>
  <c r="E132" i="3" s="1"/>
  <c r="H132" i="3" s="1"/>
  <c r="AH132" i="3"/>
  <c r="AG132" i="3"/>
  <c r="Y130" i="3"/>
  <c r="K132" i="3" l="1"/>
  <c r="A133" i="3" s="1"/>
  <c r="B133" i="3" s="1"/>
  <c r="D132" i="3"/>
  <c r="P133" i="3" l="1"/>
  <c r="Q133" i="3" s="1"/>
  <c r="R133" i="3" s="1"/>
  <c r="S133" i="3" s="1"/>
  <c r="Z133" i="3"/>
  <c r="AC133" i="3"/>
  <c r="AD133" i="3"/>
  <c r="AA133" i="3"/>
  <c r="V132" i="3"/>
  <c r="AE132" i="3"/>
  <c r="F132" i="3"/>
  <c r="G132" i="3"/>
  <c r="T133" i="3" l="1"/>
  <c r="I132" i="3"/>
  <c r="W132" i="3" s="1"/>
  <c r="J132" i="3"/>
  <c r="M132" i="3"/>
  <c r="N132" i="3" s="1"/>
  <c r="L132" i="3" l="1"/>
  <c r="U132" i="3" l="1"/>
  <c r="D133" i="3" s="1"/>
  <c r="AH133" i="3"/>
  <c r="AG133" i="3"/>
  <c r="Y131" i="3"/>
  <c r="E133" i="3" l="1"/>
  <c r="H133" i="3" s="1"/>
  <c r="K133" i="3" s="1"/>
  <c r="A134" i="3" s="1"/>
  <c r="B134" i="3" s="1"/>
  <c r="G133" i="3"/>
  <c r="P134" i="3" l="1"/>
  <c r="Q134" i="3" s="1"/>
  <c r="R134" i="3" s="1"/>
  <c r="S134" i="3" s="1"/>
  <c r="AC134" i="3"/>
  <c r="AA134" i="3"/>
  <c r="Z134" i="3"/>
  <c r="F133" i="3"/>
  <c r="V133" i="3"/>
  <c r="AE133" i="3"/>
  <c r="I133" i="3"/>
  <c r="J133" i="3"/>
  <c r="M133" i="3"/>
  <c r="N133" i="3" s="1"/>
  <c r="T134" i="3" l="1"/>
  <c r="W133" i="3"/>
  <c r="L133" i="3"/>
  <c r="AG134" i="3" l="1"/>
  <c r="U133" i="3"/>
  <c r="D134" i="3" s="1"/>
  <c r="AH134" i="3"/>
  <c r="Y132" i="3"/>
  <c r="E134" i="3" l="1"/>
  <c r="H134" i="3" s="1"/>
  <c r="K134" i="3" s="1"/>
  <c r="A135" i="3" s="1"/>
  <c r="B135" i="3" s="1"/>
  <c r="G134" i="3"/>
  <c r="P135" i="3" l="1"/>
  <c r="Q135" i="3" s="1"/>
  <c r="R135" i="3" s="1"/>
  <c r="S135" i="3" s="1"/>
  <c r="AA135" i="3"/>
  <c r="AC135" i="3"/>
  <c r="Z135" i="3"/>
  <c r="AD135" i="3"/>
  <c r="F134" i="3"/>
  <c r="I134" i="3"/>
  <c r="J134" i="3"/>
  <c r="AD134" i="3" s="1"/>
  <c r="M134" i="3"/>
  <c r="N134" i="3" s="1"/>
  <c r="V134" i="3"/>
  <c r="AE134" i="3"/>
  <c r="T135" i="3" l="1"/>
  <c r="W134" i="3"/>
  <c r="L134" i="3"/>
  <c r="U134" i="3" l="1"/>
  <c r="E135" i="3" s="1"/>
  <c r="H135" i="3" s="1"/>
  <c r="AH135" i="3"/>
  <c r="AG135" i="3"/>
  <c r="Y133" i="3"/>
  <c r="K135" i="3" l="1"/>
  <c r="A136" i="3" s="1"/>
  <c r="B136" i="3" s="1"/>
  <c r="D135" i="3"/>
  <c r="P136" i="3" l="1"/>
  <c r="Q136" i="3" s="1"/>
  <c r="R136" i="3" s="1"/>
  <c r="S136" i="3" s="1"/>
  <c r="Z136" i="3"/>
  <c r="AD136" i="3"/>
  <c r="AC136" i="3"/>
  <c r="AA136" i="3"/>
  <c r="V135" i="3"/>
  <c r="AE135" i="3"/>
  <c r="F135" i="3"/>
  <c r="G135" i="3"/>
  <c r="T136" i="3" l="1"/>
  <c r="I135" i="3"/>
  <c r="W135" i="3" s="1"/>
  <c r="J135" i="3"/>
  <c r="M135" i="3"/>
  <c r="N135" i="3" s="1"/>
  <c r="L135" i="3" l="1"/>
  <c r="AH136" i="3" l="1"/>
  <c r="U135" i="3"/>
  <c r="D136" i="3" s="1"/>
  <c r="AG136" i="3"/>
  <c r="Y134" i="3"/>
  <c r="E136" i="3" l="1"/>
  <c r="H136" i="3" s="1"/>
  <c r="K136" i="3" s="1"/>
  <c r="A137" i="3" s="1"/>
  <c r="B137" i="3" s="1"/>
  <c r="G136" i="3"/>
  <c r="Z137" i="3" l="1"/>
  <c r="P137" i="3"/>
  <c r="Q137" i="3" s="1"/>
  <c r="R137" i="3" s="1"/>
  <c r="S137" i="3" s="1"/>
  <c r="AD137" i="3"/>
  <c r="AC137" i="3"/>
  <c r="AA137" i="3"/>
  <c r="F136" i="3"/>
  <c r="I136" i="3"/>
  <c r="J136" i="3"/>
  <c r="M136" i="3"/>
  <c r="N136" i="3" s="1"/>
  <c r="V136" i="3"/>
  <c r="AE136" i="3"/>
  <c r="T137" i="3" l="1"/>
  <c r="W136" i="3"/>
  <c r="L136" i="3"/>
  <c r="U136" i="3" l="1"/>
  <c r="D137" i="3" s="1"/>
  <c r="AH137" i="3"/>
  <c r="AG137" i="3"/>
  <c r="Y135" i="3"/>
  <c r="E137" i="3" l="1"/>
  <c r="H137" i="3" s="1"/>
  <c r="K137" i="3" s="1"/>
  <c r="A138" i="3" s="1"/>
  <c r="B138" i="3" s="1"/>
  <c r="G137" i="3"/>
  <c r="AC138" i="3" l="1"/>
  <c r="AA138" i="3"/>
  <c r="AD138" i="3"/>
  <c r="Z138" i="3"/>
  <c r="P138" i="3"/>
  <c r="Q138" i="3" s="1"/>
  <c r="R138" i="3" s="1"/>
  <c r="S138" i="3" s="1"/>
  <c r="F137" i="3"/>
  <c r="I137" i="3"/>
  <c r="J137" i="3"/>
  <c r="M137" i="3"/>
  <c r="N137" i="3" s="1"/>
  <c r="V137" i="3"/>
  <c r="AE137" i="3"/>
  <c r="T138" i="3" l="1"/>
  <c r="W137" i="3"/>
  <c r="L137" i="3"/>
  <c r="AH138" i="3" l="1"/>
  <c r="U137" i="3"/>
  <c r="E138" i="3" s="1"/>
  <c r="H138" i="3" s="1"/>
  <c r="AG138" i="3"/>
  <c r="Y136" i="3"/>
  <c r="D138" i="3" l="1"/>
  <c r="F138" i="3" s="1"/>
  <c r="K138" i="3"/>
  <c r="A139" i="3" s="1"/>
  <c r="B139" i="3" s="1"/>
  <c r="AD139" i="3" l="1"/>
  <c r="AC139" i="3"/>
  <c r="Z139" i="3"/>
  <c r="AA139" i="3"/>
  <c r="P139" i="3"/>
  <c r="Q139" i="3" s="1"/>
  <c r="R139" i="3" s="1"/>
  <c r="S139" i="3" s="1"/>
  <c r="G138" i="3"/>
  <c r="M138" i="3" s="1"/>
  <c r="N138" i="3" s="1"/>
  <c r="V138" i="3"/>
  <c r="AE138" i="3"/>
  <c r="T139" i="3" l="1"/>
  <c r="I138" i="3"/>
  <c r="W138" i="3" s="1"/>
  <c r="J138" i="3"/>
  <c r="L138" i="3" s="1"/>
  <c r="U138" i="3" l="1"/>
  <c r="E139" i="3" s="1"/>
  <c r="H139" i="3" s="1"/>
  <c r="AG139" i="3"/>
  <c r="AH139" i="3"/>
  <c r="Y137" i="3"/>
  <c r="D139" i="3" l="1"/>
  <c r="G139" i="3" s="1"/>
  <c r="K139" i="3"/>
  <c r="A140" i="3" s="1"/>
  <c r="B140" i="3" s="1"/>
  <c r="AD140" i="3" l="1"/>
  <c r="AA140" i="3"/>
  <c r="AC140" i="3"/>
  <c r="Z140" i="3"/>
  <c r="P140" i="3"/>
  <c r="Q140" i="3" s="1"/>
  <c r="R140" i="3" s="1"/>
  <c r="S140" i="3" s="1"/>
  <c r="F139" i="3"/>
  <c r="V139" i="3"/>
  <c r="AE139" i="3"/>
  <c r="I139" i="3"/>
  <c r="J139" i="3"/>
  <c r="M139" i="3"/>
  <c r="N139" i="3" s="1"/>
  <c r="T140" i="3" l="1"/>
  <c r="W139" i="3"/>
  <c r="L139" i="3"/>
  <c r="AG140" i="3" l="1"/>
  <c r="U139" i="3"/>
  <c r="E140" i="3" s="1"/>
  <c r="H140" i="3" s="1"/>
  <c r="AH140" i="3"/>
  <c r="Y138" i="3"/>
  <c r="D140" i="3" l="1"/>
  <c r="G140" i="3" s="1"/>
  <c r="K140" i="3"/>
  <c r="A141" i="3" s="1"/>
  <c r="B141" i="3" s="1"/>
  <c r="P141" i="3" l="1"/>
  <c r="Q141" i="3" s="1"/>
  <c r="R141" i="3" s="1"/>
  <c r="S141" i="3" s="1"/>
  <c r="AC141" i="3"/>
  <c r="Z141" i="3"/>
  <c r="AA141" i="3"/>
  <c r="AD141" i="3"/>
  <c r="F140" i="3"/>
  <c r="V140" i="3"/>
  <c r="AE140" i="3"/>
  <c r="I140" i="3"/>
  <c r="J140" i="3"/>
  <c r="M140" i="3"/>
  <c r="N140" i="3" s="1"/>
  <c r="T141" i="3" l="1"/>
  <c r="W140" i="3"/>
  <c r="L140" i="3"/>
  <c r="AG141" i="3" l="1"/>
  <c r="U140" i="3"/>
  <c r="D141" i="3" s="1"/>
  <c r="AH141" i="3"/>
  <c r="Y139" i="3"/>
  <c r="E141" i="3" l="1"/>
  <c r="H141" i="3" s="1"/>
  <c r="K141" i="3" s="1"/>
  <c r="A142" i="3" s="1"/>
  <c r="B142" i="3" s="1"/>
  <c r="G141" i="3"/>
  <c r="AA142" i="3" l="1"/>
  <c r="AC142" i="3"/>
  <c r="Z142" i="3"/>
  <c r="AD142" i="3"/>
  <c r="P142" i="3"/>
  <c r="Q142" i="3" s="1"/>
  <c r="R142" i="3" s="1"/>
  <c r="S142" i="3" s="1"/>
  <c r="F141" i="3"/>
  <c r="I141" i="3"/>
  <c r="J141" i="3"/>
  <c r="M141" i="3"/>
  <c r="N141" i="3" s="1"/>
  <c r="V141" i="3"/>
  <c r="AE141" i="3"/>
  <c r="T142" i="3" l="1"/>
  <c r="W141" i="3"/>
  <c r="L141" i="3"/>
  <c r="U141" i="3" l="1"/>
  <c r="D142" i="3" s="1"/>
  <c r="AH142" i="3"/>
  <c r="AG142" i="3"/>
  <c r="Y140" i="3"/>
  <c r="E142" i="3" l="1"/>
  <c r="H142" i="3" s="1"/>
  <c r="K142" i="3" s="1"/>
  <c r="A143" i="3" s="1"/>
  <c r="B143" i="3" s="1"/>
  <c r="G142" i="3"/>
  <c r="P143" i="3" l="1"/>
  <c r="Q143" i="3" s="1"/>
  <c r="R143" i="3" s="1"/>
  <c r="S143" i="3" s="1"/>
  <c r="AC143" i="3"/>
  <c r="AA143" i="3"/>
  <c r="Z143" i="3"/>
  <c r="AD143" i="3"/>
  <c r="F142" i="3"/>
  <c r="V142" i="3"/>
  <c r="AE142" i="3"/>
  <c r="I142" i="3"/>
  <c r="J142" i="3"/>
  <c r="M142" i="3"/>
  <c r="N142" i="3" s="1"/>
  <c r="T143" i="3" l="1"/>
  <c r="W142" i="3"/>
  <c r="L142" i="3"/>
  <c r="U142" i="3" l="1"/>
  <c r="E143" i="3" s="1"/>
  <c r="H143" i="3" s="1"/>
  <c r="AG143" i="3"/>
  <c r="AH143" i="3"/>
  <c r="Y141" i="3"/>
  <c r="D143" i="3" l="1"/>
  <c r="F143" i="3" s="1"/>
  <c r="K143" i="3"/>
  <c r="A144" i="3" s="1"/>
  <c r="B144" i="3" s="1"/>
  <c r="Z144" i="3" l="1"/>
  <c r="AA144" i="3"/>
  <c r="P144" i="3"/>
  <c r="Q144" i="3" s="1"/>
  <c r="R144" i="3" s="1"/>
  <c r="S144" i="3" s="1"/>
  <c r="AC144" i="3"/>
  <c r="G143" i="3"/>
  <c r="M143" i="3" s="1"/>
  <c r="N143" i="3" s="1"/>
  <c r="V143" i="3"/>
  <c r="AE143" i="3"/>
  <c r="T144" i="3" l="1"/>
  <c r="J143" i="3"/>
  <c r="L143" i="3" s="1"/>
  <c r="I143" i="3"/>
  <c r="W143" i="3" s="1"/>
  <c r="U143" i="3" l="1"/>
  <c r="D144" i="3" s="1"/>
  <c r="AG144" i="3"/>
  <c r="AH144" i="3"/>
  <c r="Y142" i="3"/>
  <c r="E144" i="3" l="1"/>
  <c r="H144" i="3" s="1"/>
  <c r="K144" i="3" s="1"/>
  <c r="A145" i="3" s="1"/>
  <c r="B145" i="3" s="1"/>
  <c r="G144" i="3"/>
  <c r="P145" i="3" l="1"/>
  <c r="Q145" i="3" s="1"/>
  <c r="R145" i="3" s="1"/>
  <c r="S145" i="3" s="1"/>
  <c r="Z145" i="3"/>
  <c r="AA145" i="3"/>
  <c r="AC145" i="3"/>
  <c r="AD145" i="3"/>
  <c r="F144" i="3"/>
  <c r="V144" i="3"/>
  <c r="AE144" i="3"/>
  <c r="I144" i="3"/>
  <c r="J144" i="3"/>
  <c r="AD144" i="3" s="1"/>
  <c r="M144" i="3"/>
  <c r="N144" i="3" s="1"/>
  <c r="T145" i="3" l="1"/>
  <c r="W144" i="3"/>
  <c r="L144" i="3"/>
  <c r="AH145" i="3" l="1"/>
  <c r="AG145" i="3"/>
  <c r="U144" i="3"/>
  <c r="D145" i="3" s="1"/>
  <c r="Y143" i="3"/>
  <c r="E145" i="3" l="1"/>
  <c r="H145" i="3" s="1"/>
  <c r="K145" i="3" s="1"/>
  <c r="A146" i="3" s="1"/>
  <c r="B146" i="3" s="1"/>
  <c r="G145" i="3"/>
  <c r="AA146" i="3" l="1"/>
  <c r="AD146" i="3"/>
  <c r="AC146" i="3"/>
  <c r="Z146" i="3"/>
  <c r="P146" i="3"/>
  <c r="Q146" i="3" s="1"/>
  <c r="R146" i="3" s="1"/>
  <c r="S146" i="3" s="1"/>
  <c r="F145" i="3"/>
  <c r="I145" i="3"/>
  <c r="J145" i="3"/>
  <c r="M145" i="3"/>
  <c r="N145" i="3" s="1"/>
  <c r="V145" i="3"/>
  <c r="AE145" i="3"/>
  <c r="T146" i="3" l="1"/>
  <c r="W145" i="3"/>
  <c r="L145" i="3"/>
  <c r="U145" i="3" l="1"/>
  <c r="D146" i="3" s="1"/>
  <c r="AH146" i="3"/>
  <c r="AG146" i="3"/>
  <c r="Y144" i="3"/>
  <c r="E146" i="3" l="1"/>
  <c r="H146" i="3" s="1"/>
  <c r="K146" i="3" s="1"/>
  <c r="A147" i="3" s="1"/>
  <c r="B147" i="3" s="1"/>
  <c r="G146" i="3"/>
  <c r="Z147" i="3" l="1"/>
  <c r="AC147" i="3"/>
  <c r="AA147" i="3"/>
  <c r="P147" i="3"/>
  <c r="Q147" i="3" s="1"/>
  <c r="R147" i="3" s="1"/>
  <c r="S147" i="3" s="1"/>
  <c r="AD147" i="3"/>
  <c r="F146" i="3"/>
  <c r="I146" i="3"/>
  <c r="J146" i="3"/>
  <c r="M146" i="3"/>
  <c r="N146" i="3" s="1"/>
  <c r="V146" i="3"/>
  <c r="AE146" i="3"/>
  <c r="T147" i="3" l="1"/>
  <c r="W146" i="3"/>
  <c r="L146" i="3"/>
  <c r="U146" i="3" l="1"/>
  <c r="D147" i="3" s="1"/>
  <c r="AG147" i="3"/>
  <c r="AH147" i="3"/>
  <c r="Y145" i="3"/>
  <c r="E147" i="3" l="1"/>
  <c r="H147" i="3" s="1"/>
  <c r="K147" i="3" s="1"/>
  <c r="A148" i="3" s="1"/>
  <c r="B148" i="3" s="1"/>
  <c r="G147" i="3"/>
  <c r="P148" i="3" l="1"/>
  <c r="Q148" i="3" s="1"/>
  <c r="R148" i="3" s="1"/>
  <c r="S148" i="3" s="1"/>
  <c r="Z148" i="3"/>
  <c r="AD148" i="3"/>
  <c r="AC148" i="3"/>
  <c r="AA148" i="3"/>
  <c r="F147" i="3"/>
  <c r="V147" i="3"/>
  <c r="AE147" i="3"/>
  <c r="I147" i="3"/>
  <c r="J147" i="3"/>
  <c r="M147" i="3"/>
  <c r="N147" i="3" s="1"/>
  <c r="T148" i="3" l="1"/>
  <c r="W147" i="3"/>
  <c r="L147" i="3"/>
  <c r="AG148" i="3" l="1"/>
  <c r="U147" i="3"/>
  <c r="E148" i="3" s="1"/>
  <c r="H148" i="3" s="1"/>
  <c r="AH148" i="3"/>
  <c r="Y146" i="3"/>
  <c r="K148" i="3" l="1"/>
  <c r="A149" i="3" s="1"/>
  <c r="B149" i="3" s="1"/>
  <c r="D148" i="3"/>
  <c r="P149" i="3" l="1"/>
  <c r="Q149" i="3" s="1"/>
  <c r="R149" i="3" s="1"/>
  <c r="S149" i="3" s="1"/>
  <c r="AD149" i="3"/>
  <c r="AC149" i="3"/>
  <c r="AA149" i="3"/>
  <c r="Z149" i="3"/>
  <c r="V148" i="3"/>
  <c r="AE148" i="3"/>
  <c r="F148" i="3"/>
  <c r="G148" i="3"/>
  <c r="T149" i="3" l="1"/>
  <c r="I148" i="3"/>
  <c r="W148" i="3" s="1"/>
  <c r="J148" i="3"/>
  <c r="M148" i="3"/>
  <c r="N148" i="3" s="1"/>
  <c r="L148" i="3" l="1"/>
  <c r="AG149" i="3" l="1"/>
  <c r="U148" i="3"/>
  <c r="D149" i="3" s="1"/>
  <c r="AH149" i="3"/>
  <c r="Y147" i="3"/>
  <c r="E149" i="3" l="1"/>
  <c r="H149" i="3" s="1"/>
  <c r="K149" i="3" s="1"/>
  <c r="A150" i="3" s="1"/>
  <c r="B150" i="3" s="1"/>
  <c r="G149" i="3"/>
  <c r="P150" i="3" l="1"/>
  <c r="Q150" i="3" s="1"/>
  <c r="R150" i="3" s="1"/>
  <c r="S150" i="3" s="1"/>
  <c r="Z150" i="3"/>
  <c r="AD150" i="3"/>
  <c r="AA150" i="3"/>
  <c r="AC150" i="3"/>
  <c r="F149" i="3"/>
  <c r="I149" i="3"/>
  <c r="J149" i="3"/>
  <c r="M149" i="3"/>
  <c r="N149" i="3" s="1"/>
  <c r="V149" i="3"/>
  <c r="AE149" i="3"/>
  <c r="T150" i="3" l="1"/>
  <c r="W149" i="3"/>
  <c r="L149" i="3"/>
  <c r="AH150" i="3" l="1"/>
  <c r="U149" i="3"/>
  <c r="D150" i="3" s="1"/>
  <c r="AG150" i="3"/>
  <c r="Y148" i="3"/>
  <c r="E150" i="3" l="1"/>
  <c r="H150" i="3" s="1"/>
  <c r="K150" i="3" s="1"/>
  <c r="A151" i="3" s="1"/>
  <c r="B151" i="3" s="1"/>
  <c r="G150" i="3"/>
  <c r="P151" i="3" l="1"/>
  <c r="Q151" i="3" s="1"/>
  <c r="R151" i="3" s="1"/>
  <c r="S151" i="3" s="1"/>
  <c r="AC151" i="3"/>
  <c r="AD151" i="3"/>
  <c r="Z151" i="3"/>
  <c r="AA151" i="3"/>
  <c r="F150" i="3"/>
  <c r="I150" i="3"/>
  <c r="J150" i="3"/>
  <c r="M150" i="3"/>
  <c r="N150" i="3" s="1"/>
  <c r="V150" i="3"/>
  <c r="AE150" i="3"/>
  <c r="T151" i="3" l="1"/>
  <c r="W150" i="3"/>
  <c r="L150" i="3"/>
  <c r="AH151" i="3" l="1"/>
  <c r="U150" i="3"/>
  <c r="E151" i="3" s="1"/>
  <c r="H151" i="3" s="1"/>
  <c r="AG151" i="3"/>
  <c r="Y149" i="3"/>
  <c r="D151" i="3" l="1"/>
  <c r="G151" i="3" s="1"/>
  <c r="K151" i="3"/>
  <c r="A152" i="3" s="1"/>
  <c r="B152" i="3" s="1"/>
  <c r="AC152" i="3" l="1"/>
  <c r="AA152" i="3"/>
  <c r="P152" i="3"/>
  <c r="Q152" i="3" s="1"/>
  <c r="R152" i="3" s="1"/>
  <c r="S152" i="3" s="1"/>
  <c r="Z152" i="3"/>
  <c r="AD152" i="3"/>
  <c r="F151" i="3"/>
  <c r="I151" i="3"/>
  <c r="J151" i="3"/>
  <c r="M151" i="3"/>
  <c r="N151" i="3" s="1"/>
  <c r="V151" i="3"/>
  <c r="AE151" i="3"/>
  <c r="T152" i="3" l="1"/>
  <c r="W151" i="3"/>
  <c r="L151" i="3"/>
  <c r="AH152" i="3" l="1"/>
  <c r="AG152" i="3"/>
  <c r="U151" i="3"/>
  <c r="E152" i="3" s="1"/>
  <c r="H152" i="3" s="1"/>
  <c r="Y150" i="3"/>
  <c r="D152" i="3" l="1"/>
  <c r="G152" i="3" s="1"/>
  <c r="K152" i="3"/>
  <c r="A153" i="3" s="1"/>
  <c r="B153" i="3" s="1"/>
  <c r="AD153" i="3" l="1"/>
  <c r="P153" i="3"/>
  <c r="Q153" i="3" s="1"/>
  <c r="R153" i="3" s="1"/>
  <c r="S153" i="3" s="1"/>
  <c r="AA153" i="3"/>
  <c r="AC153" i="3"/>
  <c r="Z153" i="3"/>
  <c r="F152" i="3"/>
  <c r="V152" i="3"/>
  <c r="AE152" i="3"/>
  <c r="I152" i="3"/>
  <c r="J152" i="3"/>
  <c r="M152" i="3"/>
  <c r="N152" i="3" s="1"/>
  <c r="T153" i="3" l="1"/>
  <c r="W152" i="3"/>
  <c r="L152" i="3"/>
  <c r="AH153" i="3" l="1"/>
  <c r="U152" i="3"/>
  <c r="D153" i="3" s="1"/>
  <c r="AG153" i="3"/>
  <c r="Y151" i="3"/>
  <c r="G153" i="3" l="1"/>
  <c r="E153" i="3"/>
  <c r="H153" i="3" s="1"/>
  <c r="K153" i="3" l="1"/>
  <c r="A154" i="3" s="1"/>
  <c r="B154" i="3" s="1"/>
  <c r="I153" i="3"/>
  <c r="J153" i="3"/>
  <c r="M153" i="3"/>
  <c r="N153" i="3" s="1"/>
  <c r="F153" i="3"/>
  <c r="P154" i="3" l="1"/>
  <c r="Q154" i="3" s="1"/>
  <c r="R154" i="3" s="1"/>
  <c r="S154" i="3" s="1"/>
  <c r="Z154" i="3"/>
  <c r="AC154" i="3"/>
  <c r="AA154" i="3"/>
  <c r="V153" i="3"/>
  <c r="W153" i="3" s="1"/>
  <c r="AE153" i="3"/>
  <c r="L153" i="3"/>
  <c r="T154" i="3" l="1"/>
  <c r="AG154" i="3" s="1"/>
  <c r="U153" i="3"/>
  <c r="Y152" i="3"/>
  <c r="AH154" i="3" l="1"/>
  <c r="D154" i="3"/>
  <c r="G154" i="3" s="1"/>
  <c r="E154" i="3"/>
  <c r="H154" i="3" s="1"/>
  <c r="K154" i="3" s="1"/>
  <c r="A155" i="3" s="1"/>
  <c r="B155" i="3" s="1"/>
  <c r="AC155" i="3" l="1"/>
  <c r="P155" i="3"/>
  <c r="Q155" i="3" s="1"/>
  <c r="R155" i="3" s="1"/>
  <c r="S155" i="3" s="1"/>
  <c r="AA155" i="3"/>
  <c r="Z155" i="3"/>
  <c r="F154" i="3"/>
  <c r="I154" i="3"/>
  <c r="J154" i="3"/>
  <c r="AD154" i="3" s="1"/>
  <c r="M154" i="3"/>
  <c r="N154" i="3" s="1"/>
  <c r="V154" i="3"/>
  <c r="AE154" i="3"/>
  <c r="T155" i="3" l="1"/>
  <c r="L154" i="3"/>
  <c r="W154" i="3"/>
  <c r="U154" i="3" l="1"/>
  <c r="E155" i="3" s="1"/>
  <c r="H155" i="3" s="1"/>
  <c r="AH155" i="3"/>
  <c r="AG155" i="3"/>
  <c r="Y153" i="3"/>
  <c r="D155" i="3" l="1"/>
  <c r="G155" i="3" s="1"/>
  <c r="K155" i="3"/>
  <c r="A156" i="3" s="1"/>
  <c r="B156" i="3" s="1"/>
  <c r="AA156" i="3" l="1"/>
  <c r="Z156" i="3"/>
  <c r="AC156" i="3"/>
  <c r="P156" i="3"/>
  <c r="Q156" i="3" s="1"/>
  <c r="R156" i="3" s="1"/>
  <c r="S156" i="3" s="1"/>
  <c r="F155" i="3"/>
  <c r="V155" i="3"/>
  <c r="AE155" i="3"/>
  <c r="I155" i="3"/>
  <c r="J155" i="3"/>
  <c r="AD155" i="3" s="1"/>
  <c r="M155" i="3"/>
  <c r="N155" i="3" s="1"/>
  <c r="T156" i="3" l="1"/>
  <c r="W155" i="3"/>
  <c r="L155" i="3"/>
  <c r="AG156" i="3" l="1"/>
  <c r="U155" i="3"/>
  <c r="D156" i="3" s="1"/>
  <c r="AH156" i="3"/>
  <c r="Y154" i="3"/>
  <c r="E156" i="3" l="1"/>
  <c r="H156" i="3" s="1"/>
  <c r="K156" i="3" s="1"/>
  <c r="A157" i="3" s="1"/>
  <c r="B157" i="3" s="1"/>
  <c r="G156" i="3"/>
  <c r="P157" i="3" l="1"/>
  <c r="Q157" i="3" s="1"/>
  <c r="R157" i="3" s="1"/>
  <c r="S157" i="3" s="1"/>
  <c r="Z157" i="3"/>
  <c r="AA157" i="3"/>
  <c r="AC157" i="3"/>
  <c r="F156" i="3"/>
  <c r="V156" i="3"/>
  <c r="AE156" i="3"/>
  <c r="I156" i="3"/>
  <c r="J156" i="3"/>
  <c r="AD156" i="3" s="1"/>
  <c r="M156" i="3"/>
  <c r="N156" i="3" s="1"/>
  <c r="T157" i="3" l="1"/>
  <c r="W156" i="3"/>
  <c r="L156" i="3"/>
  <c r="U156" i="3" l="1"/>
  <c r="E157" i="3" s="1"/>
  <c r="H157" i="3" s="1"/>
  <c r="AH157" i="3"/>
  <c r="AG157" i="3"/>
  <c r="Y155" i="3"/>
  <c r="D157" i="3" l="1"/>
  <c r="G157" i="3" s="1"/>
  <c r="K157" i="3"/>
  <c r="A158" i="3" s="1"/>
  <c r="B158" i="3" s="1"/>
  <c r="AA158" i="3" l="1"/>
  <c r="AC158" i="3"/>
  <c r="Z158" i="3"/>
  <c r="P158" i="3"/>
  <c r="Q158" i="3" s="1"/>
  <c r="R158" i="3" s="1"/>
  <c r="S158" i="3" s="1"/>
  <c r="F157" i="3"/>
  <c r="I157" i="3"/>
  <c r="J157" i="3"/>
  <c r="AD157" i="3" s="1"/>
  <c r="M157" i="3"/>
  <c r="N157" i="3" s="1"/>
  <c r="V157" i="3"/>
  <c r="AE157" i="3"/>
  <c r="T158" i="3" l="1"/>
  <c r="W157" i="3"/>
  <c r="L157" i="3"/>
  <c r="U157" i="3" l="1"/>
  <c r="E158" i="3" s="1"/>
  <c r="H158" i="3" s="1"/>
  <c r="AH158" i="3"/>
  <c r="AG158" i="3"/>
  <c r="Y156" i="3"/>
  <c r="D158" i="3" l="1"/>
  <c r="F158" i="3" s="1"/>
  <c r="K158" i="3"/>
  <c r="A159" i="3" s="1"/>
  <c r="B159" i="3" s="1"/>
  <c r="AC159" i="3" l="1"/>
  <c r="Z159" i="3"/>
  <c r="AA159" i="3"/>
  <c r="P159" i="3"/>
  <c r="Q159" i="3" s="1"/>
  <c r="R159" i="3" s="1"/>
  <c r="S159" i="3" s="1"/>
  <c r="G158" i="3"/>
  <c r="I158" i="3" s="1"/>
  <c r="V158" i="3"/>
  <c r="AE158" i="3"/>
  <c r="T159" i="3" l="1"/>
  <c r="M158" i="3"/>
  <c r="N158" i="3" s="1"/>
  <c r="J158" i="3"/>
  <c r="W158" i="3"/>
  <c r="L158" i="3" l="1"/>
  <c r="U158" i="3" s="1"/>
  <c r="E159" i="3" s="1"/>
  <c r="H159" i="3" s="1"/>
  <c r="AD158" i="3"/>
  <c r="Y157" i="3" l="1"/>
  <c r="AH159" i="3"/>
  <c r="AG159" i="3"/>
  <c r="D159" i="3"/>
  <c r="F159" i="3" s="1"/>
  <c r="K159" i="3"/>
  <c r="A160" i="3" s="1"/>
  <c r="B160" i="3" s="1"/>
  <c r="AA160" i="3" l="1"/>
  <c r="P160" i="3"/>
  <c r="Q160" i="3" s="1"/>
  <c r="R160" i="3" s="1"/>
  <c r="S160" i="3" s="1"/>
  <c r="Z160" i="3"/>
  <c r="AC160" i="3"/>
  <c r="G159" i="3"/>
  <c r="M159" i="3" s="1"/>
  <c r="N159" i="3" s="1"/>
  <c r="V159" i="3"/>
  <c r="AE159" i="3"/>
  <c r="T160" i="3" l="1"/>
  <c r="I159" i="3"/>
  <c r="W159" i="3" s="1"/>
  <c r="J159" i="3"/>
  <c r="L159" i="3" l="1"/>
  <c r="AH160" i="3" s="1"/>
  <c r="AD159" i="3"/>
  <c r="Y158" i="3" l="1"/>
  <c r="AG160" i="3"/>
  <c r="U159" i="3"/>
  <c r="E160" i="3" s="1"/>
  <c r="H160" i="3" s="1"/>
  <c r="K160" i="3" s="1"/>
  <c r="A161" i="3" s="1"/>
  <c r="B161" i="3" s="1"/>
  <c r="D160" i="3" l="1"/>
  <c r="G160" i="3" s="1"/>
  <c r="I160" i="3" s="1"/>
  <c r="Z161" i="3"/>
  <c r="AA161" i="3"/>
  <c r="P161" i="3"/>
  <c r="Q161" i="3" s="1"/>
  <c r="R161" i="3" s="1"/>
  <c r="S161" i="3" s="1"/>
  <c r="AC161" i="3"/>
  <c r="V160" i="3"/>
  <c r="AE160" i="3"/>
  <c r="M160" i="3" l="1"/>
  <c r="N160" i="3" s="1"/>
  <c r="F160" i="3"/>
  <c r="J160" i="3"/>
  <c r="AD160" i="3" s="1"/>
  <c r="T161" i="3"/>
  <c r="W160" i="3"/>
  <c r="L160" i="3" l="1"/>
  <c r="AG161" i="3" s="1"/>
  <c r="Y159" i="3" l="1"/>
  <c r="U160" i="3"/>
  <c r="E161" i="3" s="1"/>
  <c r="H161" i="3" s="1"/>
  <c r="K161" i="3" s="1"/>
  <c r="A162" i="3" s="1"/>
  <c r="B162" i="3" s="1"/>
  <c r="AH161" i="3"/>
  <c r="D161" i="3" l="1"/>
  <c r="G161" i="3" s="1"/>
  <c r="I161" i="3" s="1"/>
  <c r="Z162" i="3"/>
  <c r="P162" i="3"/>
  <c r="Q162" i="3" s="1"/>
  <c r="R162" i="3" s="1"/>
  <c r="S162" i="3" s="1"/>
  <c r="AC162" i="3"/>
  <c r="AA162" i="3"/>
  <c r="V161" i="3"/>
  <c r="AE161" i="3"/>
  <c r="M161" i="3" l="1"/>
  <c r="N161" i="3" s="1"/>
  <c r="J161" i="3"/>
  <c r="AD161" i="3" s="1"/>
  <c r="F161" i="3"/>
  <c r="T162" i="3"/>
  <c r="W161" i="3"/>
  <c r="L161" i="3" l="1"/>
  <c r="U161" i="3" s="1"/>
  <c r="D162" i="3" s="1"/>
  <c r="Y160" i="3" l="1"/>
  <c r="AH162" i="3"/>
  <c r="AG162" i="3"/>
  <c r="G162" i="3"/>
  <c r="E162" i="3"/>
  <c r="H162" i="3" s="1"/>
  <c r="F162" i="3" l="1"/>
  <c r="I162" i="3"/>
  <c r="J162" i="3"/>
  <c r="AD162" i="3" s="1"/>
  <c r="M162" i="3"/>
  <c r="N162" i="3" s="1"/>
  <c r="K162" i="3"/>
  <c r="A163" i="3" s="1"/>
  <c r="B163" i="3" s="1"/>
  <c r="AC163" i="3" l="1"/>
  <c r="Z163" i="3"/>
  <c r="P163" i="3"/>
  <c r="Q163" i="3" s="1"/>
  <c r="R163" i="3" s="1"/>
  <c r="S163" i="3" s="1"/>
  <c r="AA163" i="3"/>
  <c r="V162" i="3"/>
  <c r="W162" i="3" s="1"/>
  <c r="AE162" i="3"/>
  <c r="L162" i="3"/>
  <c r="T163" i="3" l="1"/>
  <c r="AH163" i="3" s="1"/>
  <c r="U162" i="3"/>
  <c r="Y161" i="3"/>
  <c r="AG163" i="3" l="1"/>
  <c r="D163" i="3"/>
  <c r="G163" i="3" s="1"/>
  <c r="E163" i="3"/>
  <c r="H163" i="3" s="1"/>
  <c r="K163" i="3" s="1"/>
  <c r="A164" i="3" s="1"/>
  <c r="B164" i="3" s="1"/>
  <c r="AA164" i="3" l="1"/>
  <c r="Z164" i="3"/>
  <c r="AC164" i="3"/>
  <c r="P164" i="3"/>
  <c r="Q164" i="3" s="1"/>
  <c r="R164" i="3" s="1"/>
  <c r="S164" i="3" s="1"/>
  <c r="F163" i="3"/>
  <c r="V163" i="3"/>
  <c r="AE163" i="3"/>
  <c r="I163" i="3"/>
  <c r="J163" i="3"/>
  <c r="AD163" i="3" s="1"/>
  <c r="M163" i="3"/>
  <c r="N163" i="3" s="1"/>
  <c r="T164" i="3" l="1"/>
  <c r="W163" i="3"/>
  <c r="L163" i="3"/>
  <c r="AH164" i="3" l="1"/>
  <c r="U163" i="3"/>
  <c r="D164" i="3" s="1"/>
  <c r="AG164" i="3"/>
  <c r="Y162" i="3"/>
  <c r="E164" i="3" l="1"/>
  <c r="H164" i="3" s="1"/>
  <c r="K164" i="3" s="1"/>
  <c r="A165" i="3" s="1"/>
  <c r="B165" i="3" s="1"/>
  <c r="G164" i="3"/>
  <c r="AA165" i="3" l="1"/>
  <c r="AC165" i="3"/>
  <c r="Z165" i="3"/>
  <c r="P165" i="3"/>
  <c r="Q165" i="3" s="1"/>
  <c r="R165" i="3" s="1"/>
  <c r="S165" i="3" s="1"/>
  <c r="AD165" i="3"/>
  <c r="F164" i="3"/>
  <c r="I164" i="3"/>
  <c r="J164" i="3"/>
  <c r="AD164" i="3" s="1"/>
  <c r="M164" i="3"/>
  <c r="N164" i="3" s="1"/>
  <c r="V164" i="3"/>
  <c r="AE164" i="3"/>
  <c r="T165" i="3" l="1"/>
  <c r="W164" i="3"/>
  <c r="L164" i="3"/>
  <c r="U164" i="3" l="1"/>
  <c r="D165" i="3" s="1"/>
  <c r="AG165" i="3"/>
  <c r="AH165" i="3"/>
  <c r="Y163" i="3"/>
  <c r="E165" i="3" l="1"/>
  <c r="H165" i="3" s="1"/>
  <c r="K165" i="3" s="1"/>
  <c r="A166" i="3" s="1"/>
  <c r="B166" i="3" s="1"/>
  <c r="G165" i="3"/>
  <c r="AA166" i="3" l="1"/>
  <c r="P166" i="3"/>
  <c r="Q166" i="3" s="1"/>
  <c r="R166" i="3" s="1"/>
  <c r="S166" i="3" s="1"/>
  <c r="AD166" i="3"/>
  <c r="Z166" i="3"/>
  <c r="AC166" i="3"/>
  <c r="F165" i="3"/>
  <c r="V165" i="3"/>
  <c r="AE165" i="3"/>
  <c r="I165" i="3"/>
  <c r="J165" i="3"/>
  <c r="M165" i="3"/>
  <c r="N165" i="3" s="1"/>
  <c r="T166" i="3" l="1"/>
  <c r="L165" i="3"/>
  <c r="W165" i="3"/>
  <c r="AH166" i="3" l="1"/>
  <c r="U165" i="3"/>
  <c r="E166" i="3" s="1"/>
  <c r="H166" i="3" s="1"/>
  <c r="AG166" i="3"/>
  <c r="Y164" i="3"/>
  <c r="D166" i="3" l="1"/>
  <c r="G166" i="3" s="1"/>
  <c r="K166" i="3"/>
  <c r="A167" i="3" s="1"/>
  <c r="B167" i="3" s="1"/>
  <c r="P167" i="3" l="1"/>
  <c r="Q167" i="3" s="1"/>
  <c r="R167" i="3" s="1"/>
  <c r="S167" i="3" s="1"/>
  <c r="AA167" i="3"/>
  <c r="Z167" i="3"/>
  <c r="AD167" i="3"/>
  <c r="AC167" i="3"/>
  <c r="F166" i="3"/>
  <c r="I166" i="3"/>
  <c r="J166" i="3"/>
  <c r="M166" i="3"/>
  <c r="N166" i="3" s="1"/>
  <c r="V166" i="3"/>
  <c r="AE166" i="3"/>
  <c r="T167" i="3" l="1"/>
  <c r="W166" i="3"/>
  <c r="L166" i="3"/>
  <c r="AH167" i="3" l="1"/>
  <c r="AG167" i="3"/>
  <c r="U166" i="3"/>
  <c r="E167" i="3" s="1"/>
  <c r="H167" i="3" s="1"/>
  <c r="Y165" i="3"/>
  <c r="K167" i="3" l="1"/>
  <c r="A168" i="3" s="1"/>
  <c r="B168" i="3" s="1"/>
  <c r="D167" i="3"/>
  <c r="Z168" i="3" l="1"/>
  <c r="AD168" i="3"/>
  <c r="AC168" i="3"/>
  <c r="AA168" i="3"/>
  <c r="P168" i="3"/>
  <c r="Q168" i="3" s="1"/>
  <c r="R168" i="3" s="1"/>
  <c r="S168" i="3" s="1"/>
  <c r="V167" i="3"/>
  <c r="AE167" i="3"/>
  <c r="F167" i="3"/>
  <c r="G167" i="3"/>
  <c r="T168" i="3" l="1"/>
  <c r="I167" i="3"/>
  <c r="W167" i="3" s="1"/>
  <c r="J167" i="3"/>
  <c r="M167" i="3"/>
  <c r="N167" i="3" s="1"/>
  <c r="L167" i="3" l="1"/>
  <c r="AH168" i="3" l="1"/>
  <c r="U167" i="3"/>
  <c r="E168" i="3" s="1"/>
  <c r="H168" i="3" s="1"/>
  <c r="AG168" i="3"/>
  <c r="Y166" i="3"/>
  <c r="D168" i="3" l="1"/>
  <c r="F168" i="3" s="1"/>
  <c r="K168" i="3"/>
  <c r="A169" i="3" s="1"/>
  <c r="B169" i="3" s="1"/>
  <c r="AD169" i="3" l="1"/>
  <c r="Z169" i="3"/>
  <c r="AA169" i="3"/>
  <c r="AC169" i="3"/>
  <c r="P169" i="3"/>
  <c r="Q169" i="3" s="1"/>
  <c r="R169" i="3" s="1"/>
  <c r="S169" i="3" s="1"/>
  <c r="G168" i="3"/>
  <c r="I168" i="3" s="1"/>
  <c r="V168" i="3"/>
  <c r="AE168" i="3"/>
  <c r="T169" i="3" l="1"/>
  <c r="M168" i="3"/>
  <c r="N168" i="3" s="1"/>
  <c r="J168" i="3"/>
  <c r="L168" i="3" s="1"/>
  <c r="W168" i="3"/>
  <c r="U168" i="3" l="1"/>
  <c r="E169" i="3" s="1"/>
  <c r="H169" i="3" s="1"/>
  <c r="AH169" i="3"/>
  <c r="AG169" i="3"/>
  <c r="Y167" i="3"/>
  <c r="D169" i="3" l="1"/>
  <c r="F169" i="3" s="1"/>
  <c r="K169" i="3"/>
  <c r="A170" i="3" s="1"/>
  <c r="B170" i="3" s="1"/>
  <c r="AA170" i="3" l="1"/>
  <c r="AC170" i="3"/>
  <c r="P170" i="3"/>
  <c r="Q170" i="3" s="1"/>
  <c r="R170" i="3" s="1"/>
  <c r="S170" i="3" s="1"/>
  <c r="AD170" i="3"/>
  <c r="Z170" i="3"/>
  <c r="G169" i="3"/>
  <c r="I169" i="3" s="1"/>
  <c r="V169" i="3"/>
  <c r="AE169" i="3"/>
  <c r="T170" i="3" l="1"/>
  <c r="M169" i="3"/>
  <c r="N169" i="3" s="1"/>
  <c r="J169" i="3"/>
  <c r="L169" i="3" s="1"/>
  <c r="W169" i="3"/>
  <c r="AH170" i="3" l="1"/>
  <c r="U169" i="3"/>
  <c r="E170" i="3" s="1"/>
  <c r="H170" i="3" s="1"/>
  <c r="AG170" i="3"/>
  <c r="Y168" i="3"/>
  <c r="D170" i="3" l="1"/>
  <c r="G170" i="3" s="1"/>
  <c r="K170" i="3"/>
  <c r="A171" i="3" s="1"/>
  <c r="B171" i="3" s="1"/>
  <c r="AD171" i="3" l="1"/>
  <c r="Z171" i="3"/>
  <c r="AA171" i="3"/>
  <c r="AC171" i="3"/>
  <c r="P171" i="3"/>
  <c r="Q171" i="3" s="1"/>
  <c r="R171" i="3" s="1"/>
  <c r="S171" i="3" s="1"/>
  <c r="F170" i="3"/>
  <c r="I170" i="3"/>
  <c r="J170" i="3"/>
  <c r="M170" i="3"/>
  <c r="N170" i="3" s="1"/>
  <c r="V170" i="3"/>
  <c r="AE170" i="3"/>
  <c r="T171" i="3" l="1"/>
  <c r="W170" i="3"/>
  <c r="L170" i="3"/>
  <c r="AG171" i="3" l="1"/>
  <c r="U170" i="3"/>
  <c r="E171" i="3" s="1"/>
  <c r="H171" i="3" s="1"/>
  <c r="AH171" i="3"/>
  <c r="Y169" i="3"/>
  <c r="K171" i="3" l="1"/>
  <c r="A172" i="3" s="1"/>
  <c r="B172" i="3" s="1"/>
  <c r="D171" i="3"/>
  <c r="P172" i="3" l="1"/>
  <c r="Q172" i="3" s="1"/>
  <c r="R172" i="3" s="1"/>
  <c r="S172" i="3" s="1"/>
  <c r="AC172" i="3"/>
  <c r="AD172" i="3"/>
  <c r="AA172" i="3"/>
  <c r="Z172" i="3"/>
  <c r="F171" i="3"/>
  <c r="G171" i="3"/>
  <c r="V171" i="3"/>
  <c r="AE171" i="3"/>
  <c r="T172" i="3" l="1"/>
  <c r="I171" i="3"/>
  <c r="W171" i="3" s="1"/>
  <c r="J171" i="3"/>
  <c r="M171" i="3"/>
  <c r="N171" i="3" s="1"/>
  <c r="L171" i="3" l="1"/>
  <c r="U171" i="3" l="1"/>
  <c r="E172" i="3" s="1"/>
  <c r="H172" i="3" s="1"/>
  <c r="AH172" i="3"/>
  <c r="AG172" i="3"/>
  <c r="Y170" i="3"/>
  <c r="K172" i="3" l="1"/>
  <c r="A173" i="3" s="1"/>
  <c r="B173" i="3" s="1"/>
  <c r="D172" i="3"/>
  <c r="P173" i="3" l="1"/>
  <c r="Q173" i="3" s="1"/>
  <c r="R173" i="3" s="1"/>
  <c r="S173" i="3" s="1"/>
  <c r="AD173" i="3"/>
  <c r="AC173" i="3"/>
  <c r="Z173" i="3"/>
  <c r="AA173" i="3"/>
  <c r="V172" i="3"/>
  <c r="AE172" i="3"/>
  <c r="F172" i="3"/>
  <c r="G172" i="3"/>
  <c r="T173" i="3" l="1"/>
  <c r="I172" i="3"/>
  <c r="W172" i="3" s="1"/>
  <c r="J172" i="3"/>
  <c r="M172" i="3"/>
  <c r="N172" i="3" s="1"/>
  <c r="L172" i="3" l="1"/>
  <c r="U172" i="3" l="1"/>
  <c r="E173" i="3" s="1"/>
  <c r="H173" i="3" s="1"/>
  <c r="AH173" i="3"/>
  <c r="AG173" i="3"/>
  <c r="Y171" i="3"/>
  <c r="D173" i="3" l="1"/>
  <c r="G173" i="3" s="1"/>
  <c r="K173" i="3"/>
  <c r="A174" i="3" s="1"/>
  <c r="B174" i="3" s="1"/>
  <c r="P174" i="3" l="1"/>
  <c r="Q174" i="3" s="1"/>
  <c r="R174" i="3" s="1"/>
  <c r="S174" i="3" s="1"/>
  <c r="AA174" i="3"/>
  <c r="AC174" i="3"/>
  <c r="Z174" i="3"/>
  <c r="F173" i="3"/>
  <c r="I173" i="3"/>
  <c r="J173" i="3"/>
  <c r="M173" i="3"/>
  <c r="N173" i="3" s="1"/>
  <c r="V173" i="3"/>
  <c r="AE173" i="3"/>
  <c r="T174" i="3" l="1"/>
  <c r="L173" i="3"/>
  <c r="W173" i="3"/>
  <c r="U173" i="3" l="1"/>
  <c r="E174" i="3" s="1"/>
  <c r="H174" i="3" s="1"/>
  <c r="AG174" i="3"/>
  <c r="AH174" i="3"/>
  <c r="Y172" i="3"/>
  <c r="D174" i="3" l="1"/>
  <c r="G174" i="3" s="1"/>
  <c r="K174" i="3"/>
  <c r="A175" i="3" s="1"/>
  <c r="B175" i="3" s="1"/>
  <c r="AC175" i="3" l="1"/>
  <c r="AA175" i="3"/>
  <c r="Z175" i="3"/>
  <c r="P175" i="3"/>
  <c r="Q175" i="3" s="1"/>
  <c r="R175" i="3" s="1"/>
  <c r="S175" i="3" s="1"/>
  <c r="AD175" i="3"/>
  <c r="F174" i="3"/>
  <c r="V174" i="3"/>
  <c r="AE174" i="3"/>
  <c r="I174" i="3"/>
  <c r="J174" i="3"/>
  <c r="AD174" i="3" s="1"/>
  <c r="M174" i="3"/>
  <c r="N174" i="3" s="1"/>
  <c r="T175" i="3" l="1"/>
  <c r="W174" i="3"/>
  <c r="L174" i="3"/>
  <c r="U174" i="3" l="1"/>
  <c r="D175" i="3" s="1"/>
  <c r="AG175" i="3"/>
  <c r="AH175" i="3"/>
  <c r="Y173" i="3"/>
  <c r="E175" i="3" l="1"/>
  <c r="H175" i="3" s="1"/>
  <c r="K175" i="3" s="1"/>
  <c r="A176" i="3" s="1"/>
  <c r="B176" i="3" s="1"/>
  <c r="G175" i="3"/>
  <c r="P176" i="3" l="1"/>
  <c r="Q176" i="3" s="1"/>
  <c r="R176" i="3" s="1"/>
  <c r="S176" i="3" s="1"/>
  <c r="Z176" i="3"/>
  <c r="AA176" i="3"/>
  <c r="AC176" i="3"/>
  <c r="AD176" i="3"/>
  <c r="F175" i="3"/>
  <c r="I175" i="3"/>
  <c r="J175" i="3"/>
  <c r="M175" i="3"/>
  <c r="N175" i="3" s="1"/>
  <c r="V175" i="3"/>
  <c r="AE175" i="3"/>
  <c r="T176" i="3" l="1"/>
  <c r="W175" i="3"/>
  <c r="L175" i="3"/>
  <c r="U175" i="3" l="1"/>
  <c r="E176" i="3" s="1"/>
  <c r="H176" i="3" s="1"/>
  <c r="AG176" i="3"/>
  <c r="AH176" i="3"/>
  <c r="Y174" i="3"/>
  <c r="D176" i="3" l="1"/>
  <c r="G176" i="3" s="1"/>
  <c r="K176" i="3"/>
  <c r="A177" i="3" s="1"/>
  <c r="B177" i="3" s="1"/>
  <c r="Z177" i="3" l="1"/>
  <c r="AC177" i="3"/>
  <c r="AD177" i="3"/>
  <c r="P177" i="3"/>
  <c r="Q177" i="3" s="1"/>
  <c r="R177" i="3" s="1"/>
  <c r="S177" i="3" s="1"/>
  <c r="AA177" i="3"/>
  <c r="F176" i="3"/>
  <c r="I176" i="3"/>
  <c r="J176" i="3"/>
  <c r="M176" i="3"/>
  <c r="N176" i="3" s="1"/>
  <c r="V176" i="3"/>
  <c r="AE176" i="3"/>
  <c r="T177" i="3" l="1"/>
  <c r="W176" i="3"/>
  <c r="L176" i="3"/>
  <c r="AH177" i="3" l="1"/>
  <c r="U176" i="3"/>
  <c r="D177" i="3" s="1"/>
  <c r="AG177" i="3"/>
  <c r="Y175" i="3"/>
  <c r="G177" i="3" l="1"/>
  <c r="E177" i="3"/>
  <c r="H177" i="3" s="1"/>
  <c r="F177" i="3" l="1"/>
  <c r="I177" i="3"/>
  <c r="J177" i="3"/>
  <c r="M177" i="3"/>
  <c r="N177" i="3" s="1"/>
  <c r="K177" i="3"/>
  <c r="A178" i="3" s="1"/>
  <c r="B178" i="3" s="1"/>
  <c r="AA178" i="3" l="1"/>
  <c r="Z178" i="3"/>
  <c r="AC178" i="3"/>
  <c r="P178" i="3"/>
  <c r="Q178" i="3" s="1"/>
  <c r="R178" i="3" s="1"/>
  <c r="S178" i="3" s="1"/>
  <c r="AD178" i="3"/>
  <c r="V177" i="3"/>
  <c r="W177" i="3" s="1"/>
  <c r="AE177" i="3"/>
  <c r="L177" i="3"/>
  <c r="T178" i="3" l="1"/>
  <c r="AH178" i="3" s="1"/>
  <c r="U177" i="3"/>
  <c r="Y176" i="3"/>
  <c r="E178" i="3" l="1"/>
  <c r="H178" i="3" s="1"/>
  <c r="K178" i="3" s="1"/>
  <c r="A179" i="3" s="1"/>
  <c r="B179" i="3" s="1"/>
  <c r="AG178" i="3"/>
  <c r="D178" i="3"/>
  <c r="G178" i="3" s="1"/>
  <c r="Z179" i="3" l="1"/>
  <c r="AD179" i="3"/>
  <c r="AC179" i="3"/>
  <c r="AA179" i="3"/>
  <c r="P179" i="3"/>
  <c r="Q179" i="3" s="1"/>
  <c r="R179" i="3" s="1"/>
  <c r="S179" i="3" s="1"/>
  <c r="F178" i="3"/>
  <c r="I178" i="3"/>
  <c r="J178" i="3"/>
  <c r="M178" i="3"/>
  <c r="N178" i="3" s="1"/>
  <c r="V178" i="3"/>
  <c r="AE178" i="3"/>
  <c r="T179" i="3" l="1"/>
  <c r="W178" i="3"/>
  <c r="L178" i="3"/>
  <c r="U178" i="3" l="1"/>
  <c r="E179" i="3" s="1"/>
  <c r="H179" i="3" s="1"/>
  <c r="AG179" i="3"/>
  <c r="AH179" i="3"/>
  <c r="Y177" i="3"/>
  <c r="D179" i="3" l="1"/>
  <c r="G179" i="3" s="1"/>
  <c r="K179" i="3"/>
  <c r="A180" i="3" s="1"/>
  <c r="B180" i="3" s="1"/>
  <c r="AC180" i="3" l="1"/>
  <c r="AA180" i="3"/>
  <c r="AD180" i="3"/>
  <c r="P180" i="3"/>
  <c r="Q180" i="3" s="1"/>
  <c r="R180" i="3" s="1"/>
  <c r="S180" i="3" s="1"/>
  <c r="Z180" i="3"/>
  <c r="F179" i="3"/>
  <c r="V179" i="3"/>
  <c r="AE179" i="3"/>
  <c r="I179" i="3"/>
  <c r="J179" i="3"/>
  <c r="M179" i="3"/>
  <c r="N179" i="3" s="1"/>
  <c r="T180" i="3" l="1"/>
  <c r="W179" i="3"/>
  <c r="L179" i="3"/>
  <c r="AG180" i="3" l="1"/>
  <c r="U179" i="3"/>
  <c r="D180" i="3" s="1"/>
  <c r="AH180" i="3"/>
  <c r="Y178" i="3"/>
  <c r="E180" i="3" l="1"/>
  <c r="H180" i="3" s="1"/>
  <c r="K180" i="3" s="1"/>
  <c r="A181" i="3" s="1"/>
  <c r="B181" i="3" s="1"/>
  <c r="G180" i="3"/>
  <c r="AA181" i="3" l="1"/>
  <c r="AC181" i="3"/>
  <c r="P181" i="3"/>
  <c r="Q181" i="3" s="1"/>
  <c r="R181" i="3" s="1"/>
  <c r="S181" i="3" s="1"/>
  <c r="AD181" i="3"/>
  <c r="Z181" i="3"/>
  <c r="F180" i="3"/>
  <c r="I180" i="3"/>
  <c r="J180" i="3"/>
  <c r="M180" i="3"/>
  <c r="N180" i="3" s="1"/>
  <c r="V180" i="3"/>
  <c r="AE180" i="3"/>
  <c r="T181" i="3" l="1"/>
  <c r="L180" i="3"/>
  <c r="W180" i="3"/>
  <c r="U180" i="3" l="1"/>
  <c r="E181" i="3" s="1"/>
  <c r="H181" i="3" s="1"/>
  <c r="AH181" i="3"/>
  <c r="AG181" i="3"/>
  <c r="Y179" i="3"/>
  <c r="D181" i="3" l="1"/>
  <c r="G181" i="3" s="1"/>
  <c r="K181" i="3"/>
  <c r="A182" i="3" s="1"/>
  <c r="B182" i="3" s="1"/>
  <c r="AA182" i="3" l="1"/>
  <c r="P182" i="3"/>
  <c r="Q182" i="3" s="1"/>
  <c r="R182" i="3" s="1"/>
  <c r="S182" i="3" s="1"/>
  <c r="Z182" i="3"/>
  <c r="AC182" i="3"/>
  <c r="AD182" i="3"/>
  <c r="F181" i="3"/>
  <c r="I181" i="3"/>
  <c r="J181" i="3"/>
  <c r="M181" i="3"/>
  <c r="N181" i="3" s="1"/>
  <c r="V181" i="3"/>
  <c r="AE181" i="3"/>
  <c r="T182" i="3" l="1"/>
  <c r="W181" i="3"/>
  <c r="L181" i="3"/>
  <c r="AH182" i="3" l="1"/>
  <c r="U181" i="3"/>
  <c r="E182" i="3" s="1"/>
  <c r="H182" i="3" s="1"/>
  <c r="AG182" i="3"/>
  <c r="Y180" i="3"/>
  <c r="K182" i="3" l="1"/>
  <c r="A183" i="3" s="1"/>
  <c r="B183" i="3" s="1"/>
  <c r="D182" i="3"/>
  <c r="AA183" i="3" l="1"/>
  <c r="AD183" i="3"/>
  <c r="P183" i="3"/>
  <c r="Q183" i="3" s="1"/>
  <c r="R183" i="3" s="1"/>
  <c r="S183" i="3" s="1"/>
  <c r="AC183" i="3"/>
  <c r="Z183" i="3"/>
  <c r="V182" i="3"/>
  <c r="AE182" i="3"/>
  <c r="F182" i="3"/>
  <c r="G182" i="3"/>
  <c r="T183" i="3" l="1"/>
  <c r="I182" i="3"/>
  <c r="W182" i="3" s="1"/>
  <c r="J182" i="3"/>
  <c r="M182" i="3"/>
  <c r="N182" i="3" s="1"/>
  <c r="L182" i="3" l="1"/>
  <c r="U182" i="3" l="1"/>
  <c r="E183" i="3" s="1"/>
  <c r="H183" i="3" s="1"/>
  <c r="AH183" i="3"/>
  <c r="AG183" i="3"/>
  <c r="Y181" i="3"/>
  <c r="D183" i="3" l="1"/>
  <c r="G183" i="3" s="1"/>
  <c r="K183" i="3"/>
  <c r="A184" i="3" s="1"/>
  <c r="B184" i="3" s="1"/>
  <c r="Z184" i="3" l="1"/>
  <c r="P184" i="3"/>
  <c r="Q184" i="3" s="1"/>
  <c r="R184" i="3" s="1"/>
  <c r="S184" i="3" s="1"/>
  <c r="AC184" i="3"/>
  <c r="AA184" i="3"/>
  <c r="F183" i="3"/>
  <c r="I183" i="3"/>
  <c r="J183" i="3"/>
  <c r="M183" i="3"/>
  <c r="N183" i="3" s="1"/>
  <c r="V183" i="3"/>
  <c r="AE183" i="3"/>
  <c r="T184" i="3" l="1"/>
  <c r="W183" i="3"/>
  <c r="L183" i="3"/>
  <c r="U183" i="3" l="1"/>
  <c r="D184" i="3" s="1"/>
  <c r="AG184" i="3"/>
  <c r="AH184" i="3"/>
  <c r="Y182" i="3"/>
  <c r="G184" i="3" l="1"/>
  <c r="E184" i="3"/>
  <c r="H184" i="3" s="1"/>
  <c r="K184" i="3" l="1"/>
  <c r="A185" i="3" s="1"/>
  <c r="B185" i="3" s="1"/>
  <c r="I184" i="3"/>
  <c r="J184" i="3"/>
  <c r="AD184" i="3" s="1"/>
  <c r="M184" i="3"/>
  <c r="N184" i="3" s="1"/>
  <c r="F184" i="3"/>
  <c r="AD185" i="3" l="1"/>
  <c r="AC185" i="3"/>
  <c r="AA185" i="3"/>
  <c r="P185" i="3"/>
  <c r="Q185" i="3" s="1"/>
  <c r="R185" i="3" s="1"/>
  <c r="S185" i="3" s="1"/>
  <c r="Z185" i="3"/>
  <c r="V184" i="3"/>
  <c r="W184" i="3" s="1"/>
  <c r="AE184" i="3"/>
  <c r="L184" i="3"/>
  <c r="T185" i="3" l="1"/>
  <c r="AH185" i="3" s="1"/>
  <c r="U184" i="3"/>
  <c r="Y183" i="3"/>
  <c r="D185" i="3" l="1"/>
  <c r="G185" i="3" s="1"/>
  <c r="AG185" i="3"/>
  <c r="E185" i="3"/>
  <c r="H185" i="3" s="1"/>
  <c r="K185" i="3" s="1"/>
  <c r="A186" i="3" s="1"/>
  <c r="B186" i="3" s="1"/>
  <c r="Z186" i="3" l="1"/>
  <c r="P186" i="3"/>
  <c r="Q186" i="3" s="1"/>
  <c r="R186" i="3" s="1"/>
  <c r="S186" i="3" s="1"/>
  <c r="AA186" i="3"/>
  <c r="AC186" i="3"/>
  <c r="AD186" i="3"/>
  <c r="F185" i="3"/>
  <c r="I185" i="3"/>
  <c r="J185" i="3"/>
  <c r="M185" i="3"/>
  <c r="N185" i="3" s="1"/>
  <c r="V185" i="3"/>
  <c r="AE185" i="3"/>
  <c r="T186" i="3" l="1"/>
  <c r="W185" i="3"/>
  <c r="L185" i="3"/>
  <c r="U185" i="3" l="1"/>
  <c r="E186" i="3" s="1"/>
  <c r="H186" i="3" s="1"/>
  <c r="AH186" i="3"/>
  <c r="AG186" i="3"/>
  <c r="Y184" i="3"/>
  <c r="D186" i="3" l="1"/>
  <c r="G186" i="3" s="1"/>
  <c r="K186" i="3"/>
  <c r="A187" i="3" s="1"/>
  <c r="B187" i="3" s="1"/>
  <c r="AD187" i="3" l="1"/>
  <c r="AA187" i="3"/>
  <c r="AC187" i="3"/>
  <c r="P187" i="3"/>
  <c r="Q187" i="3" s="1"/>
  <c r="R187" i="3" s="1"/>
  <c r="S187" i="3" s="1"/>
  <c r="Z187" i="3"/>
  <c r="F186" i="3"/>
  <c r="V186" i="3"/>
  <c r="AE186" i="3"/>
  <c r="I186" i="3"/>
  <c r="J186" i="3"/>
  <c r="M186" i="3"/>
  <c r="N186" i="3" s="1"/>
  <c r="T187" i="3" l="1"/>
  <c r="L186" i="3"/>
  <c r="W186" i="3"/>
  <c r="AG187" i="3" l="1"/>
  <c r="AH187" i="3"/>
  <c r="U186" i="3"/>
  <c r="D187" i="3" s="1"/>
  <c r="Y185" i="3"/>
  <c r="G187" i="3" l="1"/>
  <c r="E187" i="3"/>
  <c r="H187" i="3" s="1"/>
  <c r="I187" i="3" l="1"/>
  <c r="J187" i="3"/>
  <c r="M187" i="3"/>
  <c r="N187" i="3" s="1"/>
  <c r="F187" i="3"/>
  <c r="K187" i="3"/>
  <c r="A188" i="3" s="1"/>
  <c r="B188" i="3" s="1"/>
  <c r="Z188" i="3" l="1"/>
  <c r="P188" i="3"/>
  <c r="Q188" i="3" s="1"/>
  <c r="R188" i="3" s="1"/>
  <c r="S188" i="3" s="1"/>
  <c r="AC188" i="3"/>
  <c r="AA188" i="3"/>
  <c r="AD188" i="3"/>
  <c r="L187" i="3"/>
  <c r="V187" i="3"/>
  <c r="W187" i="3" s="1"/>
  <c r="AE187" i="3"/>
  <c r="T188" i="3" l="1"/>
  <c r="AG188" i="3" s="1"/>
  <c r="U187" i="3"/>
  <c r="Y186" i="3"/>
  <c r="AH188" i="3" l="1"/>
  <c r="E188" i="3"/>
  <c r="H188" i="3" s="1"/>
  <c r="K188" i="3" s="1"/>
  <c r="A189" i="3" s="1"/>
  <c r="B189" i="3" s="1"/>
  <c r="D188" i="3"/>
  <c r="G188" i="3" s="1"/>
  <c r="Z189" i="3" l="1"/>
  <c r="AC189" i="3"/>
  <c r="AD189" i="3"/>
  <c r="P189" i="3"/>
  <c r="Q189" i="3" s="1"/>
  <c r="R189" i="3" s="1"/>
  <c r="S189" i="3" s="1"/>
  <c r="AA189" i="3"/>
  <c r="F188" i="3"/>
  <c r="I188" i="3"/>
  <c r="J188" i="3"/>
  <c r="M188" i="3"/>
  <c r="N188" i="3" s="1"/>
  <c r="V188" i="3"/>
  <c r="AE188" i="3"/>
  <c r="T189" i="3" l="1"/>
  <c r="W188" i="3"/>
  <c r="L188" i="3"/>
  <c r="U188" i="3" l="1"/>
  <c r="E189" i="3" s="1"/>
  <c r="H189" i="3" s="1"/>
  <c r="AH189" i="3"/>
  <c r="AG189" i="3"/>
  <c r="Y187" i="3"/>
  <c r="D189" i="3" l="1"/>
  <c r="G189" i="3" s="1"/>
  <c r="K189" i="3"/>
  <c r="A190" i="3" s="1"/>
  <c r="B190" i="3" s="1"/>
  <c r="AC190" i="3" l="1"/>
  <c r="Z190" i="3"/>
  <c r="AD190" i="3"/>
  <c r="AA190" i="3"/>
  <c r="P190" i="3"/>
  <c r="Q190" i="3" s="1"/>
  <c r="R190" i="3" s="1"/>
  <c r="S190" i="3" s="1"/>
  <c r="F189" i="3"/>
  <c r="I189" i="3"/>
  <c r="J189" i="3"/>
  <c r="M189" i="3"/>
  <c r="N189" i="3" s="1"/>
  <c r="V189" i="3"/>
  <c r="AE189" i="3"/>
  <c r="T190" i="3" l="1"/>
  <c r="W189" i="3"/>
  <c r="L189" i="3"/>
  <c r="AH190" i="3" l="1"/>
  <c r="U189" i="3"/>
  <c r="D190" i="3" s="1"/>
  <c r="AG190" i="3"/>
  <c r="Y188" i="3"/>
  <c r="G190" i="3" l="1"/>
  <c r="E190" i="3"/>
  <c r="H190" i="3" s="1"/>
  <c r="K190" i="3" l="1"/>
  <c r="A191" i="3" s="1"/>
  <c r="B191" i="3" s="1"/>
  <c r="I190" i="3"/>
  <c r="J190" i="3"/>
  <c r="M190" i="3"/>
  <c r="N190" i="3" s="1"/>
  <c r="F190" i="3"/>
  <c r="P191" i="3" l="1"/>
  <c r="Q191" i="3" s="1"/>
  <c r="R191" i="3" s="1"/>
  <c r="S191" i="3" s="1"/>
  <c r="AA191" i="3"/>
  <c r="AC191" i="3"/>
  <c r="AD191" i="3"/>
  <c r="Z191" i="3"/>
  <c r="L190" i="3"/>
  <c r="V190" i="3"/>
  <c r="W190" i="3" s="1"/>
  <c r="AE190" i="3"/>
  <c r="T191" i="3" l="1"/>
  <c r="AG191" i="3" s="1"/>
  <c r="U190" i="3"/>
  <c r="Y189" i="3"/>
  <c r="AH191" i="3" l="1"/>
  <c r="E191" i="3"/>
  <c r="H191" i="3" s="1"/>
  <c r="K191" i="3" s="1"/>
  <c r="A192" i="3" s="1"/>
  <c r="B192" i="3" s="1"/>
  <c r="D191" i="3"/>
  <c r="P192" i="3" l="1"/>
  <c r="Q192" i="3" s="1"/>
  <c r="R192" i="3" s="1"/>
  <c r="S192" i="3" s="1"/>
  <c r="Z192" i="3"/>
  <c r="AD192" i="3"/>
  <c r="AA192" i="3"/>
  <c r="AC192" i="3"/>
  <c r="V191" i="3"/>
  <c r="AE191" i="3"/>
  <c r="F191" i="3"/>
  <c r="G191" i="3"/>
  <c r="T192" i="3" l="1"/>
  <c r="I191" i="3"/>
  <c r="W191" i="3" s="1"/>
  <c r="J191" i="3"/>
  <c r="M191" i="3"/>
  <c r="N191" i="3" s="1"/>
  <c r="L191" i="3" l="1"/>
  <c r="AG192" i="3" l="1"/>
  <c r="U191" i="3"/>
  <c r="E192" i="3" s="1"/>
  <c r="H192" i="3" s="1"/>
  <c r="AH192" i="3"/>
  <c r="Y190" i="3"/>
  <c r="D192" i="3" l="1"/>
  <c r="G192" i="3" s="1"/>
  <c r="K192" i="3"/>
  <c r="A193" i="3" s="1"/>
  <c r="B193" i="3" s="1"/>
  <c r="AC193" i="3" l="1"/>
  <c r="AA193" i="3"/>
  <c r="AD193" i="3"/>
  <c r="P193" i="3"/>
  <c r="Q193" i="3" s="1"/>
  <c r="R193" i="3" s="1"/>
  <c r="S193" i="3" s="1"/>
  <c r="Z193" i="3"/>
  <c r="F192" i="3"/>
  <c r="I192" i="3"/>
  <c r="J192" i="3"/>
  <c r="M192" i="3"/>
  <c r="N192" i="3" s="1"/>
  <c r="V192" i="3"/>
  <c r="AE192" i="3"/>
  <c r="T193" i="3" l="1"/>
  <c r="W192" i="3"/>
  <c r="L192" i="3"/>
  <c r="U192" i="3" l="1"/>
  <c r="D193" i="3" s="1"/>
  <c r="AG193" i="3"/>
  <c r="AH193" i="3"/>
  <c r="Y191" i="3"/>
  <c r="G193" i="3" l="1"/>
  <c r="E193" i="3"/>
  <c r="H193" i="3" s="1"/>
  <c r="K193" i="3" l="1"/>
  <c r="A194" i="3" s="1"/>
  <c r="B194" i="3" s="1"/>
  <c r="I193" i="3"/>
  <c r="J193" i="3"/>
  <c r="M193" i="3"/>
  <c r="N193" i="3" s="1"/>
  <c r="F193" i="3"/>
  <c r="P194" i="3" l="1"/>
  <c r="Q194" i="3" s="1"/>
  <c r="R194" i="3" s="1"/>
  <c r="S194" i="3" s="1"/>
  <c r="AA194" i="3"/>
  <c r="AC194" i="3"/>
  <c r="Z194" i="3"/>
  <c r="L193" i="3"/>
  <c r="V193" i="3"/>
  <c r="W193" i="3" s="1"/>
  <c r="AE193" i="3"/>
  <c r="T194" i="3" l="1"/>
  <c r="AH194" i="3" s="1"/>
  <c r="U193" i="3"/>
  <c r="Y192" i="3"/>
  <c r="AG194" i="3" l="1"/>
  <c r="D194" i="3"/>
  <c r="G194" i="3" s="1"/>
  <c r="E194" i="3"/>
  <c r="H194" i="3" s="1"/>
  <c r="K194" i="3" s="1"/>
  <c r="A195" i="3" s="1"/>
  <c r="B195" i="3" s="1"/>
  <c r="P195" i="3" l="1"/>
  <c r="Q195" i="3" s="1"/>
  <c r="R195" i="3" s="1"/>
  <c r="S195" i="3" s="1"/>
  <c r="AD195" i="3"/>
  <c r="Z195" i="3"/>
  <c r="AA195" i="3"/>
  <c r="AC195" i="3"/>
  <c r="F194" i="3"/>
  <c r="V194" i="3"/>
  <c r="AE194" i="3"/>
  <c r="I194" i="3"/>
  <c r="J194" i="3"/>
  <c r="AD194" i="3" s="1"/>
  <c r="M194" i="3"/>
  <c r="N194" i="3" s="1"/>
  <c r="T195" i="3" l="1"/>
  <c r="W194" i="3"/>
  <c r="L194" i="3"/>
  <c r="U194" i="3" l="1"/>
  <c r="D195" i="3" s="1"/>
  <c r="AH195" i="3"/>
  <c r="AG195" i="3"/>
  <c r="Y193" i="3"/>
  <c r="E195" i="3" l="1"/>
  <c r="H195" i="3" s="1"/>
  <c r="K195" i="3" s="1"/>
  <c r="A196" i="3" s="1"/>
  <c r="B196" i="3" s="1"/>
  <c r="G195" i="3"/>
  <c r="P196" i="3" l="1"/>
  <c r="Q196" i="3" s="1"/>
  <c r="R196" i="3" s="1"/>
  <c r="S196" i="3" s="1"/>
  <c r="Z196" i="3"/>
  <c r="AC196" i="3"/>
  <c r="AD196" i="3"/>
  <c r="AA196" i="3"/>
  <c r="F195" i="3"/>
  <c r="V195" i="3"/>
  <c r="AE195" i="3"/>
  <c r="I195" i="3"/>
  <c r="J195" i="3"/>
  <c r="M195" i="3"/>
  <c r="N195" i="3" s="1"/>
  <c r="T196" i="3" l="1"/>
  <c r="W195" i="3"/>
  <c r="L195" i="3"/>
  <c r="AH196" i="3" l="1"/>
  <c r="U195" i="3"/>
  <c r="D196" i="3" s="1"/>
  <c r="AG196" i="3"/>
  <c r="Y194" i="3"/>
  <c r="E196" i="3" l="1"/>
  <c r="H196" i="3" s="1"/>
  <c r="K196" i="3" s="1"/>
  <c r="A197" i="3" s="1"/>
  <c r="B197" i="3" s="1"/>
  <c r="G196" i="3"/>
  <c r="AD197" i="3" l="1"/>
  <c r="AA197" i="3"/>
  <c r="Z197" i="3"/>
  <c r="AC197" i="3"/>
  <c r="P197" i="3"/>
  <c r="Q197" i="3" s="1"/>
  <c r="R197" i="3" s="1"/>
  <c r="S197" i="3" s="1"/>
  <c r="F196" i="3"/>
  <c r="I196" i="3"/>
  <c r="J196" i="3"/>
  <c r="M196" i="3"/>
  <c r="N196" i="3" s="1"/>
  <c r="V196" i="3"/>
  <c r="AE196" i="3"/>
  <c r="T197" i="3" l="1"/>
  <c r="L196" i="3"/>
  <c r="W196" i="3"/>
  <c r="U196" i="3" l="1"/>
  <c r="E197" i="3" s="1"/>
  <c r="H197" i="3" s="1"/>
  <c r="AG197" i="3"/>
  <c r="AH197" i="3"/>
  <c r="Y195" i="3"/>
  <c r="D197" i="3" l="1"/>
  <c r="G197" i="3" s="1"/>
  <c r="K197" i="3"/>
  <c r="A198" i="3" s="1"/>
  <c r="B198" i="3" s="1"/>
  <c r="P198" i="3" l="1"/>
  <c r="Q198" i="3" s="1"/>
  <c r="R198" i="3" s="1"/>
  <c r="S198" i="3" s="1"/>
  <c r="AA198" i="3"/>
  <c r="Z198" i="3"/>
  <c r="AC198" i="3"/>
  <c r="AD198" i="3"/>
  <c r="F197" i="3"/>
  <c r="I197" i="3"/>
  <c r="J197" i="3"/>
  <c r="M197" i="3"/>
  <c r="N197" i="3" s="1"/>
  <c r="V197" i="3"/>
  <c r="AE197" i="3"/>
  <c r="T198" i="3" l="1"/>
  <c r="W197" i="3"/>
  <c r="L197" i="3"/>
  <c r="AG198" i="3" l="1"/>
  <c r="AH198" i="3"/>
  <c r="U197" i="3"/>
  <c r="E198" i="3" s="1"/>
  <c r="H198" i="3" s="1"/>
  <c r="Y196" i="3"/>
  <c r="K198" i="3" l="1"/>
  <c r="A199" i="3" s="1"/>
  <c r="B199" i="3" s="1"/>
  <c r="D198" i="3"/>
  <c r="AD199" i="3" l="1"/>
  <c r="P199" i="3"/>
  <c r="Q199" i="3" s="1"/>
  <c r="R199" i="3" s="1"/>
  <c r="S199" i="3" s="1"/>
  <c r="AC199" i="3"/>
  <c r="AA199" i="3"/>
  <c r="Z199" i="3"/>
  <c r="V198" i="3"/>
  <c r="AE198" i="3"/>
  <c r="F198" i="3"/>
  <c r="G198" i="3"/>
  <c r="T199" i="3" l="1"/>
  <c r="I198" i="3"/>
  <c r="W198" i="3" s="1"/>
  <c r="J198" i="3"/>
  <c r="M198" i="3"/>
  <c r="N198" i="3" s="1"/>
  <c r="L198" i="3" l="1"/>
  <c r="AG199" i="3" l="1"/>
  <c r="U198" i="3"/>
  <c r="E199" i="3" s="1"/>
  <c r="H199" i="3" s="1"/>
  <c r="AH199" i="3"/>
  <c r="Y197" i="3"/>
  <c r="K199" i="3" l="1"/>
  <c r="A200" i="3" s="1"/>
  <c r="B200" i="3" s="1"/>
  <c r="D199" i="3"/>
  <c r="AA200" i="3" l="1"/>
  <c r="AC200" i="3"/>
  <c r="Z200" i="3"/>
  <c r="P200" i="3"/>
  <c r="Q200" i="3" s="1"/>
  <c r="R200" i="3" s="1"/>
  <c r="S200" i="3" s="1"/>
  <c r="AD200" i="3"/>
  <c r="V199" i="3"/>
  <c r="AE199" i="3"/>
  <c r="F199" i="3"/>
  <c r="G199" i="3"/>
  <c r="T200" i="3" l="1"/>
  <c r="I199" i="3"/>
  <c r="W199" i="3" s="1"/>
  <c r="J199" i="3"/>
  <c r="M199" i="3"/>
  <c r="N199" i="3" s="1"/>
  <c r="L199" i="3" l="1"/>
  <c r="AH200" i="3" l="1"/>
  <c r="AG200" i="3"/>
  <c r="U199" i="3"/>
  <c r="E200" i="3" s="1"/>
  <c r="H200" i="3" s="1"/>
  <c r="Y198" i="3"/>
  <c r="K200" i="3" l="1"/>
  <c r="A201" i="3" s="1"/>
  <c r="B201" i="3" s="1"/>
  <c r="D200" i="3"/>
  <c r="AC201" i="3" l="1"/>
  <c r="AD201" i="3"/>
  <c r="P201" i="3"/>
  <c r="Q201" i="3" s="1"/>
  <c r="R201" i="3" s="1"/>
  <c r="S201" i="3" s="1"/>
  <c r="AA201" i="3"/>
  <c r="Z201" i="3"/>
  <c r="V200" i="3"/>
  <c r="AE200" i="3"/>
  <c r="F200" i="3"/>
  <c r="G200" i="3"/>
  <c r="T201" i="3" l="1"/>
  <c r="I200" i="3"/>
  <c r="W200" i="3" s="1"/>
  <c r="J200" i="3"/>
  <c r="M200" i="3"/>
  <c r="N200" i="3" s="1"/>
  <c r="L200" i="3" l="1"/>
  <c r="AG201" i="3" l="1"/>
  <c r="U200" i="3"/>
  <c r="E201" i="3" s="1"/>
  <c r="H201" i="3" s="1"/>
  <c r="AH201" i="3"/>
  <c r="Y199" i="3"/>
  <c r="D201" i="3" l="1"/>
  <c r="G201" i="3" s="1"/>
  <c r="K201" i="3"/>
  <c r="A202" i="3" s="1"/>
  <c r="B202" i="3" s="1"/>
  <c r="AA202" i="3" l="1"/>
  <c r="AC202" i="3"/>
  <c r="AD202" i="3"/>
  <c r="Z202" i="3"/>
  <c r="P202" i="3"/>
  <c r="Q202" i="3" s="1"/>
  <c r="R202" i="3" s="1"/>
  <c r="S202" i="3" s="1"/>
  <c r="F201" i="3"/>
  <c r="I201" i="3"/>
  <c r="J201" i="3"/>
  <c r="M201" i="3"/>
  <c r="N201" i="3" s="1"/>
  <c r="V201" i="3"/>
  <c r="AE201" i="3"/>
  <c r="T202" i="3" l="1"/>
  <c r="W201" i="3"/>
  <c r="L201" i="3"/>
  <c r="U201" i="3" l="1"/>
  <c r="E202" i="3" s="1"/>
  <c r="H202" i="3" s="1"/>
  <c r="AG202" i="3"/>
  <c r="AH202" i="3"/>
  <c r="Y200" i="3"/>
  <c r="D202" i="3" l="1"/>
  <c r="G202" i="3" s="1"/>
  <c r="K202" i="3"/>
  <c r="A203" i="3" s="1"/>
  <c r="B203" i="3" s="1"/>
  <c r="Z203" i="3" l="1"/>
  <c r="P203" i="3"/>
  <c r="Q203" i="3" s="1"/>
  <c r="R203" i="3" s="1"/>
  <c r="S203" i="3" s="1"/>
  <c r="AD203" i="3"/>
  <c r="AC203" i="3"/>
  <c r="AA203" i="3"/>
  <c r="F202" i="3"/>
  <c r="V202" i="3"/>
  <c r="AE202" i="3"/>
  <c r="I202" i="3"/>
  <c r="J202" i="3"/>
  <c r="M202" i="3"/>
  <c r="N202" i="3" s="1"/>
  <c r="T203" i="3" l="1"/>
  <c r="W202" i="3"/>
  <c r="L202" i="3"/>
  <c r="U202" i="3" l="1"/>
  <c r="E203" i="3" s="1"/>
  <c r="H203" i="3" s="1"/>
  <c r="AH203" i="3"/>
  <c r="AG203" i="3"/>
  <c r="Y201" i="3"/>
  <c r="D203" i="3" l="1"/>
  <c r="G203" i="3" s="1"/>
  <c r="K203" i="3"/>
  <c r="A204" i="3" s="1"/>
  <c r="B204" i="3" s="1"/>
  <c r="Z204" i="3" l="1"/>
  <c r="AC204" i="3"/>
  <c r="AA204" i="3"/>
  <c r="P204" i="3"/>
  <c r="Q204" i="3" s="1"/>
  <c r="R204" i="3" s="1"/>
  <c r="S204" i="3" s="1"/>
  <c r="T204" i="3" s="1"/>
  <c r="F203" i="3"/>
  <c r="I203" i="3"/>
  <c r="J203" i="3"/>
  <c r="M203" i="3"/>
  <c r="N203" i="3" s="1"/>
  <c r="V203" i="3"/>
  <c r="AE203" i="3"/>
  <c r="W203" i="3" l="1"/>
  <c r="L203" i="3"/>
  <c r="U203" i="3" l="1"/>
  <c r="E204" i="3" s="1"/>
  <c r="H204" i="3" s="1"/>
  <c r="AH204" i="3"/>
  <c r="AG204" i="3"/>
  <c r="Y202" i="3"/>
  <c r="D204" i="3" l="1"/>
  <c r="G204" i="3" s="1"/>
  <c r="K204" i="3"/>
  <c r="F204" i="3" l="1"/>
  <c r="I204" i="3"/>
  <c r="J204" i="3"/>
  <c r="M204" i="3"/>
  <c r="N204" i="3" s="1"/>
  <c r="V204" i="3"/>
  <c r="A205" i="3"/>
  <c r="B205" i="3" s="1"/>
  <c r="AE204" i="3"/>
  <c r="W204" i="3" l="1"/>
  <c r="L204" i="3"/>
  <c r="AD204" i="3"/>
  <c r="AC205" i="3"/>
  <c r="P205" i="3"/>
  <c r="Q205" i="3" s="1"/>
  <c r="R205" i="3" s="1"/>
  <c r="S205" i="3" s="1"/>
  <c r="Z205" i="3"/>
  <c r="AA205" i="3"/>
  <c r="AD205" i="3"/>
  <c r="U204" i="3" l="1"/>
  <c r="Y203" i="3"/>
  <c r="T205" i="3"/>
  <c r="AH205" i="3" s="1"/>
  <c r="E205" i="3" l="1"/>
  <c r="H205" i="3" s="1"/>
  <c r="D205" i="3"/>
  <c r="AG205" i="3"/>
  <c r="K205" i="3" l="1"/>
  <c r="F205" i="3"/>
  <c r="G205" i="3"/>
  <c r="V205" i="3" l="1"/>
  <c r="A206" i="3"/>
  <c r="B206" i="3" s="1"/>
  <c r="AE205" i="3"/>
  <c r="I205" i="3"/>
  <c r="J205" i="3"/>
  <c r="M205" i="3"/>
  <c r="N205" i="3" s="1"/>
  <c r="W205" i="3" l="1"/>
  <c r="L205" i="3"/>
  <c r="AC206" i="3"/>
  <c r="P206" i="3"/>
  <c r="Q206" i="3" s="1"/>
  <c r="R206" i="3" s="1"/>
  <c r="S206" i="3" s="1"/>
  <c r="Z206" i="3"/>
  <c r="AA206" i="3"/>
  <c r="AD206" i="3"/>
  <c r="T206" i="3" l="1"/>
  <c r="AH206" i="3" s="1"/>
  <c r="U205" i="3"/>
  <c r="Y204" i="3"/>
  <c r="AG206" i="3" l="1"/>
  <c r="D206" i="3"/>
  <c r="E206" i="3"/>
  <c r="H206" i="3" s="1"/>
  <c r="F206" i="3" l="1"/>
  <c r="G206" i="3"/>
  <c r="K206" i="3"/>
  <c r="I206" i="3" l="1"/>
  <c r="J206" i="3"/>
  <c r="M206" i="3"/>
  <c r="N206" i="3" s="1"/>
  <c r="V206" i="3"/>
  <c r="A207" i="3"/>
  <c r="B207" i="3" s="1"/>
  <c r="AE206" i="3"/>
  <c r="W206" i="3" l="1"/>
  <c r="L206" i="3"/>
  <c r="P207" i="3"/>
  <c r="Q207" i="3" s="1"/>
  <c r="R207" i="3" s="1"/>
  <c r="S207" i="3" s="1"/>
  <c r="AC207" i="3"/>
  <c r="Z207" i="3"/>
  <c r="AA207" i="3"/>
  <c r="T207" i="3" l="1"/>
  <c r="U206" i="3"/>
  <c r="Y205" i="3"/>
  <c r="D207" i="3" l="1"/>
  <c r="G207" i="3" s="1"/>
  <c r="AH207" i="3"/>
  <c r="E207" i="3"/>
  <c r="H207" i="3" s="1"/>
  <c r="AG207" i="3"/>
  <c r="F207" i="3" l="1"/>
  <c r="I207" i="3"/>
  <c r="J207" i="3"/>
  <c r="AD207" i="3" s="1"/>
  <c r="M207" i="3"/>
  <c r="N207" i="3" s="1"/>
  <c r="K207" i="3"/>
  <c r="V207" i="3" l="1"/>
  <c r="W207" i="3" s="1"/>
  <c r="AE207" i="3"/>
  <c r="A208" i="3"/>
  <c r="B208" i="3" s="1"/>
  <c r="L207" i="3"/>
  <c r="Z208" i="3" l="1"/>
  <c r="AC208" i="3"/>
  <c r="AA208" i="3"/>
  <c r="P208" i="3"/>
  <c r="Q208" i="3" s="1"/>
  <c r="R208" i="3" s="1"/>
  <c r="S208" i="3" s="1"/>
  <c r="U207" i="3"/>
  <c r="Y206" i="3"/>
  <c r="T208" i="3" l="1"/>
  <c r="AG208" i="3" s="1"/>
  <c r="AH208" i="3" l="1"/>
  <c r="D208" i="3"/>
  <c r="G208" i="3" s="1"/>
  <c r="E208" i="3"/>
  <c r="H208" i="3" s="1"/>
  <c r="K208" i="3" s="1"/>
  <c r="F208" i="3" l="1"/>
  <c r="I208" i="3"/>
  <c r="J208" i="3"/>
  <c r="AD208" i="3" s="1"/>
  <c r="M208" i="3"/>
  <c r="N208" i="3" s="1"/>
  <c r="V208" i="3"/>
  <c r="A209" i="3"/>
  <c r="B209" i="3" s="1"/>
  <c r="AE208" i="3"/>
  <c r="W208" i="3" l="1"/>
  <c r="L208" i="3"/>
  <c r="P209" i="3"/>
  <c r="Q209" i="3" s="1"/>
  <c r="R209" i="3" s="1"/>
  <c r="S209" i="3" s="1"/>
  <c r="AC209" i="3"/>
  <c r="AD209" i="3"/>
  <c r="AA209" i="3"/>
  <c r="Z209" i="3"/>
  <c r="U208" i="3" l="1"/>
  <c r="Y207" i="3"/>
  <c r="T209" i="3"/>
  <c r="AH209" i="3" s="1"/>
  <c r="AG209" i="3" l="1"/>
  <c r="D209" i="3"/>
  <c r="G209" i="3" s="1"/>
  <c r="E209" i="3"/>
  <c r="H209" i="3" s="1"/>
  <c r="F209" i="3" l="1"/>
  <c r="K209" i="3"/>
  <c r="I209" i="3"/>
  <c r="J209" i="3"/>
  <c r="M209" i="3"/>
  <c r="N209" i="3" s="1"/>
  <c r="L209" i="3" l="1"/>
  <c r="V209" i="3"/>
  <c r="W209" i="3" s="1"/>
  <c r="A210" i="3"/>
  <c r="B210" i="3" s="1"/>
  <c r="AE209" i="3"/>
  <c r="AC210" i="3" l="1"/>
  <c r="Z210" i="3"/>
  <c r="P210" i="3"/>
  <c r="Q210" i="3" s="1"/>
  <c r="R210" i="3" s="1"/>
  <c r="S210" i="3" s="1"/>
  <c r="AA210" i="3"/>
  <c r="AD210" i="3"/>
  <c r="U209" i="3"/>
  <c r="Y208" i="3"/>
  <c r="T210" i="3" l="1"/>
  <c r="AG210" i="3" s="1"/>
  <c r="AH210" i="3" l="1"/>
  <c r="D210" i="3"/>
  <c r="E210" i="3"/>
  <c r="H210" i="3" s="1"/>
  <c r="F210" i="3" l="1"/>
  <c r="G210" i="3"/>
  <c r="K210" i="3"/>
  <c r="V210" i="3" l="1"/>
  <c r="AE210" i="3"/>
  <c r="A211" i="3"/>
  <c r="B211" i="3" s="1"/>
  <c r="I210" i="3"/>
  <c r="J210" i="3"/>
  <c r="M210" i="3"/>
  <c r="N210" i="3" s="1"/>
  <c r="W210" i="3" l="1"/>
  <c r="AC211" i="3"/>
  <c r="Z211" i="3"/>
  <c r="P211" i="3"/>
  <c r="Q211" i="3" s="1"/>
  <c r="R211" i="3" s="1"/>
  <c r="S211" i="3" s="1"/>
  <c r="AA211" i="3"/>
  <c r="AD211" i="3"/>
  <c r="L210" i="3"/>
  <c r="T211" i="3" l="1"/>
  <c r="AG211" i="3" s="1"/>
  <c r="U210" i="3"/>
  <c r="Y209" i="3"/>
  <c r="E211" i="3" l="1"/>
  <c r="H211" i="3" s="1"/>
  <c r="D211" i="3"/>
  <c r="AH211" i="3"/>
  <c r="K211" i="3" l="1"/>
  <c r="F211" i="3"/>
  <c r="G211" i="3"/>
  <c r="I211" i="3" l="1"/>
  <c r="J211" i="3"/>
  <c r="M211" i="3"/>
  <c r="N211" i="3" s="1"/>
  <c r="V211" i="3"/>
  <c r="AE211" i="3"/>
  <c r="A212" i="3"/>
  <c r="B212" i="3" s="1"/>
  <c r="W211" i="3" l="1"/>
  <c r="AA212" i="3"/>
  <c r="Z212" i="3"/>
  <c r="P212" i="3"/>
  <c r="Q212" i="3" s="1"/>
  <c r="R212" i="3" s="1"/>
  <c r="S212" i="3" s="1"/>
  <c r="AC212" i="3"/>
  <c r="AD212" i="3"/>
  <c r="L211" i="3"/>
  <c r="U211" i="3" l="1"/>
  <c r="Y210" i="3"/>
  <c r="T212" i="3"/>
  <c r="E212" i="3" l="1"/>
  <c r="H212" i="3" s="1"/>
  <c r="K212" i="3" s="1"/>
  <c r="AH212" i="3"/>
  <c r="AG212" i="3"/>
  <c r="D212" i="3"/>
  <c r="F212" i="3" l="1"/>
  <c r="G212" i="3"/>
  <c r="V212" i="3"/>
  <c r="A213" i="3"/>
  <c r="B213" i="3" s="1"/>
  <c r="AE212" i="3"/>
  <c r="AD213" i="3" l="1"/>
  <c r="AC213" i="3"/>
  <c r="P213" i="3"/>
  <c r="Q213" i="3" s="1"/>
  <c r="R213" i="3" s="1"/>
  <c r="S213" i="3" s="1"/>
  <c r="AA213" i="3"/>
  <c r="Z213" i="3"/>
  <c r="I212" i="3"/>
  <c r="W212" i="3" s="1"/>
  <c r="J212" i="3"/>
  <c r="M212" i="3"/>
  <c r="N212" i="3" s="1"/>
  <c r="T213" i="3" l="1"/>
  <c r="L212" i="3"/>
  <c r="U212" i="3" l="1"/>
  <c r="E213" i="3" s="1"/>
  <c r="H213" i="3" s="1"/>
  <c r="AH213" i="3"/>
  <c r="AG213" i="3"/>
  <c r="Y211" i="3"/>
  <c r="D213" i="3" l="1"/>
  <c r="G213" i="3" s="1"/>
  <c r="K213" i="3"/>
  <c r="F213" i="3" l="1"/>
  <c r="I213" i="3"/>
  <c r="J213" i="3"/>
  <c r="M213" i="3"/>
  <c r="N213" i="3" s="1"/>
  <c r="V213" i="3"/>
  <c r="A214" i="3"/>
  <c r="B214" i="3" s="1"/>
  <c r="AE213" i="3"/>
  <c r="W213" i="3" l="1"/>
  <c r="L213" i="3"/>
  <c r="P214" i="3"/>
  <c r="Q214" i="3" s="1"/>
  <c r="R214" i="3" s="1"/>
  <c r="S214" i="3" s="1"/>
  <c r="AC214" i="3"/>
  <c r="AA214" i="3"/>
  <c r="Z214" i="3"/>
  <c r="U213" i="3" l="1"/>
  <c r="Y212" i="3"/>
  <c r="T214" i="3"/>
  <c r="D214" i="3" l="1"/>
  <c r="G214" i="3" s="1"/>
  <c r="E214" i="3"/>
  <c r="H214" i="3" s="1"/>
  <c r="AG214" i="3"/>
  <c r="AH214" i="3"/>
  <c r="F214" i="3" l="1"/>
  <c r="I214" i="3"/>
  <c r="J214" i="3"/>
  <c r="M214" i="3"/>
  <c r="N214" i="3" s="1"/>
  <c r="K214" i="3"/>
  <c r="AE214" i="3" s="1"/>
  <c r="V214" i="3" l="1"/>
  <c r="W214" i="3" s="1"/>
  <c r="A215" i="3"/>
  <c r="B215" i="3" s="1"/>
  <c r="L214" i="3"/>
  <c r="AD214" i="3"/>
  <c r="U214" i="3" l="1"/>
  <c r="Y213" i="3"/>
  <c r="AC215" i="3"/>
  <c r="AD215" i="3"/>
  <c r="Z215" i="3"/>
  <c r="P215" i="3"/>
  <c r="Q215" i="3" s="1"/>
  <c r="R215" i="3" s="1"/>
  <c r="S215" i="3" s="1"/>
  <c r="AA215" i="3"/>
  <c r="T215" i="3" l="1"/>
  <c r="AH215" i="3" s="1"/>
  <c r="D215" i="3" l="1"/>
  <c r="G215" i="3" s="1"/>
  <c r="E215" i="3"/>
  <c r="H215" i="3" s="1"/>
  <c r="K215" i="3" s="1"/>
  <c r="AE215" i="3" s="1"/>
  <c r="AG215" i="3"/>
  <c r="F215" i="3" l="1"/>
  <c r="V215" i="3"/>
  <c r="A216" i="3"/>
  <c r="B216" i="3" s="1"/>
  <c r="I215" i="3"/>
  <c r="J215" i="3"/>
  <c r="M215" i="3"/>
  <c r="N215" i="3" s="1"/>
  <c r="W215" i="3" l="1"/>
  <c r="L215" i="3"/>
  <c r="P216" i="3"/>
  <c r="Q216" i="3" s="1"/>
  <c r="R216" i="3" s="1"/>
  <c r="S216" i="3" s="1"/>
  <c r="Z216" i="3"/>
  <c r="AC216" i="3"/>
  <c r="AD216" i="3"/>
  <c r="AA216" i="3"/>
  <c r="U215" i="3" l="1"/>
  <c r="Y214" i="3"/>
  <c r="T216" i="3"/>
  <c r="AH216" i="3" s="1"/>
  <c r="D216" i="3" l="1"/>
  <c r="G216" i="3" s="1"/>
  <c r="AG216" i="3"/>
  <c r="E216" i="3"/>
  <c r="H216" i="3" s="1"/>
  <c r="K216" i="3" l="1"/>
  <c r="AE216" i="3" s="1"/>
  <c r="I216" i="3"/>
  <c r="J216" i="3"/>
  <c r="M216" i="3"/>
  <c r="N216" i="3" s="1"/>
  <c r="F216" i="3"/>
  <c r="V216" i="3" l="1"/>
  <c r="W216" i="3" s="1"/>
  <c r="A217" i="3"/>
  <c r="B217" i="3" s="1"/>
  <c r="L216" i="3"/>
  <c r="U216" i="3" l="1"/>
  <c r="Y215" i="3"/>
  <c r="P217" i="3"/>
  <c r="Q217" i="3" s="1"/>
  <c r="R217" i="3" s="1"/>
  <c r="S217" i="3" s="1"/>
  <c r="AC217" i="3"/>
  <c r="AA217" i="3"/>
  <c r="Z217" i="3"/>
  <c r="T217" i="3" l="1"/>
  <c r="D217" i="3" s="1"/>
  <c r="G217" i="3" l="1"/>
  <c r="AG217" i="3"/>
  <c r="AH217" i="3"/>
  <c r="E217" i="3"/>
  <c r="H217" i="3" s="1"/>
  <c r="I217" i="3" l="1"/>
  <c r="J217" i="3"/>
  <c r="AD217" i="3" s="1"/>
  <c r="M217" i="3"/>
  <c r="N217" i="3" s="1"/>
  <c r="K217" i="3"/>
  <c r="AE217" i="3" s="1"/>
  <c r="F217" i="3"/>
  <c r="V217" i="3" l="1"/>
  <c r="W217" i="3" s="1"/>
  <c r="A218" i="3"/>
  <c r="B218" i="3" s="1"/>
  <c r="L217" i="3"/>
  <c r="U217" i="3" l="1"/>
  <c r="Y216" i="3"/>
  <c r="AC218" i="3"/>
  <c r="AA218" i="3"/>
  <c r="Z218" i="3"/>
  <c r="P218" i="3"/>
  <c r="Q218" i="3" s="1"/>
  <c r="R218" i="3" s="1"/>
  <c r="S218" i="3" s="1"/>
  <c r="T218" i="3" l="1"/>
  <c r="AG218" i="3" s="1"/>
  <c r="AH218" i="3" l="1"/>
  <c r="E218" i="3"/>
  <c r="H218" i="3" s="1"/>
  <c r="K218" i="3" s="1"/>
  <c r="AE218" i="3" s="1"/>
  <c r="D218" i="3"/>
  <c r="G218" i="3" s="1"/>
  <c r="F218" i="3" l="1"/>
  <c r="I218" i="3"/>
  <c r="J218" i="3"/>
  <c r="AD218" i="3" s="1"/>
  <c r="M218" i="3"/>
  <c r="N218" i="3" s="1"/>
  <c r="V218" i="3"/>
  <c r="A219" i="3"/>
  <c r="B219" i="3" s="1"/>
  <c r="W218" i="3" l="1"/>
  <c r="L218" i="3"/>
  <c r="P219" i="3"/>
  <c r="Q219" i="3" s="1"/>
  <c r="R219" i="3" s="1"/>
  <c r="S219" i="3" s="1"/>
  <c r="AD219" i="3"/>
  <c r="AC219" i="3"/>
  <c r="AA219" i="3"/>
  <c r="Z219" i="3"/>
  <c r="U218" i="3" l="1"/>
  <c r="Y217" i="3"/>
  <c r="T219" i="3"/>
  <c r="AG219" i="3" s="1"/>
  <c r="D219" i="3" l="1"/>
  <c r="E219" i="3"/>
  <c r="H219" i="3" s="1"/>
  <c r="AH219" i="3"/>
  <c r="F219" i="3" l="1"/>
  <c r="G219" i="3"/>
  <c r="K219" i="3"/>
  <c r="AE219" i="3" s="1"/>
  <c r="I219" i="3" l="1"/>
  <c r="J219" i="3"/>
  <c r="M219" i="3"/>
  <c r="N219" i="3" s="1"/>
  <c r="V219" i="3"/>
  <c r="A220" i="3"/>
  <c r="B220" i="3" s="1"/>
  <c r="W219" i="3" l="1"/>
  <c r="L219" i="3"/>
  <c r="AC220" i="3"/>
  <c r="AD220" i="3"/>
  <c r="Z220" i="3"/>
  <c r="P220" i="3"/>
  <c r="Q220" i="3" s="1"/>
  <c r="R220" i="3" s="1"/>
  <c r="S220" i="3" s="1"/>
  <c r="AA220" i="3"/>
  <c r="U219" i="3" l="1"/>
  <c r="Y218" i="3"/>
  <c r="T220" i="3"/>
  <c r="E220" i="3" l="1"/>
  <c r="H220" i="3" s="1"/>
  <c r="K220" i="3" s="1"/>
  <c r="AE220" i="3" s="1"/>
  <c r="D220" i="3"/>
  <c r="G220" i="3" s="1"/>
  <c r="AG220" i="3"/>
  <c r="AH220" i="3"/>
  <c r="F220" i="3" l="1"/>
  <c r="I220" i="3"/>
  <c r="J220" i="3"/>
  <c r="M220" i="3"/>
  <c r="N220" i="3" s="1"/>
  <c r="V220" i="3"/>
  <c r="A221" i="3"/>
  <c r="B221" i="3" s="1"/>
  <c r="W220" i="3" l="1"/>
  <c r="L220" i="3"/>
  <c r="AA221" i="3"/>
  <c r="AC221" i="3"/>
  <c r="AD221" i="3"/>
  <c r="P221" i="3"/>
  <c r="Q221" i="3" s="1"/>
  <c r="R221" i="3" s="1"/>
  <c r="S221" i="3" s="1"/>
  <c r="Z221" i="3"/>
  <c r="T221" i="3" l="1"/>
  <c r="U220" i="3"/>
  <c r="Y219" i="3"/>
  <c r="D221" i="3" l="1"/>
  <c r="G221" i="3" s="1"/>
  <c r="AH221" i="3"/>
  <c r="AG221" i="3"/>
  <c r="E221" i="3"/>
  <c r="H221" i="3" s="1"/>
  <c r="K221" i="3" l="1"/>
  <c r="AE221" i="3" s="1"/>
  <c r="I221" i="3"/>
  <c r="J221" i="3"/>
  <c r="M221" i="3"/>
  <c r="N221" i="3" s="1"/>
  <c r="F221" i="3"/>
  <c r="L221" i="3" l="1"/>
  <c r="V221" i="3"/>
  <c r="W221" i="3" s="1"/>
  <c r="A222" i="3"/>
  <c r="B222" i="3" s="1"/>
  <c r="P222" i="3" l="1"/>
  <c r="Q222" i="3" s="1"/>
  <c r="R222" i="3" s="1"/>
  <c r="S222" i="3" s="1"/>
  <c r="AC222" i="3"/>
  <c r="Z222" i="3"/>
  <c r="AA222" i="3"/>
  <c r="AD222" i="3"/>
  <c r="U221" i="3"/>
  <c r="Y220" i="3"/>
  <c r="T222" i="3" l="1"/>
  <c r="AH222" i="3" s="1"/>
  <c r="E222" i="3" l="1"/>
  <c r="H222" i="3" s="1"/>
  <c r="AG222" i="3"/>
  <c r="D222" i="3"/>
  <c r="F222" i="3" l="1"/>
  <c r="G222" i="3"/>
  <c r="K222" i="3"/>
  <c r="AE222" i="3" s="1"/>
  <c r="I222" i="3" l="1"/>
  <c r="J222" i="3"/>
  <c r="M222" i="3"/>
  <c r="N222" i="3" s="1"/>
  <c r="V222" i="3"/>
  <c r="A223" i="3"/>
  <c r="B223" i="3" s="1"/>
  <c r="W222" i="3" l="1"/>
  <c r="L222" i="3"/>
  <c r="P223" i="3"/>
  <c r="Q223" i="3" s="1"/>
  <c r="R223" i="3" s="1"/>
  <c r="S223" i="3" s="1"/>
  <c r="Z223" i="3"/>
  <c r="AC223" i="3"/>
  <c r="AD223" i="3"/>
  <c r="AA223" i="3"/>
  <c r="U222" i="3" l="1"/>
  <c r="Y221" i="3"/>
  <c r="T223" i="3"/>
  <c r="D223" i="3" l="1"/>
  <c r="G223" i="3" s="1"/>
  <c r="AG223" i="3"/>
  <c r="AH223" i="3"/>
  <c r="E223" i="3"/>
  <c r="H223" i="3" s="1"/>
  <c r="K223" i="3" s="1"/>
  <c r="AE223" i="3" s="1"/>
  <c r="F223" i="3" l="1"/>
  <c r="I223" i="3"/>
  <c r="J223" i="3"/>
  <c r="M223" i="3"/>
  <c r="N223" i="3" s="1"/>
  <c r="V223" i="3"/>
  <c r="A224" i="3"/>
  <c r="B224" i="3" s="1"/>
  <c r="W223" i="3" l="1"/>
  <c r="L223" i="3"/>
  <c r="Z224" i="3"/>
  <c r="P224" i="3"/>
  <c r="Q224" i="3" s="1"/>
  <c r="R224" i="3" s="1"/>
  <c r="S224" i="3" s="1"/>
  <c r="AC224" i="3"/>
  <c r="AA224" i="3"/>
  <c r="U223" i="3" l="1"/>
  <c r="Y222" i="3"/>
  <c r="T224" i="3"/>
  <c r="D224" i="3" l="1"/>
  <c r="G224" i="3" s="1"/>
  <c r="AG224" i="3"/>
  <c r="AH224" i="3"/>
  <c r="E224" i="3"/>
  <c r="H224" i="3" s="1"/>
  <c r="K224" i="3" s="1"/>
  <c r="AE224" i="3" s="1"/>
  <c r="F224" i="3" l="1"/>
  <c r="I224" i="3"/>
  <c r="J224" i="3"/>
  <c r="M224" i="3"/>
  <c r="N224" i="3" s="1"/>
  <c r="V224" i="3"/>
  <c r="A225" i="3"/>
  <c r="B225" i="3" s="1"/>
  <c r="W224" i="3" l="1"/>
  <c r="L224" i="3"/>
  <c r="AD224" i="3"/>
  <c r="AC225" i="3"/>
  <c r="P225" i="3"/>
  <c r="Q225" i="3" s="1"/>
  <c r="R225" i="3" s="1"/>
  <c r="S225" i="3" s="1"/>
  <c r="AA225" i="3"/>
  <c r="AD225" i="3"/>
  <c r="Z225" i="3"/>
  <c r="U224" i="3" l="1"/>
  <c r="Y223" i="3"/>
  <c r="T225" i="3"/>
  <c r="AG225" i="3" s="1"/>
  <c r="AH225" i="3" l="1"/>
  <c r="E225" i="3"/>
  <c r="H225" i="3" s="1"/>
  <c r="D225" i="3"/>
  <c r="K225" i="3" l="1"/>
  <c r="AE225" i="3" s="1"/>
  <c r="F225" i="3"/>
  <c r="G225" i="3"/>
  <c r="I225" i="3" l="1"/>
  <c r="J225" i="3"/>
  <c r="M225" i="3"/>
  <c r="N225" i="3" s="1"/>
  <c r="V225" i="3"/>
  <c r="A226" i="3"/>
  <c r="B226" i="3" s="1"/>
  <c r="W225" i="3" l="1"/>
  <c r="L225" i="3"/>
  <c r="AD226" i="3"/>
  <c r="Z226" i="3"/>
  <c r="AA226" i="3"/>
  <c r="P226" i="3"/>
  <c r="Q226" i="3" s="1"/>
  <c r="R226" i="3" s="1"/>
  <c r="S226" i="3" s="1"/>
  <c r="AC226" i="3"/>
  <c r="U225" i="3" l="1"/>
  <c r="Y224" i="3"/>
  <c r="T226" i="3"/>
  <c r="D226" i="3" l="1"/>
  <c r="G226" i="3" s="1"/>
  <c r="AH226" i="3"/>
  <c r="AG226" i="3"/>
  <c r="E226" i="3"/>
  <c r="H226" i="3" s="1"/>
  <c r="F226" i="3" l="1"/>
  <c r="I226" i="3"/>
  <c r="J226" i="3"/>
  <c r="M226" i="3"/>
  <c r="N226" i="3" s="1"/>
  <c r="K226" i="3"/>
  <c r="AE226" i="3" s="1"/>
  <c r="V226" i="3" l="1"/>
  <c r="W226" i="3" s="1"/>
  <c r="A227" i="3"/>
  <c r="B227" i="3" s="1"/>
  <c r="L226" i="3"/>
  <c r="U226" i="3" l="1"/>
  <c r="Y225" i="3"/>
  <c r="P227" i="3"/>
  <c r="Q227" i="3" s="1"/>
  <c r="R227" i="3" s="1"/>
  <c r="S227" i="3" s="1"/>
  <c r="AA227" i="3"/>
  <c r="Z227" i="3"/>
  <c r="AC227" i="3"/>
  <c r="T227" i="3" l="1"/>
  <c r="D227" i="3" s="1"/>
  <c r="E227" i="3" l="1"/>
  <c r="H227" i="3" s="1"/>
  <c r="K227" i="3" s="1"/>
  <c r="AE227" i="3" s="1"/>
  <c r="AH227" i="3"/>
  <c r="AG227" i="3"/>
  <c r="G227" i="3"/>
  <c r="F227" i="3" l="1"/>
  <c r="V227" i="3"/>
  <c r="A228" i="3"/>
  <c r="B228" i="3" s="1"/>
  <c r="I227" i="3"/>
  <c r="J227" i="3"/>
  <c r="AD227" i="3" s="1"/>
  <c r="M227" i="3"/>
  <c r="N227" i="3" s="1"/>
  <c r="L227" i="3" l="1"/>
  <c r="W227" i="3"/>
  <c r="AA228" i="3"/>
  <c r="Z228" i="3"/>
  <c r="P228" i="3"/>
  <c r="Q228" i="3" s="1"/>
  <c r="R228" i="3" s="1"/>
  <c r="S228" i="3" s="1"/>
  <c r="AC228" i="3"/>
  <c r="T228" i="3" l="1"/>
  <c r="AG228" i="3" s="1"/>
  <c r="U227" i="3"/>
  <c r="Y226" i="3"/>
  <c r="AH228" i="3" l="1"/>
  <c r="E228" i="3"/>
  <c r="H228" i="3" s="1"/>
  <c r="D228" i="3"/>
  <c r="K228" i="3" l="1"/>
  <c r="AE228" i="3" s="1"/>
  <c r="F228" i="3"/>
  <c r="G228" i="3"/>
  <c r="V228" i="3" l="1"/>
  <c r="A229" i="3"/>
  <c r="B229" i="3" s="1"/>
  <c r="I228" i="3"/>
  <c r="J228" i="3"/>
  <c r="AD228" i="3" s="1"/>
  <c r="M228" i="3"/>
  <c r="N228" i="3" s="1"/>
  <c r="W228" i="3" l="1"/>
  <c r="L228" i="3"/>
  <c r="AA229" i="3"/>
  <c r="AD229" i="3"/>
  <c r="AC229" i="3"/>
  <c r="P229" i="3"/>
  <c r="Q229" i="3" s="1"/>
  <c r="R229" i="3" s="1"/>
  <c r="S229" i="3" s="1"/>
  <c r="Z229" i="3"/>
  <c r="U228" i="3" l="1"/>
  <c r="Y227" i="3"/>
  <c r="T229" i="3"/>
  <c r="AH229" i="3" s="1"/>
  <c r="D229" i="3" l="1"/>
  <c r="E229" i="3"/>
  <c r="H229" i="3" s="1"/>
  <c r="AG229" i="3"/>
  <c r="K229" i="3" l="1"/>
  <c r="AE229" i="3" s="1"/>
  <c r="F229" i="3"/>
  <c r="G229" i="3"/>
  <c r="V229" i="3" l="1"/>
  <c r="A230" i="3"/>
  <c r="B230" i="3" s="1"/>
  <c r="I229" i="3"/>
  <c r="J229" i="3"/>
  <c r="M229" i="3"/>
  <c r="N229" i="3" s="1"/>
  <c r="L229" i="3" l="1"/>
  <c r="W229" i="3"/>
  <c r="P230" i="3"/>
  <c r="Q230" i="3" s="1"/>
  <c r="R230" i="3" s="1"/>
  <c r="S230" i="3" s="1"/>
  <c r="AA230" i="3"/>
  <c r="AC230" i="3"/>
  <c r="AD230" i="3"/>
  <c r="Z230" i="3"/>
  <c r="U229" i="3" l="1"/>
  <c r="Y228" i="3"/>
  <c r="T230" i="3"/>
  <c r="AH230" i="3" s="1"/>
  <c r="AG230" i="3" l="1"/>
  <c r="D230" i="3"/>
  <c r="E230" i="3"/>
  <c r="H230" i="3" s="1"/>
  <c r="K230" i="3" l="1"/>
  <c r="AE230" i="3" s="1"/>
  <c r="F230" i="3"/>
  <c r="G230" i="3"/>
  <c r="I230" i="3" l="1"/>
  <c r="J230" i="3"/>
  <c r="M230" i="3"/>
  <c r="N230" i="3" s="1"/>
  <c r="V230" i="3"/>
  <c r="A231" i="3"/>
  <c r="B231" i="3" s="1"/>
  <c r="W230" i="3" l="1"/>
  <c r="L230" i="3"/>
  <c r="AD231" i="3"/>
  <c r="P231" i="3"/>
  <c r="Q231" i="3" s="1"/>
  <c r="R231" i="3" s="1"/>
  <c r="S231" i="3" s="1"/>
  <c r="AA231" i="3"/>
  <c r="Z231" i="3"/>
  <c r="AC231" i="3"/>
  <c r="T231" i="3" l="1"/>
  <c r="U230" i="3"/>
  <c r="Y229" i="3"/>
  <c r="D231" i="3" l="1"/>
  <c r="G231" i="3" s="1"/>
  <c r="E231" i="3"/>
  <c r="H231" i="3" s="1"/>
  <c r="K231" i="3" s="1"/>
  <c r="AE231" i="3" s="1"/>
  <c r="AG231" i="3"/>
  <c r="AH231" i="3"/>
  <c r="F231" i="3" l="1"/>
  <c r="V231" i="3"/>
  <c r="A232" i="3"/>
  <c r="B232" i="3" s="1"/>
  <c r="I231" i="3"/>
  <c r="J231" i="3"/>
  <c r="M231" i="3"/>
  <c r="N231" i="3" s="1"/>
  <c r="L231" i="3" l="1"/>
  <c r="W231" i="3"/>
  <c r="P232" i="3"/>
  <c r="Q232" i="3" s="1"/>
  <c r="R232" i="3" s="1"/>
  <c r="S232" i="3" s="1"/>
  <c r="AD232" i="3"/>
  <c r="Z232" i="3"/>
  <c r="AA232" i="3"/>
  <c r="AC232" i="3"/>
  <c r="U231" i="3" l="1"/>
  <c r="Y230" i="3"/>
  <c r="T232" i="3"/>
  <c r="D232" i="3" l="1"/>
  <c r="G232" i="3" s="1"/>
  <c r="AG232" i="3"/>
  <c r="E232" i="3"/>
  <c r="H232" i="3" s="1"/>
  <c r="AH232" i="3"/>
  <c r="F232" i="3" l="1"/>
  <c r="I232" i="3"/>
  <c r="J232" i="3"/>
  <c r="M232" i="3"/>
  <c r="N232" i="3" s="1"/>
  <c r="K232" i="3"/>
  <c r="AE232" i="3" s="1"/>
  <c r="V232" i="3" l="1"/>
  <c r="W232" i="3" s="1"/>
  <c r="A233" i="3"/>
  <c r="B233" i="3" s="1"/>
  <c r="L232" i="3"/>
  <c r="U232" i="3" l="1"/>
  <c r="Y231" i="3"/>
  <c r="AA233" i="3"/>
  <c r="AD233" i="3"/>
  <c r="AC233" i="3"/>
  <c r="P233" i="3"/>
  <c r="Q233" i="3" s="1"/>
  <c r="R233" i="3" s="1"/>
  <c r="S233" i="3" s="1"/>
  <c r="Z233" i="3"/>
  <c r="T233" i="3" l="1"/>
  <c r="D233" i="3" s="1"/>
  <c r="AG233" i="3" l="1"/>
  <c r="AH233" i="3"/>
  <c r="E233" i="3"/>
  <c r="H233" i="3" s="1"/>
  <c r="K233" i="3" s="1"/>
  <c r="AE233" i="3" s="1"/>
  <c r="G233" i="3"/>
  <c r="F233" i="3" l="1"/>
  <c r="I233" i="3"/>
  <c r="J233" i="3"/>
  <c r="M233" i="3"/>
  <c r="N233" i="3" s="1"/>
  <c r="V233" i="3"/>
  <c r="A234" i="3"/>
  <c r="B234" i="3" s="1"/>
  <c r="W233" i="3" l="1"/>
  <c r="L233" i="3"/>
  <c r="Z234" i="3"/>
  <c r="P234" i="3"/>
  <c r="Q234" i="3" s="1"/>
  <c r="R234" i="3" s="1"/>
  <c r="S234" i="3" s="1"/>
  <c r="AC234" i="3"/>
  <c r="AA234" i="3"/>
  <c r="U233" i="3" l="1"/>
  <c r="Y232" i="3"/>
  <c r="T234" i="3"/>
  <c r="E234" i="3" l="1"/>
  <c r="H234" i="3" s="1"/>
  <c r="K234" i="3" s="1"/>
  <c r="AE234" i="3" s="1"/>
  <c r="AG234" i="3"/>
  <c r="AH234" i="3"/>
  <c r="D234" i="3"/>
  <c r="G234" i="3" s="1"/>
  <c r="F234" i="3" l="1"/>
  <c r="I234" i="3"/>
  <c r="J234" i="3"/>
  <c r="M234" i="3"/>
  <c r="N234" i="3" s="1"/>
  <c r="V234" i="3"/>
  <c r="A235" i="3"/>
  <c r="B235" i="3" s="1"/>
  <c r="L234" i="3" l="1"/>
  <c r="AD234" i="3"/>
  <c r="W234" i="3"/>
  <c r="AC235" i="3"/>
  <c r="AA235" i="3"/>
  <c r="Z235" i="3"/>
  <c r="P235" i="3"/>
  <c r="Q235" i="3" s="1"/>
  <c r="R235" i="3" s="1"/>
  <c r="S235" i="3" s="1"/>
  <c r="AD235" i="3"/>
  <c r="U234" i="3" l="1"/>
  <c r="Y233" i="3"/>
  <c r="T235" i="3"/>
  <c r="E235" i="3" l="1"/>
  <c r="H235" i="3" s="1"/>
  <c r="K235" i="3" s="1"/>
  <c r="AE235" i="3" s="1"/>
  <c r="AG235" i="3"/>
  <c r="D235" i="3"/>
  <c r="AH235" i="3"/>
  <c r="F235" i="3" l="1"/>
  <c r="G235" i="3"/>
  <c r="V235" i="3"/>
  <c r="A236" i="3"/>
  <c r="B236" i="3" s="1"/>
  <c r="AD236" i="3" l="1"/>
  <c r="P236" i="3"/>
  <c r="Q236" i="3" s="1"/>
  <c r="R236" i="3" s="1"/>
  <c r="S236" i="3" s="1"/>
  <c r="AA236" i="3"/>
  <c r="Z236" i="3"/>
  <c r="AC236" i="3"/>
  <c r="I235" i="3"/>
  <c r="W235" i="3" s="1"/>
  <c r="J235" i="3"/>
  <c r="M235" i="3"/>
  <c r="N235" i="3" s="1"/>
  <c r="T236" i="3" l="1"/>
  <c r="L235" i="3"/>
  <c r="U235" i="3" l="1"/>
  <c r="D236" i="3" s="1"/>
  <c r="AH236" i="3"/>
  <c r="AG236" i="3"/>
  <c r="Y234" i="3"/>
  <c r="E236" i="3" l="1"/>
  <c r="H236" i="3" s="1"/>
  <c r="K236" i="3" s="1"/>
  <c r="AE236" i="3" s="1"/>
  <c r="G236" i="3"/>
  <c r="F236" i="3" l="1"/>
  <c r="I236" i="3"/>
  <c r="J236" i="3"/>
  <c r="M236" i="3"/>
  <c r="N236" i="3" s="1"/>
  <c r="V236" i="3"/>
  <c r="A237" i="3"/>
  <c r="B237" i="3" s="1"/>
  <c r="W236" i="3" l="1"/>
  <c r="L236" i="3"/>
  <c r="P237" i="3"/>
  <c r="Q237" i="3" s="1"/>
  <c r="R237" i="3" s="1"/>
  <c r="S237" i="3" s="1"/>
  <c r="AA237" i="3"/>
  <c r="Z237" i="3"/>
  <c r="AC237" i="3"/>
  <c r="U236" i="3" l="1"/>
  <c r="Y235" i="3"/>
  <c r="T237" i="3"/>
  <c r="AH237" i="3" s="1"/>
  <c r="E237" i="3" l="1"/>
  <c r="H237" i="3" s="1"/>
  <c r="K237" i="3" s="1"/>
  <c r="AE237" i="3" s="1"/>
  <c r="AG237" i="3"/>
  <c r="D237" i="3"/>
  <c r="F237" i="3" l="1"/>
  <c r="G237" i="3"/>
  <c r="M237" i="3" s="1"/>
  <c r="N237" i="3" s="1"/>
  <c r="V237" i="3"/>
  <c r="A238" i="3"/>
  <c r="B238" i="3" s="1"/>
  <c r="I237" i="3" l="1"/>
  <c r="W237" i="3" s="1"/>
  <c r="J237" i="3"/>
  <c r="P238" i="3"/>
  <c r="Q238" i="3" s="1"/>
  <c r="R238" i="3" s="1"/>
  <c r="S238" i="3" s="1"/>
  <c r="Z238" i="3"/>
  <c r="AC238" i="3"/>
  <c r="AA238" i="3"/>
  <c r="L237" i="3" l="1"/>
  <c r="U237" i="3" s="1"/>
  <c r="AD237" i="3"/>
  <c r="T238" i="3"/>
  <c r="Y236" i="3" l="1"/>
  <c r="AG238" i="3"/>
  <c r="AH238" i="3"/>
  <c r="E238" i="3"/>
  <c r="H238" i="3" s="1"/>
  <c r="K238" i="3" s="1"/>
  <c r="AE238" i="3" s="1"/>
  <c r="D238" i="3"/>
  <c r="F238" i="3" l="1"/>
  <c r="G238" i="3"/>
  <c r="M238" i="3" s="1"/>
  <c r="N238" i="3" s="1"/>
  <c r="V238" i="3"/>
  <c r="A239" i="3"/>
  <c r="B239" i="3" s="1"/>
  <c r="I238" i="3" l="1"/>
  <c r="W238" i="3" s="1"/>
  <c r="J238" i="3"/>
  <c r="AD239" i="3"/>
  <c r="P239" i="3"/>
  <c r="Q239" i="3" s="1"/>
  <c r="R239" i="3" s="1"/>
  <c r="S239" i="3" s="1"/>
  <c r="AC239" i="3"/>
  <c r="Z239" i="3"/>
  <c r="AA239" i="3"/>
  <c r="L238" i="3" l="1"/>
  <c r="U238" i="3" s="1"/>
  <c r="AD238" i="3"/>
  <c r="T239" i="3"/>
  <c r="Y237" i="3" l="1"/>
  <c r="D239" i="3"/>
  <c r="G239" i="3" s="1"/>
  <c r="E239" i="3"/>
  <c r="H239" i="3" s="1"/>
  <c r="K239" i="3" s="1"/>
  <c r="AE239" i="3" s="1"/>
  <c r="AG239" i="3"/>
  <c r="AH239" i="3"/>
  <c r="F239" i="3" l="1"/>
  <c r="I239" i="3"/>
  <c r="J239" i="3"/>
  <c r="M239" i="3"/>
  <c r="N239" i="3" s="1"/>
  <c r="V239" i="3"/>
  <c r="A240" i="3"/>
  <c r="B240" i="3" s="1"/>
  <c r="W239" i="3" l="1"/>
  <c r="L239" i="3"/>
  <c r="Z240" i="3"/>
  <c r="P240" i="3"/>
  <c r="Q240" i="3" s="1"/>
  <c r="R240" i="3" s="1"/>
  <c r="S240" i="3" s="1"/>
  <c r="AD240" i="3"/>
  <c r="AA240" i="3"/>
  <c r="AC240" i="3"/>
  <c r="U239" i="3" l="1"/>
  <c r="Y238" i="3"/>
  <c r="T240" i="3"/>
  <c r="E240" i="3" l="1"/>
  <c r="H240" i="3" s="1"/>
  <c r="K240" i="3" s="1"/>
  <c r="AE240" i="3" s="1"/>
  <c r="D240" i="3"/>
  <c r="AG240" i="3"/>
  <c r="AH240" i="3"/>
  <c r="V240" i="3" l="1"/>
  <c r="A241" i="3"/>
  <c r="B241" i="3" s="1"/>
  <c r="F240" i="3"/>
  <c r="G240" i="3"/>
  <c r="I240" i="3" l="1"/>
  <c r="W240" i="3" s="1"/>
  <c r="J240" i="3"/>
  <c r="M240" i="3"/>
  <c r="N240" i="3" s="1"/>
  <c r="Z241" i="3"/>
  <c r="AD241" i="3"/>
  <c r="AC241" i="3"/>
  <c r="P241" i="3"/>
  <c r="Q241" i="3" s="1"/>
  <c r="R241" i="3" s="1"/>
  <c r="S241" i="3" s="1"/>
  <c r="AA241" i="3"/>
  <c r="T241" i="3" l="1"/>
  <c r="L240" i="3"/>
  <c r="AG241" i="3" l="1"/>
  <c r="AH241" i="3"/>
  <c r="U240" i="3"/>
  <c r="D241" i="3" s="1"/>
  <c r="Y239" i="3"/>
  <c r="G241" i="3" l="1"/>
  <c r="E241" i="3"/>
  <c r="H241" i="3" s="1"/>
  <c r="F241" i="3" l="1"/>
  <c r="I241" i="3"/>
  <c r="J241" i="3"/>
  <c r="M241" i="3"/>
  <c r="N241" i="3" s="1"/>
  <c r="K241" i="3"/>
  <c r="AE241" i="3" s="1"/>
  <c r="V241" i="3" l="1"/>
  <c r="W241" i="3" s="1"/>
  <c r="A242" i="3"/>
  <c r="B242" i="3" s="1"/>
  <c r="L241" i="3"/>
  <c r="U241" i="3" l="1"/>
  <c r="Y240" i="3"/>
  <c r="Z242" i="3"/>
  <c r="AA242" i="3"/>
  <c r="P242" i="3"/>
  <c r="Q242" i="3" s="1"/>
  <c r="R242" i="3" s="1"/>
  <c r="S242" i="3" s="1"/>
  <c r="AD242" i="3"/>
  <c r="AC242" i="3"/>
  <c r="T242" i="3" l="1"/>
  <c r="D242" i="3" s="1"/>
  <c r="E242" i="3" l="1"/>
  <c r="H242" i="3" s="1"/>
  <c r="K242" i="3" s="1"/>
  <c r="AE242" i="3" s="1"/>
  <c r="G242" i="3"/>
  <c r="AH242" i="3"/>
  <c r="AG242" i="3"/>
  <c r="F242" i="3" l="1"/>
  <c r="I242" i="3"/>
  <c r="J242" i="3"/>
  <c r="M242" i="3"/>
  <c r="N242" i="3" s="1"/>
  <c r="V242" i="3"/>
  <c r="A243" i="3"/>
  <c r="B243" i="3" s="1"/>
  <c r="W242" i="3" l="1"/>
  <c r="L242" i="3"/>
  <c r="AA243" i="3"/>
  <c r="AC243" i="3"/>
  <c r="Z243" i="3"/>
  <c r="P243" i="3"/>
  <c r="Q243" i="3" s="1"/>
  <c r="R243" i="3" s="1"/>
  <c r="S243" i="3" s="1"/>
  <c r="AD243" i="3"/>
  <c r="U242" i="3" l="1"/>
  <c r="Y241" i="3"/>
  <c r="T243" i="3"/>
  <c r="AH243" i="3" s="1"/>
  <c r="D243" i="3" l="1"/>
  <c r="G243" i="3" s="1"/>
  <c r="E243" i="3"/>
  <c r="H243" i="3" s="1"/>
  <c r="K243" i="3" s="1"/>
  <c r="AE243" i="3" s="1"/>
  <c r="AG243" i="3"/>
  <c r="F243" i="3" l="1"/>
  <c r="I243" i="3"/>
  <c r="J243" i="3"/>
  <c r="M243" i="3"/>
  <c r="N243" i="3" s="1"/>
  <c r="V243" i="3"/>
  <c r="A244" i="3"/>
  <c r="B244" i="3" s="1"/>
  <c r="W243" i="3" l="1"/>
  <c r="L243" i="3"/>
  <c r="AA244" i="3"/>
  <c r="P244" i="3"/>
  <c r="Q244" i="3" s="1"/>
  <c r="R244" i="3" s="1"/>
  <c r="S244" i="3" s="1"/>
  <c r="Z244" i="3"/>
  <c r="AC244" i="3"/>
  <c r="U243" i="3" l="1"/>
  <c r="Y242" i="3"/>
  <c r="T244" i="3"/>
  <c r="D244" i="3" l="1"/>
  <c r="G244" i="3" s="1"/>
  <c r="E244" i="3"/>
  <c r="H244" i="3" s="1"/>
  <c r="AG244" i="3"/>
  <c r="AH244" i="3"/>
  <c r="I244" i="3" l="1"/>
  <c r="J244" i="3"/>
  <c r="M244" i="3"/>
  <c r="N244" i="3" s="1"/>
  <c r="F244" i="3"/>
  <c r="K244" i="3"/>
  <c r="AE244" i="3" s="1"/>
  <c r="L244" i="3" l="1"/>
  <c r="AD244" i="3"/>
  <c r="V244" i="3"/>
  <c r="W244" i="3" s="1"/>
  <c r="A245" i="3"/>
  <c r="B245" i="3" s="1"/>
  <c r="U244" i="3" l="1"/>
  <c r="Y243" i="3"/>
  <c r="Z245" i="3"/>
  <c r="AD245" i="3"/>
  <c r="AA245" i="3"/>
  <c r="P245" i="3"/>
  <c r="Q245" i="3" s="1"/>
  <c r="R245" i="3" s="1"/>
  <c r="S245" i="3" s="1"/>
  <c r="AC245" i="3"/>
  <c r="T245" i="3" l="1"/>
  <c r="AG245" i="3" s="1"/>
  <c r="D245" i="3" l="1"/>
  <c r="G245" i="3" s="1"/>
  <c r="AH245" i="3"/>
  <c r="E245" i="3"/>
  <c r="H245" i="3" s="1"/>
  <c r="F245" i="3" l="1"/>
  <c r="I245" i="3"/>
  <c r="J245" i="3"/>
  <c r="M245" i="3"/>
  <c r="N245" i="3" s="1"/>
  <c r="K245" i="3"/>
  <c r="AE245" i="3" s="1"/>
  <c r="V245" i="3" l="1"/>
  <c r="W245" i="3" s="1"/>
  <c r="A246" i="3"/>
  <c r="B246" i="3" s="1"/>
  <c r="L245" i="3"/>
  <c r="U245" i="3" l="1"/>
  <c r="Y244" i="3"/>
  <c r="P246" i="3"/>
  <c r="Q246" i="3" s="1"/>
  <c r="R246" i="3" s="1"/>
  <c r="S246" i="3" s="1"/>
  <c r="AC246" i="3"/>
  <c r="Z246" i="3"/>
  <c r="AD246" i="3"/>
  <c r="AA246" i="3"/>
  <c r="T246" i="3" l="1"/>
  <c r="D246" i="3" s="1"/>
  <c r="E246" i="3" l="1"/>
  <c r="H246" i="3" s="1"/>
  <c r="K246" i="3" s="1"/>
  <c r="AE246" i="3" s="1"/>
  <c r="AG246" i="3"/>
  <c r="AH246" i="3"/>
  <c r="G246" i="3"/>
  <c r="F246" i="3" l="1"/>
  <c r="I246" i="3"/>
  <c r="J246" i="3"/>
  <c r="M246" i="3"/>
  <c r="N246" i="3" s="1"/>
  <c r="V246" i="3"/>
  <c r="A247" i="3"/>
  <c r="B247" i="3" s="1"/>
  <c r="W246" i="3" l="1"/>
  <c r="L246" i="3"/>
  <c r="P247" i="3"/>
  <c r="Q247" i="3" s="1"/>
  <c r="R247" i="3" s="1"/>
  <c r="S247" i="3" s="1"/>
  <c r="AA247" i="3"/>
  <c r="AC247" i="3"/>
  <c r="Z247" i="3"/>
  <c r="U246" i="3" l="1"/>
  <c r="Y245" i="3"/>
  <c r="T247" i="3"/>
  <c r="AG247" i="3" s="1"/>
  <c r="AH247" i="3" l="1"/>
  <c r="D247" i="3"/>
  <c r="E247" i="3"/>
  <c r="H247" i="3" s="1"/>
  <c r="K247" i="3" s="1"/>
  <c r="AE247" i="3" s="1"/>
  <c r="F247" i="3" l="1"/>
  <c r="G247" i="3"/>
  <c r="M247" i="3" s="1"/>
  <c r="N247" i="3" s="1"/>
  <c r="V247" i="3"/>
  <c r="A248" i="3"/>
  <c r="B248" i="3" s="1"/>
  <c r="I247" i="3" l="1"/>
  <c r="W247" i="3" s="1"/>
  <c r="J247" i="3"/>
  <c r="Z248" i="3"/>
  <c r="P248" i="3"/>
  <c r="Q248" i="3" s="1"/>
  <c r="R248" i="3" s="1"/>
  <c r="S248" i="3" s="1"/>
  <c r="AA248" i="3"/>
  <c r="AC248" i="3"/>
  <c r="L247" i="3" l="1"/>
  <c r="U247" i="3" s="1"/>
  <c r="AD247" i="3"/>
  <c r="T248" i="3"/>
  <c r="AG248" i="3" l="1"/>
  <c r="Y246" i="3"/>
  <c r="E248" i="3"/>
  <c r="H248" i="3" s="1"/>
  <c r="K248" i="3" s="1"/>
  <c r="AE248" i="3" s="1"/>
  <c r="AH248" i="3"/>
  <c r="D248" i="3"/>
  <c r="G248" i="3" s="1"/>
  <c r="F248" i="3" l="1"/>
  <c r="I248" i="3"/>
  <c r="J248" i="3"/>
  <c r="AD248" i="3" s="1"/>
  <c r="M248" i="3"/>
  <c r="N248" i="3" s="1"/>
  <c r="V248" i="3"/>
  <c r="A249" i="3"/>
  <c r="B249" i="3" s="1"/>
  <c r="W248" i="3" l="1"/>
  <c r="L248" i="3"/>
  <c r="AC249" i="3"/>
  <c r="P249" i="3"/>
  <c r="Q249" i="3" s="1"/>
  <c r="R249" i="3" s="1"/>
  <c r="S249" i="3" s="1"/>
  <c r="Z249" i="3"/>
  <c r="AD249" i="3"/>
  <c r="AA249" i="3"/>
  <c r="U248" i="3" l="1"/>
  <c r="Y247" i="3"/>
  <c r="T249" i="3"/>
  <c r="AG249" i="3" s="1"/>
  <c r="D249" i="3" l="1"/>
  <c r="G249" i="3" s="1"/>
  <c r="AH249" i="3"/>
  <c r="E249" i="3"/>
  <c r="H249" i="3" s="1"/>
  <c r="K249" i="3" s="1"/>
  <c r="AE249" i="3" s="1"/>
  <c r="F249" i="3" l="1"/>
  <c r="I249" i="3"/>
  <c r="J249" i="3"/>
  <c r="M249" i="3"/>
  <c r="N249" i="3" s="1"/>
  <c r="V249" i="3"/>
  <c r="A250" i="3"/>
  <c r="B250" i="3" s="1"/>
  <c r="W249" i="3" l="1"/>
  <c r="L249" i="3"/>
  <c r="AC250" i="3"/>
  <c r="AA250" i="3"/>
  <c r="P250" i="3"/>
  <c r="Q250" i="3" s="1"/>
  <c r="R250" i="3" s="1"/>
  <c r="S250" i="3" s="1"/>
  <c r="AD250" i="3"/>
  <c r="Z250" i="3"/>
  <c r="T250" i="3" l="1"/>
  <c r="AG250" i="3" s="1"/>
  <c r="U249" i="3"/>
  <c r="Y248" i="3"/>
  <c r="D250" i="3" l="1"/>
  <c r="E250" i="3"/>
  <c r="H250" i="3" s="1"/>
  <c r="AH250" i="3"/>
  <c r="F250" i="3" l="1"/>
  <c r="G250" i="3"/>
  <c r="K250" i="3"/>
  <c r="AE250" i="3" s="1"/>
  <c r="V250" i="3" l="1"/>
  <c r="A251" i="3"/>
  <c r="B251" i="3" s="1"/>
  <c r="I250" i="3"/>
  <c r="J250" i="3"/>
  <c r="M250" i="3"/>
  <c r="N250" i="3" s="1"/>
  <c r="W250" i="3" l="1"/>
  <c r="L250" i="3"/>
  <c r="P251" i="3"/>
  <c r="Q251" i="3" s="1"/>
  <c r="R251" i="3" s="1"/>
  <c r="S251" i="3" s="1"/>
  <c r="AC251" i="3"/>
  <c r="AA251" i="3"/>
  <c r="Z251" i="3"/>
  <c r="AD251" i="3"/>
  <c r="U250" i="3" l="1"/>
  <c r="Y249" i="3"/>
  <c r="T251" i="3"/>
  <c r="D251" i="3" l="1"/>
  <c r="G251" i="3" s="1"/>
  <c r="AG251" i="3"/>
  <c r="AH251" i="3"/>
  <c r="E251" i="3"/>
  <c r="H251" i="3" s="1"/>
  <c r="I251" i="3" l="1"/>
  <c r="J251" i="3"/>
  <c r="M251" i="3"/>
  <c r="N251" i="3" s="1"/>
  <c r="K251" i="3"/>
  <c r="AE251" i="3" s="1"/>
  <c r="F251" i="3"/>
  <c r="V251" i="3" l="1"/>
  <c r="W251" i="3" s="1"/>
  <c r="A252" i="3"/>
  <c r="B252" i="3" s="1"/>
  <c r="L251" i="3"/>
  <c r="U251" i="3" l="1"/>
  <c r="Y250" i="3"/>
  <c r="AD252" i="3"/>
  <c r="Z252" i="3"/>
  <c r="AA252" i="3"/>
  <c r="P252" i="3"/>
  <c r="Q252" i="3" s="1"/>
  <c r="R252" i="3" s="1"/>
  <c r="S252" i="3" s="1"/>
  <c r="AC252" i="3"/>
  <c r="T252" i="3" l="1"/>
  <c r="AH252" i="3" s="1"/>
  <c r="E252" i="3" l="1"/>
  <c r="H252" i="3" s="1"/>
  <c r="K252" i="3" s="1"/>
  <c r="AE252" i="3" s="1"/>
  <c r="AG252" i="3"/>
  <c r="D252" i="3"/>
  <c r="F252" i="3" l="1"/>
  <c r="G252" i="3"/>
  <c r="V252" i="3"/>
  <c r="A253" i="3"/>
  <c r="B253" i="3" s="1"/>
  <c r="AC253" i="3" l="1"/>
  <c r="AA253" i="3"/>
  <c r="AD253" i="3"/>
  <c r="P253" i="3"/>
  <c r="Q253" i="3" s="1"/>
  <c r="R253" i="3" s="1"/>
  <c r="S253" i="3" s="1"/>
  <c r="Z253" i="3"/>
  <c r="I252" i="3"/>
  <c r="W252" i="3" s="1"/>
  <c r="J252" i="3"/>
  <c r="M252" i="3"/>
  <c r="N252" i="3" s="1"/>
  <c r="L252" i="3" l="1"/>
  <c r="T253" i="3"/>
  <c r="AH253" i="3" l="1"/>
  <c r="U252" i="3"/>
  <c r="E253" i="3" s="1"/>
  <c r="H253" i="3" s="1"/>
  <c r="AG253" i="3"/>
  <c r="Y251" i="3"/>
  <c r="D253" i="3" l="1"/>
  <c r="F253" i="3" s="1"/>
  <c r="K253" i="3"/>
  <c r="AE253" i="3" s="1"/>
  <c r="G253" i="3" l="1"/>
  <c r="J253" i="3" s="1"/>
  <c r="V253" i="3"/>
  <c r="A254" i="3"/>
  <c r="B254" i="3" s="1"/>
  <c r="M253" i="3" l="1"/>
  <c r="N253" i="3" s="1"/>
  <c r="I253" i="3"/>
  <c r="W253" i="3" s="1"/>
  <c r="L253" i="3"/>
  <c r="AA254" i="3"/>
  <c r="AC254" i="3"/>
  <c r="P254" i="3"/>
  <c r="Q254" i="3" s="1"/>
  <c r="R254" i="3" s="1"/>
  <c r="S254" i="3" s="1"/>
  <c r="Z254" i="3"/>
  <c r="U253" i="3" l="1"/>
  <c r="Y252" i="3"/>
  <c r="T254" i="3"/>
  <c r="AH254" i="3" s="1"/>
  <c r="D254" i="3" l="1"/>
  <c r="G254" i="3" s="1"/>
  <c r="E254" i="3"/>
  <c r="H254" i="3" s="1"/>
  <c r="K254" i="3" s="1"/>
  <c r="AE254" i="3" s="1"/>
  <c r="AG254" i="3"/>
  <c r="F254" i="3" l="1"/>
  <c r="I254" i="3"/>
  <c r="J254" i="3"/>
  <c r="M254" i="3"/>
  <c r="N254" i="3" s="1"/>
  <c r="V254" i="3"/>
  <c r="A255" i="3"/>
  <c r="B255" i="3" s="1"/>
  <c r="W254" i="3" l="1"/>
  <c r="L254" i="3"/>
  <c r="AD254" i="3"/>
  <c r="AA255" i="3"/>
  <c r="AC255" i="3"/>
  <c r="AD255" i="3"/>
  <c r="Z255" i="3"/>
  <c r="P255" i="3"/>
  <c r="Q255" i="3" s="1"/>
  <c r="R255" i="3" s="1"/>
  <c r="S255" i="3" s="1"/>
  <c r="U254" i="3" l="1"/>
  <c r="Y253" i="3"/>
  <c r="T255" i="3"/>
  <c r="D255" i="3" l="1"/>
  <c r="G255" i="3" s="1"/>
  <c r="AG255" i="3"/>
  <c r="AH255" i="3"/>
  <c r="E255" i="3"/>
  <c r="H255" i="3" s="1"/>
  <c r="K255" i="3" s="1"/>
  <c r="AE255" i="3" s="1"/>
  <c r="F255" i="3" l="1"/>
  <c r="I255" i="3"/>
  <c r="J255" i="3"/>
  <c r="M255" i="3"/>
  <c r="N255" i="3" s="1"/>
  <c r="V255" i="3"/>
  <c r="A256" i="3"/>
  <c r="B256" i="3" s="1"/>
  <c r="W255" i="3" l="1"/>
  <c r="L255" i="3"/>
  <c r="AA256" i="3"/>
  <c r="AD256" i="3"/>
  <c r="P256" i="3"/>
  <c r="Q256" i="3" s="1"/>
  <c r="R256" i="3" s="1"/>
  <c r="S256" i="3" s="1"/>
  <c r="Z256" i="3"/>
  <c r="AC256" i="3"/>
  <c r="U255" i="3" l="1"/>
  <c r="Y254" i="3"/>
  <c r="T256" i="3"/>
  <c r="D256" i="3" l="1"/>
  <c r="G256" i="3" s="1"/>
  <c r="E256" i="3"/>
  <c r="H256" i="3" s="1"/>
  <c r="AH256" i="3"/>
  <c r="AG256" i="3"/>
  <c r="F256" i="3" l="1"/>
  <c r="I256" i="3"/>
  <c r="J256" i="3"/>
  <c r="M256" i="3"/>
  <c r="N256" i="3" s="1"/>
  <c r="K256" i="3"/>
  <c r="AE256" i="3" s="1"/>
  <c r="L256" i="3" l="1"/>
  <c r="V256" i="3"/>
  <c r="W256" i="3" s="1"/>
  <c r="A257" i="3"/>
  <c r="B257" i="3" s="1"/>
  <c r="U256" i="3" l="1"/>
  <c r="Y255" i="3"/>
  <c r="AC257" i="3"/>
  <c r="Z257" i="3"/>
  <c r="P257" i="3"/>
  <c r="Q257" i="3" s="1"/>
  <c r="R257" i="3" s="1"/>
  <c r="S257" i="3" s="1"/>
  <c r="AA257" i="3"/>
  <c r="T257" i="3" l="1"/>
  <c r="D257" i="3" s="1"/>
  <c r="E257" i="3" l="1"/>
  <c r="H257" i="3" s="1"/>
  <c r="K257" i="3" s="1"/>
  <c r="AE257" i="3" s="1"/>
  <c r="AG257" i="3"/>
  <c r="AH257" i="3"/>
  <c r="G257" i="3"/>
  <c r="F257" i="3" l="1"/>
  <c r="V257" i="3"/>
  <c r="A258" i="3"/>
  <c r="B258" i="3" s="1"/>
  <c r="I257" i="3"/>
  <c r="J257" i="3"/>
  <c r="AD257" i="3" s="1"/>
  <c r="M257" i="3"/>
  <c r="N257" i="3" s="1"/>
  <c r="W257" i="3" l="1"/>
  <c r="L257" i="3"/>
  <c r="AC258" i="3"/>
  <c r="Z258" i="3"/>
  <c r="P258" i="3"/>
  <c r="Q258" i="3" s="1"/>
  <c r="R258" i="3" s="1"/>
  <c r="S258" i="3" s="1"/>
  <c r="AA258" i="3"/>
  <c r="U257" i="3" l="1"/>
  <c r="Y256" i="3"/>
  <c r="T258" i="3"/>
  <c r="AG258" i="3" s="1"/>
  <c r="E258" i="3" l="1"/>
  <c r="H258" i="3" s="1"/>
  <c r="D258" i="3"/>
  <c r="AH258" i="3"/>
  <c r="F258" i="3" l="1"/>
  <c r="G258" i="3"/>
  <c r="K258" i="3"/>
  <c r="AE258" i="3" s="1"/>
  <c r="V258" i="3" l="1"/>
  <c r="A259" i="3"/>
  <c r="B259" i="3" s="1"/>
  <c r="I258" i="3"/>
  <c r="J258" i="3"/>
  <c r="AD258" i="3" s="1"/>
  <c r="M258" i="3"/>
  <c r="N258" i="3" s="1"/>
  <c r="L258" i="3" l="1"/>
  <c r="AC259" i="3"/>
  <c r="P259" i="3"/>
  <c r="Q259" i="3" s="1"/>
  <c r="R259" i="3" s="1"/>
  <c r="S259" i="3" s="1"/>
  <c r="Z259" i="3"/>
  <c r="AD259" i="3"/>
  <c r="AA259" i="3"/>
  <c r="W258" i="3"/>
  <c r="U258" i="3" l="1"/>
  <c r="Y257" i="3"/>
  <c r="T259" i="3"/>
  <c r="AH259" i="3" s="1"/>
  <c r="D259" i="3" l="1"/>
  <c r="G259" i="3" s="1"/>
  <c r="AG259" i="3"/>
  <c r="E259" i="3"/>
  <c r="H259" i="3" s="1"/>
  <c r="K259" i="3" s="1"/>
  <c r="AE259" i="3" s="1"/>
  <c r="F259" i="3" l="1"/>
  <c r="I259" i="3"/>
  <c r="J259" i="3"/>
  <c r="M259" i="3"/>
  <c r="N259" i="3" s="1"/>
  <c r="V259" i="3"/>
  <c r="A260" i="3"/>
  <c r="B260" i="3" s="1"/>
  <c r="W259" i="3" l="1"/>
  <c r="L259" i="3"/>
  <c r="AA260" i="3"/>
  <c r="P260" i="3"/>
  <c r="Q260" i="3" s="1"/>
  <c r="R260" i="3" s="1"/>
  <c r="S260" i="3" s="1"/>
  <c r="AD260" i="3"/>
  <c r="Z260" i="3"/>
  <c r="AC260" i="3"/>
  <c r="U259" i="3" l="1"/>
  <c r="Y258" i="3"/>
  <c r="T260" i="3"/>
  <c r="AH260" i="3" s="1"/>
  <c r="AG260" i="3" l="1"/>
  <c r="D260" i="3"/>
  <c r="E260" i="3"/>
  <c r="H260" i="3" s="1"/>
  <c r="K260" i="3" l="1"/>
  <c r="AE260" i="3" s="1"/>
  <c r="F260" i="3"/>
  <c r="G260" i="3"/>
  <c r="I260" i="3" l="1"/>
  <c r="J260" i="3"/>
  <c r="M260" i="3"/>
  <c r="N260" i="3" s="1"/>
  <c r="V260" i="3"/>
  <c r="A261" i="3"/>
  <c r="B261" i="3" s="1"/>
  <c r="W260" i="3" l="1"/>
  <c r="L260" i="3"/>
  <c r="Z261" i="3"/>
  <c r="AA261" i="3"/>
  <c r="AD261" i="3"/>
  <c r="P261" i="3"/>
  <c r="Q261" i="3" s="1"/>
  <c r="R261" i="3" s="1"/>
  <c r="S261" i="3" s="1"/>
  <c r="AC261" i="3"/>
  <c r="U260" i="3" l="1"/>
  <c r="Y259" i="3"/>
  <c r="T261" i="3"/>
  <c r="AH261" i="3" s="1"/>
  <c r="E261" i="3" l="1"/>
  <c r="H261" i="3" s="1"/>
  <c r="D261" i="3"/>
  <c r="AG261" i="3"/>
  <c r="K261" i="3" l="1"/>
  <c r="AE261" i="3" s="1"/>
  <c r="F261" i="3"/>
  <c r="G261" i="3"/>
  <c r="I261" i="3" l="1"/>
  <c r="J261" i="3"/>
  <c r="M261" i="3"/>
  <c r="N261" i="3" s="1"/>
  <c r="V261" i="3"/>
  <c r="A262" i="3"/>
  <c r="B262" i="3" s="1"/>
  <c r="W261" i="3" l="1"/>
  <c r="L261" i="3"/>
  <c r="AA262" i="3"/>
  <c r="Z262" i="3"/>
  <c r="P262" i="3"/>
  <c r="Q262" i="3" s="1"/>
  <c r="R262" i="3" s="1"/>
  <c r="S262" i="3" s="1"/>
  <c r="AC262" i="3"/>
  <c r="AD262" i="3"/>
  <c r="T262" i="3" l="1"/>
  <c r="AG262" i="3" s="1"/>
  <c r="U261" i="3"/>
  <c r="Y260" i="3"/>
  <c r="E262" i="3" l="1"/>
  <c r="H262" i="3" s="1"/>
  <c r="K262" i="3" s="1"/>
  <c r="AE262" i="3" s="1"/>
  <c r="AH262" i="3"/>
  <c r="D262" i="3"/>
  <c r="F262" i="3" l="1"/>
  <c r="G262" i="3"/>
  <c r="V262" i="3"/>
  <c r="A263" i="3"/>
  <c r="B263" i="3" s="1"/>
  <c r="P263" i="3" l="1"/>
  <c r="Q263" i="3" s="1"/>
  <c r="R263" i="3" s="1"/>
  <c r="S263" i="3" s="1"/>
  <c r="AA263" i="3"/>
  <c r="Z263" i="3"/>
  <c r="AD263" i="3"/>
  <c r="AC263" i="3"/>
  <c r="I262" i="3"/>
  <c r="W262" i="3" s="1"/>
  <c r="J262" i="3"/>
  <c r="M262" i="3"/>
  <c r="N262" i="3" s="1"/>
  <c r="L262" i="3" l="1"/>
  <c r="T263" i="3"/>
  <c r="U262" i="3" l="1"/>
  <c r="E263" i="3" s="1"/>
  <c r="H263" i="3" s="1"/>
  <c r="AH263" i="3"/>
  <c r="AG263" i="3"/>
  <c r="Y261" i="3"/>
  <c r="D263" i="3" l="1"/>
  <c r="G263" i="3" s="1"/>
  <c r="K263" i="3"/>
  <c r="AE263" i="3" s="1"/>
  <c r="F263" i="3" l="1"/>
  <c r="V263" i="3"/>
  <c r="A264" i="3"/>
  <c r="B264" i="3" s="1"/>
  <c r="I263" i="3"/>
  <c r="J263" i="3"/>
  <c r="M263" i="3"/>
  <c r="N263" i="3" s="1"/>
  <c r="W263" i="3" l="1"/>
  <c r="L263" i="3"/>
  <c r="P264" i="3"/>
  <c r="Q264" i="3" s="1"/>
  <c r="R264" i="3" s="1"/>
  <c r="S264" i="3" s="1"/>
  <c r="AA264" i="3"/>
  <c r="AC264" i="3"/>
  <c r="Z264" i="3"/>
  <c r="U263" i="3" l="1"/>
  <c r="Y262" i="3"/>
  <c r="T264" i="3"/>
  <c r="AH264" i="3" s="1"/>
  <c r="AG264" i="3" l="1"/>
  <c r="D264" i="3"/>
  <c r="G264" i="3" s="1"/>
  <c r="E264" i="3"/>
  <c r="H264" i="3" s="1"/>
  <c r="K264" i="3" l="1"/>
  <c r="AE264" i="3" s="1"/>
  <c r="I264" i="3"/>
  <c r="J264" i="3"/>
  <c r="AD264" i="3" s="1"/>
  <c r="M264" i="3"/>
  <c r="N264" i="3" s="1"/>
  <c r="F264" i="3"/>
  <c r="L264" i="3" l="1"/>
  <c r="V264" i="3"/>
  <c r="W264" i="3" s="1"/>
  <c r="A265" i="3"/>
  <c r="B265" i="3" s="1"/>
  <c r="U264" i="3" l="1"/>
  <c r="Y263" i="3"/>
  <c r="P265" i="3"/>
  <c r="Q265" i="3" s="1"/>
  <c r="R265" i="3" s="1"/>
  <c r="S265" i="3" s="1"/>
  <c r="AA265" i="3"/>
  <c r="AD265" i="3"/>
  <c r="Z265" i="3"/>
  <c r="AC265" i="3"/>
  <c r="T265" i="3" l="1"/>
  <c r="AG265" i="3" l="1"/>
  <c r="AH265" i="3"/>
  <c r="D265" i="3"/>
  <c r="E265" i="3"/>
  <c r="H265" i="3" s="1"/>
  <c r="F265" i="3" l="1"/>
  <c r="G265" i="3"/>
  <c r="K265" i="3"/>
  <c r="AE265" i="3" s="1"/>
  <c r="I265" i="3" l="1"/>
  <c r="J265" i="3"/>
  <c r="M265" i="3"/>
  <c r="N265" i="3" s="1"/>
  <c r="V265" i="3"/>
  <c r="A266" i="3"/>
  <c r="B266" i="3" s="1"/>
  <c r="L265" i="3" l="1"/>
  <c r="W265" i="3"/>
  <c r="P266" i="3"/>
  <c r="Q266" i="3" s="1"/>
  <c r="R266" i="3" s="1"/>
  <c r="S266" i="3" s="1"/>
  <c r="AC266" i="3"/>
  <c r="Z266" i="3"/>
  <c r="AA266" i="3"/>
  <c r="AD266" i="3"/>
  <c r="T266" i="3" l="1"/>
  <c r="U265" i="3"/>
  <c r="Y264" i="3"/>
  <c r="E266" i="3" l="1"/>
  <c r="H266" i="3" s="1"/>
  <c r="K266" i="3" s="1"/>
  <c r="AE266" i="3" s="1"/>
  <c r="AH266" i="3"/>
  <c r="AG266" i="3"/>
  <c r="D266" i="3"/>
  <c r="V266" i="3" l="1"/>
  <c r="A267" i="3"/>
  <c r="B267" i="3" s="1"/>
  <c r="F266" i="3"/>
  <c r="G266" i="3"/>
  <c r="I266" i="3" l="1"/>
  <c r="W266" i="3" s="1"/>
  <c r="J266" i="3"/>
  <c r="M266" i="3"/>
  <c r="N266" i="3" s="1"/>
  <c r="AC267" i="3"/>
  <c r="P267" i="3"/>
  <c r="Q267" i="3" s="1"/>
  <c r="R267" i="3" s="1"/>
  <c r="S267" i="3" s="1"/>
  <c r="AA267" i="3"/>
  <c r="Z267" i="3"/>
  <c r="T267" i="3" l="1"/>
  <c r="L266" i="3"/>
  <c r="AH267" i="3" l="1"/>
  <c r="AG267" i="3"/>
  <c r="U266" i="3"/>
  <c r="E267" i="3" s="1"/>
  <c r="H267" i="3" s="1"/>
  <c r="Y265" i="3"/>
  <c r="K267" i="3" l="1"/>
  <c r="AE267" i="3" s="1"/>
  <c r="D267" i="3"/>
  <c r="V267" i="3" l="1"/>
  <c r="A268" i="3"/>
  <c r="B268" i="3" s="1"/>
  <c r="F267" i="3"/>
  <c r="G267" i="3"/>
  <c r="I267" i="3" l="1"/>
  <c r="W267" i="3" s="1"/>
  <c r="J267" i="3"/>
  <c r="AD267" i="3" s="1"/>
  <c r="M267" i="3"/>
  <c r="N267" i="3" s="1"/>
  <c r="AC268" i="3"/>
  <c r="P268" i="3"/>
  <c r="Q268" i="3" s="1"/>
  <c r="R268" i="3" s="1"/>
  <c r="S268" i="3" s="1"/>
  <c r="Z268" i="3"/>
  <c r="AA268" i="3"/>
  <c r="T268" i="3" l="1"/>
  <c r="L267" i="3"/>
  <c r="U267" i="3" l="1"/>
  <c r="E268" i="3" s="1"/>
  <c r="H268" i="3" s="1"/>
  <c r="AH268" i="3"/>
  <c r="AG268" i="3"/>
  <c r="Y266" i="3"/>
  <c r="K268" i="3" l="1"/>
  <c r="AE268" i="3" s="1"/>
  <c r="D268" i="3"/>
  <c r="V268" i="3" l="1"/>
  <c r="A269" i="3"/>
  <c r="B269" i="3" s="1"/>
  <c r="F268" i="3"/>
  <c r="G268" i="3"/>
  <c r="I268" i="3" l="1"/>
  <c r="W268" i="3" s="1"/>
  <c r="J268" i="3"/>
  <c r="AD268" i="3" s="1"/>
  <c r="M268" i="3"/>
  <c r="N268" i="3" s="1"/>
  <c r="AD269" i="3"/>
  <c r="P269" i="3"/>
  <c r="Q269" i="3" s="1"/>
  <c r="R269" i="3" s="1"/>
  <c r="S269" i="3" s="1"/>
  <c r="AA269" i="3"/>
  <c r="Z269" i="3"/>
  <c r="AC269" i="3"/>
  <c r="T269" i="3" l="1"/>
  <c r="L268" i="3"/>
  <c r="U268" i="3" l="1"/>
  <c r="D269" i="3" s="1"/>
  <c r="AH269" i="3"/>
  <c r="AG269" i="3"/>
  <c r="Y267" i="3"/>
  <c r="G269" i="3" l="1"/>
  <c r="E269" i="3"/>
  <c r="H269" i="3" s="1"/>
  <c r="F269" i="3" l="1"/>
  <c r="I269" i="3"/>
  <c r="J269" i="3"/>
  <c r="M269" i="3"/>
  <c r="N269" i="3" s="1"/>
  <c r="K269" i="3"/>
  <c r="AE269" i="3" s="1"/>
  <c r="V269" i="3" l="1"/>
  <c r="W269" i="3" s="1"/>
  <c r="A270" i="3"/>
  <c r="B270" i="3" s="1"/>
  <c r="L269" i="3"/>
  <c r="U269" i="3" l="1"/>
  <c r="Y268" i="3"/>
  <c r="AA270" i="3"/>
  <c r="Z270" i="3"/>
  <c r="P270" i="3"/>
  <c r="Q270" i="3" s="1"/>
  <c r="R270" i="3" s="1"/>
  <c r="S270" i="3" s="1"/>
  <c r="AC270" i="3"/>
  <c r="AD270" i="3"/>
  <c r="T270" i="3" l="1"/>
  <c r="AG270" i="3" s="1"/>
  <c r="AH270" i="3" l="1"/>
  <c r="E270" i="3"/>
  <c r="H270" i="3" s="1"/>
  <c r="K270" i="3" s="1"/>
  <c r="AE270" i="3" s="1"/>
  <c r="D270" i="3"/>
  <c r="G270" i="3" s="1"/>
  <c r="F270" i="3" l="1"/>
  <c r="V270" i="3"/>
  <c r="A271" i="3"/>
  <c r="B271" i="3" s="1"/>
  <c r="I270" i="3"/>
  <c r="J270" i="3"/>
  <c r="M270" i="3"/>
  <c r="N270" i="3" s="1"/>
  <c r="L270" i="3" l="1"/>
  <c r="Z271" i="3"/>
  <c r="AA271" i="3"/>
  <c r="P271" i="3"/>
  <c r="Q271" i="3" s="1"/>
  <c r="R271" i="3" s="1"/>
  <c r="S271" i="3" s="1"/>
  <c r="AC271" i="3"/>
  <c r="AD271" i="3"/>
  <c r="W270" i="3"/>
  <c r="U270" i="3" l="1"/>
  <c r="Y269" i="3"/>
  <c r="T271" i="3"/>
  <c r="AH271" i="3" s="1"/>
  <c r="AG271" i="3" l="1"/>
  <c r="D271" i="3"/>
  <c r="E271" i="3"/>
  <c r="H271" i="3" s="1"/>
  <c r="K271" i="3" l="1"/>
  <c r="AE271" i="3" s="1"/>
  <c r="F271" i="3"/>
  <c r="G271" i="3"/>
  <c r="I271" i="3" l="1"/>
  <c r="J271" i="3"/>
  <c r="M271" i="3"/>
  <c r="N271" i="3" s="1"/>
  <c r="V271" i="3"/>
  <c r="A272" i="3"/>
  <c r="B272" i="3" s="1"/>
  <c r="W271" i="3" l="1"/>
  <c r="L271" i="3"/>
  <c r="AD272" i="3"/>
  <c r="Z272" i="3"/>
  <c r="AA272" i="3"/>
  <c r="P272" i="3"/>
  <c r="Q272" i="3" s="1"/>
  <c r="R272" i="3" s="1"/>
  <c r="S272" i="3" s="1"/>
  <c r="AC272" i="3"/>
  <c r="T272" i="3" l="1"/>
  <c r="U271" i="3"/>
  <c r="Y270" i="3"/>
  <c r="D272" i="3" l="1"/>
  <c r="G272" i="3" s="1"/>
  <c r="E272" i="3"/>
  <c r="H272" i="3" s="1"/>
  <c r="K272" i="3" s="1"/>
  <c r="AE272" i="3" s="1"/>
  <c r="AG272" i="3"/>
  <c r="AH272" i="3"/>
  <c r="F272" i="3" l="1"/>
  <c r="I272" i="3"/>
  <c r="J272" i="3"/>
  <c r="M272" i="3"/>
  <c r="N272" i="3" s="1"/>
  <c r="V272" i="3"/>
  <c r="A273" i="3"/>
  <c r="B273" i="3" s="1"/>
  <c r="W272" i="3" l="1"/>
  <c r="L272" i="3"/>
  <c r="AA273" i="3"/>
  <c r="P273" i="3"/>
  <c r="Q273" i="3" s="1"/>
  <c r="R273" i="3" s="1"/>
  <c r="S273" i="3" s="1"/>
  <c r="Z273" i="3"/>
  <c r="AC273" i="3"/>
  <c r="AD273" i="3"/>
  <c r="T273" i="3" l="1"/>
  <c r="AG273" i="3" s="1"/>
  <c r="U272" i="3"/>
  <c r="Y271" i="3"/>
  <c r="D273" i="3" l="1"/>
  <c r="G273" i="3" s="1"/>
  <c r="AH273" i="3"/>
  <c r="E273" i="3"/>
  <c r="H273" i="3" s="1"/>
  <c r="F273" i="3" l="1"/>
  <c r="I273" i="3"/>
  <c r="J273" i="3"/>
  <c r="M273" i="3"/>
  <c r="N273" i="3" s="1"/>
  <c r="K273" i="3"/>
  <c r="AE273" i="3" s="1"/>
  <c r="L273" i="3" l="1"/>
  <c r="V273" i="3"/>
  <c r="W273" i="3" s="1"/>
  <c r="A274" i="3"/>
  <c r="B274" i="3" s="1"/>
  <c r="P274" i="3" l="1"/>
  <c r="Q274" i="3" s="1"/>
  <c r="R274" i="3" s="1"/>
  <c r="S274" i="3" s="1"/>
  <c r="AC274" i="3"/>
  <c r="Z274" i="3"/>
  <c r="AA274" i="3"/>
  <c r="U273" i="3"/>
  <c r="Y272" i="3"/>
  <c r="T274" i="3" l="1"/>
  <c r="AG274" i="3" s="1"/>
  <c r="D274" i="3" l="1"/>
  <c r="G274" i="3" s="1"/>
  <c r="AH274" i="3"/>
  <c r="E274" i="3"/>
  <c r="H274" i="3" s="1"/>
  <c r="I274" i="3" l="1"/>
  <c r="J274" i="3"/>
  <c r="AD274" i="3" s="1"/>
  <c r="M274" i="3"/>
  <c r="N274" i="3" s="1"/>
  <c r="K274" i="3"/>
  <c r="AE274" i="3" s="1"/>
  <c r="F274" i="3"/>
  <c r="L274" i="3" l="1"/>
  <c r="V274" i="3"/>
  <c r="W274" i="3" s="1"/>
  <c r="A275" i="3"/>
  <c r="B275" i="3" s="1"/>
  <c r="U274" i="3" l="1"/>
  <c r="Y273" i="3"/>
  <c r="AA275" i="3"/>
  <c r="P275" i="3"/>
  <c r="Q275" i="3" s="1"/>
  <c r="R275" i="3" s="1"/>
  <c r="S275" i="3" s="1"/>
  <c r="AD275" i="3"/>
  <c r="Z275" i="3"/>
  <c r="AC275" i="3"/>
  <c r="T275" i="3" l="1"/>
  <c r="AH275" i="3" s="1"/>
  <c r="E275" i="3" l="1"/>
  <c r="H275" i="3" s="1"/>
  <c r="AG275" i="3"/>
  <c r="D275" i="3"/>
  <c r="F275" i="3" l="1"/>
  <c r="G275" i="3"/>
  <c r="K275" i="3"/>
  <c r="AE275" i="3" s="1"/>
  <c r="I275" i="3" l="1"/>
  <c r="J275" i="3"/>
  <c r="M275" i="3"/>
  <c r="N275" i="3" s="1"/>
  <c r="V275" i="3"/>
  <c r="A276" i="3"/>
  <c r="B276" i="3" s="1"/>
  <c r="W275" i="3" l="1"/>
  <c r="L275" i="3"/>
  <c r="AA276" i="3"/>
  <c r="Z276" i="3"/>
  <c r="P276" i="3"/>
  <c r="Q276" i="3" s="1"/>
  <c r="R276" i="3" s="1"/>
  <c r="S276" i="3" s="1"/>
  <c r="AC276" i="3"/>
  <c r="AD276" i="3"/>
  <c r="U275" i="3" l="1"/>
  <c r="Y274" i="3"/>
  <c r="T276" i="3"/>
  <c r="AH276" i="3" s="1"/>
  <c r="D276" i="3" l="1"/>
  <c r="AG276" i="3"/>
  <c r="E276" i="3"/>
  <c r="H276" i="3" s="1"/>
  <c r="F276" i="3" l="1"/>
  <c r="G276" i="3"/>
  <c r="K276" i="3"/>
  <c r="AE276" i="3" s="1"/>
  <c r="I276" i="3" l="1"/>
  <c r="J276" i="3"/>
  <c r="M276" i="3"/>
  <c r="N276" i="3" s="1"/>
  <c r="V276" i="3"/>
  <c r="A277" i="3"/>
  <c r="B277" i="3" s="1"/>
  <c r="W276" i="3" l="1"/>
  <c r="L276" i="3"/>
  <c r="P277" i="3"/>
  <c r="Q277" i="3" s="1"/>
  <c r="R277" i="3" s="1"/>
  <c r="S277" i="3" s="1"/>
  <c r="AC277" i="3"/>
  <c r="Z277" i="3"/>
  <c r="AA277" i="3"/>
  <c r="U276" i="3" l="1"/>
  <c r="Y275" i="3"/>
  <c r="T277" i="3"/>
  <c r="AG277" i="3" s="1"/>
  <c r="D277" i="3" l="1"/>
  <c r="G277" i="3" s="1"/>
  <c r="E277" i="3"/>
  <c r="H277" i="3" s="1"/>
  <c r="K277" i="3" s="1"/>
  <c r="AE277" i="3" s="1"/>
  <c r="AH277" i="3"/>
  <c r="F277" i="3" l="1"/>
  <c r="V277" i="3"/>
  <c r="A278" i="3"/>
  <c r="B278" i="3" s="1"/>
  <c r="I277" i="3"/>
  <c r="J277" i="3"/>
  <c r="AD277" i="3" s="1"/>
  <c r="M277" i="3"/>
  <c r="N277" i="3" s="1"/>
  <c r="W277" i="3" l="1"/>
  <c r="L277" i="3"/>
  <c r="AC278" i="3"/>
  <c r="Z278" i="3"/>
  <c r="P278" i="3"/>
  <c r="Q278" i="3" s="1"/>
  <c r="R278" i="3" s="1"/>
  <c r="S278" i="3" s="1"/>
  <c r="AA278" i="3"/>
  <c r="T278" i="3" l="1"/>
  <c r="U277" i="3"/>
  <c r="Y276" i="3"/>
  <c r="E278" i="3" l="1"/>
  <c r="H278" i="3" s="1"/>
  <c r="K278" i="3" s="1"/>
  <c r="AE278" i="3" s="1"/>
  <c r="D278" i="3"/>
  <c r="AH278" i="3"/>
  <c r="AG278" i="3"/>
  <c r="V278" i="3" l="1"/>
  <c r="A279" i="3"/>
  <c r="B279" i="3" s="1"/>
  <c r="F278" i="3"/>
  <c r="G278" i="3"/>
  <c r="I278" i="3" l="1"/>
  <c r="W278" i="3" s="1"/>
  <c r="J278" i="3"/>
  <c r="AD278" i="3" s="1"/>
  <c r="M278" i="3"/>
  <c r="N278" i="3" s="1"/>
  <c r="P279" i="3"/>
  <c r="Q279" i="3" s="1"/>
  <c r="R279" i="3" s="1"/>
  <c r="S279" i="3" s="1"/>
  <c r="AA279" i="3"/>
  <c r="AD279" i="3"/>
  <c r="Z279" i="3"/>
  <c r="AC279" i="3"/>
  <c r="T279" i="3" l="1"/>
  <c r="L278" i="3"/>
  <c r="U278" i="3" l="1"/>
  <c r="D279" i="3" s="1"/>
  <c r="AG279" i="3"/>
  <c r="AH279" i="3"/>
  <c r="Y277" i="3"/>
  <c r="G279" i="3" l="1"/>
  <c r="E279" i="3"/>
  <c r="H279" i="3" s="1"/>
  <c r="I279" i="3" l="1"/>
  <c r="J279" i="3"/>
  <c r="M279" i="3"/>
  <c r="N279" i="3" s="1"/>
  <c r="F279" i="3"/>
  <c r="K279" i="3"/>
  <c r="AE279" i="3" s="1"/>
  <c r="V279" i="3" l="1"/>
  <c r="W279" i="3" s="1"/>
  <c r="A280" i="3"/>
  <c r="B280" i="3" s="1"/>
  <c r="L279" i="3"/>
  <c r="U279" i="3" l="1"/>
  <c r="Y278" i="3"/>
  <c r="AA280" i="3"/>
  <c r="P280" i="3"/>
  <c r="Q280" i="3" s="1"/>
  <c r="R280" i="3" s="1"/>
  <c r="S280" i="3" s="1"/>
  <c r="AD280" i="3"/>
  <c r="AC280" i="3"/>
  <c r="Z280" i="3"/>
  <c r="T280" i="3" l="1"/>
  <c r="AH280" i="3" s="1"/>
  <c r="D280" i="3" l="1"/>
  <c r="G280" i="3" s="1"/>
  <c r="E280" i="3"/>
  <c r="H280" i="3" s="1"/>
  <c r="K280" i="3" s="1"/>
  <c r="AE280" i="3" s="1"/>
  <c r="AG280" i="3"/>
  <c r="F280" i="3" l="1"/>
  <c r="I280" i="3"/>
  <c r="J280" i="3"/>
  <c r="M280" i="3"/>
  <c r="N280" i="3" s="1"/>
  <c r="V280" i="3"/>
  <c r="A281" i="3"/>
  <c r="B281" i="3" s="1"/>
  <c r="L280" i="3" l="1"/>
  <c r="W280" i="3"/>
  <c r="AC281" i="3"/>
  <c r="AA281" i="3"/>
  <c r="P281" i="3"/>
  <c r="Q281" i="3" s="1"/>
  <c r="R281" i="3" s="1"/>
  <c r="S281" i="3" s="1"/>
  <c r="AD281" i="3"/>
  <c r="Z281" i="3"/>
  <c r="T281" i="3" l="1"/>
  <c r="AG281" i="3" s="1"/>
  <c r="U280" i="3"/>
  <c r="Y279" i="3"/>
  <c r="D281" i="3" l="1"/>
  <c r="E281" i="3"/>
  <c r="H281" i="3" s="1"/>
  <c r="AH281" i="3"/>
  <c r="F281" i="3" l="1"/>
  <c r="G281" i="3"/>
  <c r="K281" i="3"/>
  <c r="AE281" i="3" s="1"/>
  <c r="I281" i="3" l="1"/>
  <c r="J281" i="3"/>
  <c r="M281" i="3"/>
  <c r="N281" i="3" s="1"/>
  <c r="V281" i="3"/>
  <c r="A282" i="3"/>
  <c r="B282" i="3" s="1"/>
  <c r="W281" i="3" l="1"/>
  <c r="L281" i="3"/>
  <c r="AC282" i="3"/>
  <c r="Z282" i="3"/>
  <c r="AD282" i="3"/>
  <c r="P282" i="3"/>
  <c r="Q282" i="3" s="1"/>
  <c r="R282" i="3" s="1"/>
  <c r="S282" i="3" s="1"/>
  <c r="AA282" i="3"/>
  <c r="U281" i="3" l="1"/>
  <c r="Y280" i="3"/>
  <c r="T282" i="3"/>
  <c r="D282" i="3" l="1"/>
  <c r="G282" i="3" s="1"/>
  <c r="E282" i="3"/>
  <c r="H282" i="3" s="1"/>
  <c r="AH282" i="3"/>
  <c r="AG282" i="3"/>
  <c r="F282" i="3" l="1"/>
  <c r="I282" i="3"/>
  <c r="J282" i="3"/>
  <c r="M282" i="3"/>
  <c r="N282" i="3" s="1"/>
  <c r="K282" i="3"/>
  <c r="AE282" i="3" s="1"/>
  <c r="V282" i="3" l="1"/>
  <c r="W282" i="3" s="1"/>
  <c r="A283" i="3"/>
  <c r="B283" i="3" s="1"/>
  <c r="L282" i="3"/>
  <c r="U282" i="3" l="1"/>
  <c r="Y281" i="3"/>
  <c r="Z283" i="3"/>
  <c r="AC283" i="3"/>
  <c r="AD283" i="3"/>
  <c r="P283" i="3"/>
  <c r="Q283" i="3" s="1"/>
  <c r="R283" i="3" s="1"/>
  <c r="S283" i="3" s="1"/>
  <c r="AA283" i="3"/>
  <c r="T283" i="3" l="1"/>
  <c r="AH283" i="3" s="1"/>
  <c r="AG283" i="3" l="1"/>
  <c r="E283" i="3"/>
  <c r="H283" i="3" s="1"/>
  <c r="K283" i="3" s="1"/>
  <c r="AE283" i="3" s="1"/>
  <c r="D283" i="3"/>
  <c r="F283" i="3" l="1"/>
  <c r="G283" i="3"/>
  <c r="J283" i="3" s="1"/>
  <c r="V283" i="3"/>
  <c r="A284" i="3"/>
  <c r="B284" i="3" s="1"/>
  <c r="M283" i="3" l="1"/>
  <c r="N283" i="3" s="1"/>
  <c r="I283" i="3"/>
  <c r="W283" i="3" s="1"/>
  <c r="L283" i="3"/>
  <c r="AC284" i="3"/>
  <c r="AA284" i="3"/>
  <c r="P284" i="3"/>
  <c r="Q284" i="3" s="1"/>
  <c r="R284" i="3" s="1"/>
  <c r="S284" i="3" s="1"/>
  <c r="Z284" i="3"/>
  <c r="T284" i="3" l="1"/>
  <c r="AH284" i="3" s="1"/>
  <c r="U283" i="3"/>
  <c r="Y282" i="3"/>
  <c r="AG284" i="3" l="1"/>
  <c r="D284" i="3"/>
  <c r="E284" i="3"/>
  <c r="H284" i="3" s="1"/>
  <c r="F284" i="3" l="1"/>
  <c r="G284" i="3"/>
  <c r="K284" i="3"/>
  <c r="AE284" i="3" s="1"/>
  <c r="V284" i="3" l="1"/>
  <c r="A285" i="3"/>
  <c r="B285" i="3" s="1"/>
  <c r="I284" i="3"/>
  <c r="J284" i="3"/>
  <c r="AD284" i="3" s="1"/>
  <c r="M284" i="3"/>
  <c r="N284" i="3" s="1"/>
  <c r="W284" i="3" l="1"/>
  <c r="L284" i="3"/>
  <c r="AD285" i="3"/>
  <c r="AA285" i="3"/>
  <c r="P285" i="3"/>
  <c r="Q285" i="3" s="1"/>
  <c r="R285" i="3" s="1"/>
  <c r="S285" i="3" s="1"/>
  <c r="Z285" i="3"/>
  <c r="AC285" i="3"/>
  <c r="U284" i="3" l="1"/>
  <c r="Y283" i="3"/>
  <c r="T285" i="3"/>
  <c r="E285" i="3" l="1"/>
  <c r="H285" i="3" s="1"/>
  <c r="K285" i="3" s="1"/>
  <c r="AE285" i="3" s="1"/>
  <c r="AH285" i="3"/>
  <c r="D285" i="3"/>
  <c r="G285" i="3" s="1"/>
  <c r="AG285" i="3"/>
  <c r="F285" i="3" l="1"/>
  <c r="V285" i="3"/>
  <c r="A286" i="3"/>
  <c r="B286" i="3" s="1"/>
  <c r="I285" i="3"/>
  <c r="J285" i="3"/>
  <c r="M285" i="3"/>
  <c r="N285" i="3" s="1"/>
  <c r="W285" i="3" l="1"/>
  <c r="L285" i="3"/>
  <c r="AA286" i="3"/>
  <c r="P286" i="3"/>
  <c r="Q286" i="3" s="1"/>
  <c r="R286" i="3" s="1"/>
  <c r="S286" i="3" s="1"/>
  <c r="AD286" i="3"/>
  <c r="AC286" i="3"/>
  <c r="Z286" i="3"/>
  <c r="T286" i="3" l="1"/>
  <c r="AH286" i="3" s="1"/>
  <c r="U285" i="3"/>
  <c r="Y284" i="3"/>
  <c r="D286" i="3" l="1"/>
  <c r="G286" i="3" s="1"/>
  <c r="AG286" i="3"/>
  <c r="E286" i="3"/>
  <c r="H286" i="3" s="1"/>
  <c r="F286" i="3" l="1"/>
  <c r="I286" i="3"/>
  <c r="J286" i="3"/>
  <c r="M286" i="3"/>
  <c r="N286" i="3" s="1"/>
  <c r="K286" i="3"/>
  <c r="AE286" i="3" s="1"/>
  <c r="V286" i="3" l="1"/>
  <c r="W286" i="3" s="1"/>
  <c r="A287" i="3"/>
  <c r="B287" i="3" s="1"/>
  <c r="L286" i="3"/>
  <c r="U286" i="3" l="1"/>
  <c r="Y285" i="3"/>
  <c r="P287" i="3"/>
  <c r="Q287" i="3" s="1"/>
  <c r="R287" i="3" s="1"/>
  <c r="S287" i="3" s="1"/>
  <c r="AA287" i="3"/>
  <c r="Z287" i="3"/>
  <c r="AC287" i="3"/>
  <c r="T287" i="3" l="1"/>
  <c r="D287" i="3" s="1"/>
  <c r="G287" i="3" l="1"/>
  <c r="AH287" i="3"/>
  <c r="AG287" i="3"/>
  <c r="E287" i="3"/>
  <c r="H287" i="3" s="1"/>
  <c r="F287" i="3" l="1"/>
  <c r="K287" i="3"/>
  <c r="AE287" i="3" s="1"/>
  <c r="I287" i="3"/>
  <c r="J287" i="3"/>
  <c r="AD287" i="3" s="1"/>
  <c r="M287" i="3"/>
  <c r="N287" i="3" s="1"/>
  <c r="L287" i="3" l="1"/>
  <c r="V287" i="3"/>
  <c r="W287" i="3" s="1"/>
  <c r="A288" i="3"/>
  <c r="B288" i="3" s="1"/>
  <c r="U287" i="3" l="1"/>
  <c r="Y286" i="3"/>
  <c r="P288" i="3"/>
  <c r="Q288" i="3" s="1"/>
  <c r="R288" i="3" s="1"/>
  <c r="S288" i="3" s="1"/>
  <c r="AA288" i="3"/>
  <c r="AC288" i="3"/>
  <c r="Z288" i="3"/>
  <c r="T288" i="3" l="1"/>
  <c r="D288" i="3" s="1"/>
  <c r="AG288" i="3" l="1"/>
  <c r="AH288" i="3"/>
  <c r="E288" i="3"/>
  <c r="H288" i="3" s="1"/>
  <c r="K288" i="3" s="1"/>
  <c r="AE288" i="3" s="1"/>
  <c r="G288" i="3"/>
  <c r="F288" i="3" l="1"/>
  <c r="I288" i="3"/>
  <c r="J288" i="3"/>
  <c r="AD288" i="3" s="1"/>
  <c r="M288" i="3"/>
  <c r="N288" i="3" s="1"/>
  <c r="V288" i="3"/>
  <c r="A289" i="3"/>
  <c r="B289" i="3" s="1"/>
  <c r="W288" i="3" l="1"/>
  <c r="L288" i="3"/>
  <c r="AD289" i="3"/>
  <c r="P289" i="3"/>
  <c r="Q289" i="3" s="1"/>
  <c r="R289" i="3" s="1"/>
  <c r="S289" i="3" s="1"/>
  <c r="AA289" i="3"/>
  <c r="AC289" i="3"/>
  <c r="Z289" i="3"/>
  <c r="T289" i="3" l="1"/>
  <c r="U288" i="3"/>
  <c r="Y287" i="3"/>
  <c r="E289" i="3" l="1"/>
  <c r="H289" i="3" s="1"/>
  <c r="K289" i="3" s="1"/>
  <c r="AE289" i="3" s="1"/>
  <c r="AH289" i="3"/>
  <c r="AG289" i="3"/>
  <c r="D289" i="3"/>
  <c r="V289" i="3" l="1"/>
  <c r="A290" i="3"/>
  <c r="B290" i="3" s="1"/>
  <c r="F289" i="3"/>
  <c r="G289" i="3"/>
  <c r="I289" i="3" l="1"/>
  <c r="W289" i="3" s="1"/>
  <c r="J289" i="3"/>
  <c r="M289" i="3"/>
  <c r="N289" i="3" s="1"/>
  <c r="AA290" i="3"/>
  <c r="AC290" i="3"/>
  <c r="Z290" i="3"/>
  <c r="P290" i="3"/>
  <c r="Q290" i="3" s="1"/>
  <c r="R290" i="3" s="1"/>
  <c r="S290" i="3" s="1"/>
  <c r="AD290" i="3"/>
  <c r="T290" i="3" l="1"/>
  <c r="L289" i="3"/>
  <c r="U289" i="3" l="1"/>
  <c r="E290" i="3" s="1"/>
  <c r="H290" i="3" s="1"/>
  <c r="AH290" i="3"/>
  <c r="AG290" i="3"/>
  <c r="Y288" i="3"/>
  <c r="D290" i="3" l="1"/>
  <c r="G290" i="3" s="1"/>
  <c r="K290" i="3"/>
  <c r="AE290" i="3" s="1"/>
  <c r="F290" i="3" l="1"/>
  <c r="I290" i="3"/>
  <c r="J290" i="3"/>
  <c r="M290" i="3"/>
  <c r="N290" i="3" s="1"/>
  <c r="V290" i="3"/>
  <c r="A291" i="3"/>
  <c r="B291" i="3" s="1"/>
  <c r="L290" i="3" l="1"/>
  <c r="W290" i="3"/>
  <c r="P291" i="3"/>
  <c r="Q291" i="3" s="1"/>
  <c r="R291" i="3" s="1"/>
  <c r="S291" i="3" s="1"/>
  <c r="AD291" i="3"/>
  <c r="Z291" i="3"/>
  <c r="AA291" i="3"/>
  <c r="AC291" i="3"/>
  <c r="U290" i="3" l="1"/>
  <c r="Y289" i="3"/>
  <c r="T291" i="3"/>
  <c r="AG291" i="3" s="1"/>
  <c r="D291" i="3" l="1"/>
  <c r="E291" i="3"/>
  <c r="H291" i="3" s="1"/>
  <c r="AH291" i="3"/>
  <c r="K291" i="3" l="1"/>
  <c r="AE291" i="3" s="1"/>
  <c r="F291" i="3"/>
  <c r="G291" i="3"/>
  <c r="I291" i="3" l="1"/>
  <c r="J291" i="3"/>
  <c r="M291" i="3"/>
  <c r="N291" i="3" s="1"/>
  <c r="V291" i="3"/>
  <c r="A292" i="3"/>
  <c r="B292" i="3" s="1"/>
  <c r="W291" i="3" l="1"/>
  <c r="L291" i="3"/>
  <c r="Z292" i="3"/>
  <c r="AC292" i="3"/>
  <c r="AD292" i="3"/>
  <c r="AA292" i="3"/>
  <c r="P292" i="3"/>
  <c r="Q292" i="3" s="1"/>
  <c r="R292" i="3" s="1"/>
  <c r="S292" i="3" s="1"/>
  <c r="U291" i="3" l="1"/>
  <c r="Y290" i="3"/>
  <c r="T292" i="3"/>
  <c r="E292" i="3" l="1"/>
  <c r="H292" i="3" s="1"/>
  <c r="K292" i="3" s="1"/>
  <c r="AE292" i="3" s="1"/>
  <c r="D292" i="3"/>
  <c r="AG292" i="3"/>
  <c r="AH292" i="3"/>
  <c r="V292" i="3" l="1"/>
  <c r="A293" i="3"/>
  <c r="B293" i="3" s="1"/>
  <c r="F292" i="3"/>
  <c r="G292" i="3"/>
  <c r="I292" i="3" l="1"/>
  <c r="W292" i="3" s="1"/>
  <c r="J292" i="3"/>
  <c r="M292" i="3"/>
  <c r="N292" i="3" s="1"/>
  <c r="Z293" i="3"/>
  <c r="AC293" i="3"/>
  <c r="AD293" i="3"/>
  <c r="P293" i="3"/>
  <c r="Q293" i="3" s="1"/>
  <c r="R293" i="3" s="1"/>
  <c r="S293" i="3" s="1"/>
  <c r="AA293" i="3"/>
  <c r="L292" i="3" l="1"/>
  <c r="T293" i="3"/>
  <c r="U292" i="3" l="1"/>
  <c r="E293" i="3" s="1"/>
  <c r="H293" i="3" s="1"/>
  <c r="AH293" i="3"/>
  <c r="AG293" i="3"/>
  <c r="Y291" i="3"/>
  <c r="K293" i="3" l="1"/>
  <c r="AE293" i="3" s="1"/>
  <c r="D293" i="3"/>
  <c r="V293" i="3" l="1"/>
  <c r="A294" i="3"/>
  <c r="B294" i="3" s="1"/>
  <c r="F293" i="3"/>
  <c r="G293" i="3"/>
  <c r="I293" i="3" l="1"/>
  <c r="W293" i="3" s="1"/>
  <c r="J293" i="3"/>
  <c r="M293" i="3"/>
  <c r="N293" i="3" s="1"/>
  <c r="AA294" i="3"/>
  <c r="P294" i="3"/>
  <c r="Q294" i="3" s="1"/>
  <c r="R294" i="3" s="1"/>
  <c r="S294" i="3" s="1"/>
  <c r="Z294" i="3"/>
  <c r="AC294" i="3"/>
  <c r="L293" i="3" l="1"/>
  <c r="T294" i="3"/>
  <c r="AG294" i="3" l="1"/>
  <c r="U293" i="3"/>
  <c r="E294" i="3" s="1"/>
  <c r="H294" i="3" s="1"/>
  <c r="AH294" i="3"/>
  <c r="Y292" i="3"/>
  <c r="D294" i="3" l="1"/>
  <c r="G294" i="3" s="1"/>
  <c r="K294" i="3"/>
  <c r="AE294" i="3" s="1"/>
  <c r="F294" i="3" l="1"/>
  <c r="I294" i="3"/>
  <c r="J294" i="3"/>
  <c r="AD294" i="3" s="1"/>
  <c r="M294" i="3"/>
  <c r="N294" i="3" s="1"/>
  <c r="V294" i="3"/>
  <c r="A295" i="3"/>
  <c r="B295" i="3" s="1"/>
  <c r="L294" i="3" l="1"/>
  <c r="W294" i="3"/>
  <c r="AA295" i="3"/>
  <c r="AD295" i="3"/>
  <c r="P295" i="3"/>
  <c r="Q295" i="3" s="1"/>
  <c r="R295" i="3" s="1"/>
  <c r="S295" i="3" s="1"/>
  <c r="AC295" i="3"/>
  <c r="Z295" i="3"/>
  <c r="U294" i="3" l="1"/>
  <c r="Y293" i="3"/>
  <c r="T295" i="3"/>
  <c r="AG295" i="3" s="1"/>
  <c r="D295" i="3" l="1"/>
  <c r="AH295" i="3"/>
  <c r="E295" i="3"/>
  <c r="H295" i="3" s="1"/>
  <c r="F295" i="3" l="1"/>
  <c r="G295" i="3"/>
  <c r="K295" i="3"/>
  <c r="AE295" i="3" s="1"/>
  <c r="V295" i="3" l="1"/>
  <c r="A296" i="3"/>
  <c r="B296" i="3" s="1"/>
  <c r="I295" i="3"/>
  <c r="J295" i="3"/>
  <c r="M295" i="3"/>
  <c r="N295" i="3" s="1"/>
  <c r="L295" i="3" l="1"/>
  <c r="AC296" i="3"/>
  <c r="Z296" i="3"/>
  <c r="AD296" i="3"/>
  <c r="P296" i="3"/>
  <c r="Q296" i="3" s="1"/>
  <c r="R296" i="3" s="1"/>
  <c r="S296" i="3" s="1"/>
  <c r="AA296" i="3"/>
  <c r="W295" i="3"/>
  <c r="T296" i="3" l="1"/>
  <c r="U295" i="3"/>
  <c r="Y294" i="3"/>
  <c r="D296" i="3" l="1"/>
  <c r="G296" i="3" s="1"/>
  <c r="AG296" i="3"/>
  <c r="AH296" i="3"/>
  <c r="E296" i="3"/>
  <c r="H296" i="3" s="1"/>
  <c r="F296" i="3" l="1"/>
  <c r="I296" i="3"/>
  <c r="J296" i="3"/>
  <c r="M296" i="3"/>
  <c r="N296" i="3" s="1"/>
  <c r="K296" i="3"/>
  <c r="AE296" i="3" s="1"/>
  <c r="V296" i="3" l="1"/>
  <c r="W296" i="3" s="1"/>
  <c r="A297" i="3"/>
  <c r="B297" i="3" s="1"/>
  <c r="L296" i="3"/>
  <c r="U296" i="3" l="1"/>
  <c r="Y295" i="3"/>
  <c r="AA297" i="3"/>
  <c r="P297" i="3"/>
  <c r="Q297" i="3" s="1"/>
  <c r="R297" i="3" s="1"/>
  <c r="S297" i="3" s="1"/>
  <c r="Z297" i="3"/>
  <c r="AC297" i="3"/>
  <c r="T297" i="3" l="1"/>
  <c r="E297" i="3" s="1"/>
  <c r="H297" i="3" s="1"/>
  <c r="D297" i="3" l="1"/>
  <c r="F297" i="3" s="1"/>
  <c r="AG297" i="3"/>
  <c r="K297" i="3"/>
  <c r="AE297" i="3" s="1"/>
  <c r="AH297" i="3"/>
  <c r="G297" i="3" l="1"/>
  <c r="M297" i="3" s="1"/>
  <c r="N297" i="3" s="1"/>
  <c r="V297" i="3"/>
  <c r="A298" i="3"/>
  <c r="B298" i="3" s="1"/>
  <c r="J297" i="3" l="1"/>
  <c r="I297" i="3"/>
  <c r="W297" i="3" s="1"/>
  <c r="Z298" i="3"/>
  <c r="P298" i="3"/>
  <c r="Q298" i="3" s="1"/>
  <c r="R298" i="3" s="1"/>
  <c r="S298" i="3" s="1"/>
  <c r="AA298" i="3"/>
  <c r="AC298" i="3"/>
  <c r="L297" i="3" l="1"/>
  <c r="U297" i="3" s="1"/>
  <c r="AD297" i="3"/>
  <c r="T298" i="3"/>
  <c r="Y296" i="3" l="1"/>
  <c r="E298" i="3"/>
  <c r="H298" i="3" s="1"/>
  <c r="K298" i="3" s="1"/>
  <c r="AE298" i="3" s="1"/>
  <c r="AH298" i="3"/>
  <c r="D298" i="3"/>
  <c r="AG298" i="3"/>
  <c r="F298" i="3" l="1"/>
  <c r="G298" i="3"/>
  <c r="V298" i="3"/>
  <c r="A299" i="3"/>
  <c r="B299" i="3" s="1"/>
  <c r="I298" i="3" l="1"/>
  <c r="W298" i="3" s="1"/>
  <c r="J298" i="3"/>
  <c r="AD298" i="3" s="1"/>
  <c r="M298" i="3"/>
  <c r="N298" i="3" s="1"/>
  <c r="Z299" i="3"/>
  <c r="AD299" i="3"/>
  <c r="P299" i="3"/>
  <c r="Q299" i="3" s="1"/>
  <c r="R299" i="3" s="1"/>
  <c r="S299" i="3" s="1"/>
  <c r="AA299" i="3"/>
  <c r="AC299" i="3"/>
  <c r="L298" i="3" l="1"/>
  <c r="T299" i="3"/>
  <c r="AG299" i="3" l="1"/>
  <c r="U298" i="3"/>
  <c r="E299" i="3" s="1"/>
  <c r="H299" i="3" s="1"/>
  <c r="AH299" i="3"/>
  <c r="Y297" i="3"/>
  <c r="D299" i="3" l="1"/>
  <c r="G299" i="3" s="1"/>
  <c r="K299" i="3"/>
  <c r="AE299" i="3" s="1"/>
  <c r="F299" i="3" l="1"/>
  <c r="I299" i="3"/>
  <c r="J299" i="3"/>
  <c r="M299" i="3"/>
  <c r="N299" i="3" s="1"/>
  <c r="V299" i="3"/>
  <c r="A300" i="3"/>
  <c r="B300" i="3" s="1"/>
  <c r="W299" i="3" l="1"/>
  <c r="L299" i="3"/>
  <c r="Z300" i="3"/>
  <c r="P300" i="3"/>
  <c r="Q300" i="3" s="1"/>
  <c r="R300" i="3" s="1"/>
  <c r="S300" i="3" s="1"/>
  <c r="AD300" i="3"/>
  <c r="AA300" i="3"/>
  <c r="AC300" i="3"/>
  <c r="U299" i="3" l="1"/>
  <c r="Y298" i="3"/>
  <c r="T300" i="3"/>
  <c r="E300" i="3" l="1"/>
  <c r="H300" i="3" s="1"/>
  <c r="K300" i="3" s="1"/>
  <c r="AE300" i="3" s="1"/>
  <c r="AH300" i="3"/>
  <c r="AG300" i="3"/>
  <c r="D300" i="3"/>
  <c r="F300" i="3" l="1"/>
  <c r="G300" i="3"/>
  <c r="V300" i="3"/>
  <c r="A301" i="3"/>
  <c r="B301" i="3" s="1"/>
  <c r="I300" i="3" l="1"/>
  <c r="W300" i="3" s="1"/>
  <c r="J300" i="3"/>
  <c r="M300" i="3"/>
  <c r="N300" i="3" s="1"/>
  <c r="AC301" i="3"/>
  <c r="Z301" i="3"/>
  <c r="AD301" i="3"/>
  <c r="AA301" i="3"/>
  <c r="P301" i="3"/>
  <c r="Q301" i="3" s="1"/>
  <c r="R301" i="3" s="1"/>
  <c r="S301" i="3" s="1"/>
  <c r="L300" i="3" l="1"/>
  <c r="T301" i="3"/>
  <c r="AH301" i="3" l="1"/>
  <c r="U300" i="3"/>
  <c r="D301" i="3" s="1"/>
  <c r="AG301" i="3"/>
  <c r="Y299" i="3"/>
  <c r="E301" i="3" l="1"/>
  <c r="H301" i="3" s="1"/>
  <c r="K301" i="3" s="1"/>
  <c r="AE301" i="3" s="1"/>
  <c r="G301" i="3"/>
  <c r="F301" i="3" l="1"/>
  <c r="I301" i="3"/>
  <c r="J301" i="3"/>
  <c r="M301" i="3"/>
  <c r="N301" i="3" s="1"/>
  <c r="V301" i="3"/>
  <c r="A302" i="3"/>
  <c r="B302" i="3" s="1"/>
  <c r="W301" i="3" l="1"/>
  <c r="L301" i="3"/>
  <c r="P302" i="3"/>
  <c r="Q302" i="3" s="1"/>
  <c r="R302" i="3" s="1"/>
  <c r="S302" i="3" s="1"/>
  <c r="AA302" i="3"/>
  <c r="AC302" i="3"/>
  <c r="AD302" i="3"/>
  <c r="Z302" i="3"/>
  <c r="U301" i="3" l="1"/>
  <c r="Y300" i="3"/>
  <c r="T302" i="3"/>
  <c r="AG302" i="3" s="1"/>
  <c r="AH302" i="3" l="1"/>
  <c r="D302" i="3"/>
  <c r="E302" i="3"/>
  <c r="H302" i="3" s="1"/>
  <c r="K302" i="3" s="1"/>
  <c r="AE302" i="3" s="1"/>
  <c r="F302" i="3" l="1"/>
  <c r="G302" i="3"/>
  <c r="M302" i="3" s="1"/>
  <c r="N302" i="3" s="1"/>
  <c r="V302" i="3"/>
  <c r="A303" i="3"/>
  <c r="B303" i="3" s="1"/>
  <c r="I302" i="3" l="1"/>
  <c r="W302" i="3" s="1"/>
  <c r="J302" i="3"/>
  <c r="L302" i="3" s="1"/>
  <c r="AD303" i="3"/>
  <c r="Z303" i="3"/>
  <c r="P303" i="3"/>
  <c r="Q303" i="3" s="1"/>
  <c r="R303" i="3" s="1"/>
  <c r="S303" i="3" s="1"/>
  <c r="AA303" i="3"/>
  <c r="AC303" i="3"/>
  <c r="T303" i="3" l="1"/>
  <c r="U302" i="3"/>
  <c r="Y301" i="3"/>
  <c r="E303" i="3" l="1"/>
  <c r="H303" i="3" s="1"/>
  <c r="K303" i="3" s="1"/>
  <c r="AE303" i="3" s="1"/>
  <c r="D303" i="3"/>
  <c r="G303" i="3" s="1"/>
  <c r="AH303" i="3"/>
  <c r="AG303" i="3"/>
  <c r="F303" i="3" l="1"/>
  <c r="I303" i="3"/>
  <c r="J303" i="3"/>
  <c r="M303" i="3"/>
  <c r="N303" i="3" s="1"/>
  <c r="V303" i="3"/>
  <c r="A304" i="3"/>
  <c r="B304" i="3" s="1"/>
  <c r="W303" i="3" l="1"/>
  <c r="L303" i="3"/>
  <c r="Z304" i="3"/>
  <c r="P304" i="3"/>
  <c r="Q304" i="3" s="1"/>
  <c r="R304" i="3" s="1"/>
  <c r="S304" i="3" s="1"/>
  <c r="AC304" i="3"/>
  <c r="AA304" i="3"/>
  <c r="U303" i="3" l="1"/>
  <c r="Y302" i="3"/>
  <c r="T304" i="3"/>
  <c r="AH304" i="3" s="1"/>
  <c r="AG304" i="3" l="1"/>
  <c r="D304" i="3"/>
  <c r="G304" i="3" s="1"/>
  <c r="E304" i="3"/>
  <c r="H304" i="3" s="1"/>
  <c r="K304" i="3" s="1"/>
  <c r="AE304" i="3" s="1"/>
  <c r="F304" i="3" l="1"/>
  <c r="I304" i="3"/>
  <c r="J304" i="3"/>
  <c r="AD304" i="3" s="1"/>
  <c r="M304" i="3"/>
  <c r="N304" i="3" s="1"/>
  <c r="V304" i="3"/>
  <c r="A305" i="3"/>
  <c r="B305" i="3" s="1"/>
  <c r="W304" i="3" l="1"/>
  <c r="L304" i="3"/>
  <c r="Z305" i="3"/>
  <c r="AA305" i="3"/>
  <c r="P305" i="3"/>
  <c r="Q305" i="3" s="1"/>
  <c r="R305" i="3" s="1"/>
  <c r="S305" i="3" s="1"/>
  <c r="AC305" i="3"/>
  <c r="AD305" i="3"/>
  <c r="U304" i="3" l="1"/>
  <c r="Y303" i="3"/>
  <c r="T305" i="3"/>
  <c r="AG305" i="3" s="1"/>
  <c r="AH305" i="3" l="1"/>
  <c r="E305" i="3"/>
  <c r="H305" i="3" s="1"/>
  <c r="K305" i="3" s="1"/>
  <c r="AE305" i="3" s="1"/>
  <c r="D305" i="3"/>
  <c r="V305" i="3" l="1"/>
  <c r="A306" i="3"/>
  <c r="B306" i="3" s="1"/>
  <c r="F305" i="3"/>
  <c r="G305" i="3"/>
  <c r="I305" i="3" l="1"/>
  <c r="W305" i="3" s="1"/>
  <c r="J305" i="3"/>
  <c r="M305" i="3"/>
  <c r="N305" i="3" s="1"/>
  <c r="AA306" i="3"/>
  <c r="Z306" i="3"/>
  <c r="P306" i="3"/>
  <c r="Q306" i="3" s="1"/>
  <c r="R306" i="3" s="1"/>
  <c r="S306" i="3" s="1"/>
  <c r="AC306" i="3"/>
  <c r="AD306" i="3"/>
  <c r="T306" i="3" l="1"/>
  <c r="L305" i="3"/>
  <c r="U305" i="3" l="1"/>
  <c r="E306" i="3" s="1"/>
  <c r="H306" i="3" s="1"/>
  <c r="AH306" i="3"/>
  <c r="AG306" i="3"/>
  <c r="Y304" i="3"/>
  <c r="D306" i="3" l="1"/>
  <c r="G306" i="3" s="1"/>
  <c r="K306" i="3"/>
  <c r="AE306" i="3" s="1"/>
  <c r="F306" i="3" l="1"/>
  <c r="I306" i="3"/>
  <c r="J306" i="3"/>
  <c r="M306" i="3"/>
  <c r="N306" i="3" s="1"/>
  <c r="V306" i="3"/>
  <c r="A307" i="3"/>
  <c r="B307" i="3" s="1"/>
  <c r="W306" i="3" l="1"/>
  <c r="L306" i="3"/>
  <c r="AC307" i="3"/>
  <c r="P307" i="3"/>
  <c r="Q307" i="3" s="1"/>
  <c r="R307" i="3" s="1"/>
  <c r="S307" i="3" s="1"/>
  <c r="AA307" i="3"/>
  <c r="Z307" i="3"/>
  <c r="T307" i="3" l="1"/>
  <c r="AH307" i="3" s="1"/>
  <c r="U306" i="3"/>
  <c r="Y305" i="3"/>
  <c r="D307" i="3" l="1"/>
  <c r="E307" i="3"/>
  <c r="H307" i="3" s="1"/>
  <c r="AG307" i="3"/>
  <c r="F307" i="3" l="1"/>
  <c r="G307" i="3"/>
  <c r="K307" i="3"/>
  <c r="AE307" i="3" s="1"/>
  <c r="I307" i="3" l="1"/>
  <c r="J307" i="3"/>
  <c r="AD307" i="3" s="1"/>
  <c r="M307" i="3"/>
  <c r="N307" i="3" s="1"/>
  <c r="V307" i="3"/>
  <c r="A308" i="3"/>
  <c r="B308" i="3" s="1"/>
  <c r="L307" i="3" l="1"/>
  <c r="Z308" i="3"/>
  <c r="AA308" i="3"/>
  <c r="P308" i="3"/>
  <c r="Q308" i="3" s="1"/>
  <c r="R308" i="3" s="1"/>
  <c r="S308" i="3" s="1"/>
  <c r="AC308" i="3"/>
  <c r="W307" i="3"/>
  <c r="T308" i="3" l="1"/>
  <c r="U307" i="3"/>
  <c r="Y306" i="3"/>
  <c r="E308" i="3" l="1"/>
  <c r="H308" i="3" s="1"/>
  <c r="K308" i="3" s="1"/>
  <c r="AE308" i="3" s="1"/>
  <c r="AH308" i="3"/>
  <c r="AG308" i="3"/>
  <c r="D308" i="3"/>
  <c r="F308" i="3" l="1"/>
  <c r="G308" i="3"/>
  <c r="V308" i="3"/>
  <c r="A309" i="3"/>
  <c r="B309" i="3" s="1"/>
  <c r="I308" i="3" l="1"/>
  <c r="W308" i="3" s="1"/>
  <c r="J308" i="3"/>
  <c r="AD308" i="3" s="1"/>
  <c r="M308" i="3"/>
  <c r="N308" i="3" s="1"/>
  <c r="AC309" i="3"/>
  <c r="AD309" i="3"/>
  <c r="P309" i="3"/>
  <c r="Q309" i="3" s="1"/>
  <c r="R309" i="3" s="1"/>
  <c r="S309" i="3" s="1"/>
  <c r="AA309" i="3"/>
  <c r="Z309" i="3"/>
  <c r="T309" i="3" l="1"/>
  <c r="L308" i="3"/>
  <c r="AG309" i="3" l="1"/>
  <c r="AH309" i="3"/>
  <c r="U308" i="3"/>
  <c r="E309" i="3" s="1"/>
  <c r="H309" i="3" s="1"/>
  <c r="Y307" i="3"/>
  <c r="D309" i="3" l="1"/>
  <c r="G309" i="3" s="1"/>
  <c r="K309" i="3"/>
  <c r="AE309" i="3" s="1"/>
  <c r="F309" i="3" l="1"/>
  <c r="V309" i="3"/>
  <c r="A310" i="3"/>
  <c r="B310" i="3" s="1"/>
  <c r="I309" i="3"/>
  <c r="J309" i="3"/>
  <c r="M309" i="3"/>
  <c r="N309" i="3" s="1"/>
  <c r="W309" i="3" l="1"/>
  <c r="L309" i="3"/>
  <c r="AC310" i="3"/>
  <c r="AD310" i="3"/>
  <c r="Z310" i="3"/>
  <c r="AA310" i="3"/>
  <c r="P310" i="3"/>
  <c r="Q310" i="3" s="1"/>
  <c r="R310" i="3" s="1"/>
  <c r="S310" i="3" s="1"/>
  <c r="T310" i="3" l="1"/>
  <c r="AH310" i="3" s="1"/>
  <c r="U309" i="3"/>
  <c r="Y308" i="3"/>
  <c r="AG310" i="3" l="1"/>
  <c r="E310" i="3"/>
  <c r="H310" i="3" s="1"/>
  <c r="D310" i="3"/>
  <c r="K310" i="3" l="1"/>
  <c r="AE310" i="3" s="1"/>
  <c r="F310" i="3"/>
  <c r="G310" i="3"/>
  <c r="I310" i="3" l="1"/>
  <c r="J310" i="3"/>
  <c r="M310" i="3"/>
  <c r="N310" i="3" s="1"/>
  <c r="V310" i="3"/>
  <c r="A311" i="3"/>
  <c r="B311" i="3" s="1"/>
  <c r="W310" i="3" l="1"/>
  <c r="L310" i="3"/>
  <c r="AA311" i="3"/>
  <c r="Z311" i="3"/>
  <c r="P311" i="3"/>
  <c r="Q311" i="3" s="1"/>
  <c r="R311" i="3" s="1"/>
  <c r="S311" i="3" s="1"/>
  <c r="AC311" i="3"/>
  <c r="AD311" i="3"/>
  <c r="T311" i="3" l="1"/>
  <c r="AH311" i="3" s="1"/>
  <c r="U310" i="3"/>
  <c r="Y309" i="3"/>
  <c r="D311" i="3" l="1"/>
  <c r="G311" i="3" s="1"/>
  <c r="E311" i="3"/>
  <c r="H311" i="3" s="1"/>
  <c r="AG311" i="3"/>
  <c r="I311" i="3" l="1"/>
  <c r="J311" i="3"/>
  <c r="M311" i="3"/>
  <c r="N311" i="3" s="1"/>
  <c r="K311" i="3"/>
  <c r="AE311" i="3" s="1"/>
  <c r="F311" i="3"/>
  <c r="V311" i="3" l="1"/>
  <c r="W311" i="3" s="1"/>
  <c r="A312" i="3"/>
  <c r="B312" i="3" s="1"/>
  <c r="L311" i="3"/>
  <c r="U311" i="3" l="1"/>
  <c r="Y310" i="3"/>
  <c r="AA312" i="3"/>
  <c r="Z312" i="3"/>
  <c r="AD312" i="3"/>
  <c r="P312" i="3"/>
  <c r="Q312" i="3" s="1"/>
  <c r="R312" i="3" s="1"/>
  <c r="S312" i="3" s="1"/>
  <c r="AC312" i="3"/>
  <c r="T312" i="3" l="1"/>
  <c r="AG312" i="3" s="1"/>
  <c r="E312" i="3" l="1"/>
  <c r="H312" i="3" s="1"/>
  <c r="K312" i="3" s="1"/>
  <c r="AE312" i="3" s="1"/>
  <c r="D312" i="3"/>
  <c r="AH312" i="3"/>
  <c r="V312" i="3" l="1"/>
  <c r="A313" i="3"/>
  <c r="B313" i="3" s="1"/>
  <c r="F312" i="3"/>
  <c r="G312" i="3"/>
  <c r="I312" i="3" l="1"/>
  <c r="W312" i="3" s="1"/>
  <c r="J312" i="3"/>
  <c r="M312" i="3"/>
  <c r="N312" i="3" s="1"/>
  <c r="Z313" i="3"/>
  <c r="AC313" i="3"/>
  <c r="P313" i="3"/>
  <c r="Q313" i="3" s="1"/>
  <c r="R313" i="3" s="1"/>
  <c r="S313" i="3" s="1"/>
  <c r="AD313" i="3"/>
  <c r="AA313" i="3"/>
  <c r="T313" i="3" l="1"/>
  <c r="L312" i="3"/>
  <c r="AG313" i="3" l="1"/>
  <c r="AH313" i="3"/>
  <c r="U312" i="3"/>
  <c r="D313" i="3" s="1"/>
  <c r="Y311" i="3"/>
  <c r="E313" i="3" l="1"/>
  <c r="H313" i="3" s="1"/>
  <c r="K313" i="3" s="1"/>
  <c r="AE313" i="3" s="1"/>
  <c r="G313" i="3"/>
  <c r="F313" i="3" l="1"/>
  <c r="I313" i="3"/>
  <c r="J313" i="3"/>
  <c r="M313" i="3"/>
  <c r="N313" i="3" s="1"/>
  <c r="V313" i="3"/>
  <c r="A314" i="3"/>
  <c r="B314" i="3" s="1"/>
  <c r="Z314" i="3" l="1"/>
  <c r="AC314" i="3"/>
  <c r="AA314" i="3"/>
  <c r="P314" i="3"/>
  <c r="Q314" i="3" s="1"/>
  <c r="R314" i="3" s="1"/>
  <c r="S314" i="3" s="1"/>
  <c r="L313" i="3"/>
  <c r="W313" i="3"/>
  <c r="U313" i="3" l="1"/>
  <c r="Y312" i="3"/>
  <c r="T314" i="3"/>
  <c r="D314" i="3" l="1"/>
  <c r="G314" i="3" s="1"/>
  <c r="AG314" i="3"/>
  <c r="AH314" i="3"/>
  <c r="E314" i="3"/>
  <c r="H314" i="3" s="1"/>
  <c r="F314" i="3" l="1"/>
  <c r="I314" i="3"/>
  <c r="J314" i="3"/>
  <c r="AD314" i="3" s="1"/>
  <c r="M314" i="3"/>
  <c r="N314" i="3" s="1"/>
  <c r="K314" i="3"/>
  <c r="AE314" i="3" s="1"/>
  <c r="V314" i="3" l="1"/>
  <c r="W314" i="3" s="1"/>
  <c r="A315" i="3"/>
  <c r="B315" i="3" s="1"/>
  <c r="L314" i="3"/>
  <c r="U314" i="3" l="1"/>
  <c r="Y313" i="3"/>
  <c r="Z315" i="3"/>
  <c r="P315" i="3"/>
  <c r="Q315" i="3" s="1"/>
  <c r="R315" i="3" s="1"/>
  <c r="S315" i="3" s="1"/>
  <c r="AD315" i="3"/>
  <c r="AA315" i="3"/>
  <c r="AC315" i="3"/>
  <c r="T315" i="3" l="1"/>
  <c r="D315" i="3" s="1"/>
  <c r="AH315" i="3" l="1"/>
  <c r="AG315" i="3"/>
  <c r="E315" i="3"/>
  <c r="H315" i="3" s="1"/>
  <c r="K315" i="3" s="1"/>
  <c r="AE315" i="3" s="1"/>
  <c r="G315" i="3"/>
  <c r="F315" i="3" l="1"/>
  <c r="I315" i="3"/>
  <c r="J315" i="3"/>
  <c r="M315" i="3"/>
  <c r="N315" i="3" s="1"/>
  <c r="V315" i="3"/>
  <c r="A316" i="3"/>
  <c r="B316" i="3" s="1"/>
  <c r="W315" i="3" l="1"/>
  <c r="L315" i="3"/>
  <c r="Z316" i="3"/>
  <c r="AC316" i="3"/>
  <c r="P316" i="3"/>
  <c r="Q316" i="3" s="1"/>
  <c r="R316" i="3" s="1"/>
  <c r="S316" i="3" s="1"/>
  <c r="AD316" i="3"/>
  <c r="AA316" i="3"/>
  <c r="U315" i="3" l="1"/>
  <c r="Y314" i="3"/>
  <c r="T316" i="3"/>
  <c r="AG316" i="3" s="1"/>
  <c r="D316" i="3" l="1"/>
  <c r="AH316" i="3"/>
  <c r="E316" i="3"/>
  <c r="H316" i="3" s="1"/>
  <c r="F316" i="3" l="1"/>
  <c r="G316" i="3"/>
  <c r="K316" i="3"/>
  <c r="AE316" i="3" s="1"/>
  <c r="V316" i="3" l="1"/>
  <c r="A317" i="3"/>
  <c r="B317" i="3" s="1"/>
  <c r="I316" i="3"/>
  <c r="J316" i="3"/>
  <c r="M316" i="3"/>
  <c r="N316" i="3" s="1"/>
  <c r="W316" i="3" l="1"/>
  <c r="L316" i="3"/>
  <c r="Z317" i="3"/>
  <c r="AA317" i="3"/>
  <c r="P317" i="3"/>
  <c r="Q317" i="3" s="1"/>
  <c r="R317" i="3" s="1"/>
  <c r="S317" i="3" s="1"/>
  <c r="AC317" i="3"/>
  <c r="T317" i="3" l="1"/>
  <c r="AG317" i="3" s="1"/>
  <c r="U316" i="3"/>
  <c r="Y315" i="3"/>
  <c r="E317" i="3" l="1"/>
  <c r="H317" i="3" s="1"/>
  <c r="K317" i="3" s="1"/>
  <c r="AE317" i="3" s="1"/>
  <c r="D317" i="3"/>
  <c r="AH317" i="3"/>
  <c r="V317" i="3" l="1"/>
  <c r="A318" i="3"/>
  <c r="B318" i="3" s="1"/>
  <c r="F317" i="3"/>
  <c r="G317" i="3"/>
  <c r="I317" i="3" l="1"/>
  <c r="W317" i="3" s="1"/>
  <c r="J317" i="3"/>
  <c r="AD317" i="3" s="1"/>
  <c r="M317" i="3"/>
  <c r="N317" i="3" s="1"/>
  <c r="AA318" i="3"/>
  <c r="P318" i="3"/>
  <c r="Q318" i="3" s="1"/>
  <c r="R318" i="3" s="1"/>
  <c r="S318" i="3" s="1"/>
  <c r="Z318" i="3"/>
  <c r="AC318" i="3"/>
  <c r="T318" i="3" l="1"/>
  <c r="L317" i="3"/>
  <c r="AH318" i="3" l="1"/>
  <c r="AG318" i="3"/>
  <c r="U317" i="3"/>
  <c r="E318" i="3" s="1"/>
  <c r="H318" i="3" s="1"/>
  <c r="Y316" i="3"/>
  <c r="K318" i="3" l="1"/>
  <c r="AE318" i="3" s="1"/>
  <c r="D318" i="3"/>
  <c r="V318" i="3" l="1"/>
  <c r="A319" i="3"/>
  <c r="B319" i="3" s="1"/>
  <c r="F318" i="3"/>
  <c r="G318" i="3"/>
  <c r="I318" i="3" l="1"/>
  <c r="W318" i="3" s="1"/>
  <c r="J318" i="3"/>
  <c r="AD318" i="3" s="1"/>
  <c r="M318" i="3"/>
  <c r="N318" i="3" s="1"/>
  <c r="Z319" i="3"/>
  <c r="AC319" i="3"/>
  <c r="P319" i="3"/>
  <c r="Q319" i="3" s="1"/>
  <c r="R319" i="3" s="1"/>
  <c r="S319" i="3" s="1"/>
  <c r="AD319" i="3"/>
  <c r="AA319" i="3"/>
  <c r="T319" i="3" l="1"/>
  <c r="L318" i="3"/>
  <c r="U318" i="3" l="1"/>
  <c r="E319" i="3" s="1"/>
  <c r="H319" i="3" s="1"/>
  <c r="AH319" i="3"/>
  <c r="AG319" i="3"/>
  <c r="Y317" i="3"/>
  <c r="D319" i="3" l="1"/>
  <c r="G319" i="3" s="1"/>
  <c r="K319" i="3"/>
  <c r="AE319" i="3" s="1"/>
  <c r="F319" i="3" l="1"/>
  <c r="V319" i="3"/>
  <c r="A320" i="3"/>
  <c r="B320" i="3" s="1"/>
  <c r="I319" i="3"/>
  <c r="J319" i="3"/>
  <c r="M319" i="3"/>
  <c r="N319" i="3" s="1"/>
  <c r="L319" i="3" l="1"/>
  <c r="W319" i="3"/>
  <c r="AA320" i="3"/>
  <c r="AC320" i="3"/>
  <c r="P320" i="3"/>
  <c r="Q320" i="3" s="1"/>
  <c r="R320" i="3" s="1"/>
  <c r="S320" i="3" s="1"/>
  <c r="Z320" i="3"/>
  <c r="AD320" i="3"/>
  <c r="U319" i="3" l="1"/>
  <c r="Y318" i="3"/>
  <c r="T320" i="3"/>
  <c r="AH320" i="3" s="1"/>
  <c r="D320" i="3" l="1"/>
  <c r="AG320" i="3"/>
  <c r="E320" i="3"/>
  <c r="H320" i="3" s="1"/>
  <c r="F320" i="3" l="1"/>
  <c r="G320" i="3"/>
  <c r="K320" i="3"/>
  <c r="AE320" i="3" s="1"/>
  <c r="I320" i="3" l="1"/>
  <c r="J320" i="3"/>
  <c r="M320" i="3"/>
  <c r="N320" i="3" s="1"/>
  <c r="V320" i="3"/>
  <c r="A321" i="3"/>
  <c r="B321" i="3" s="1"/>
  <c r="W320" i="3" l="1"/>
  <c r="L320" i="3"/>
  <c r="AC321" i="3"/>
  <c r="AA321" i="3"/>
  <c r="Z321" i="3"/>
  <c r="P321" i="3"/>
  <c r="Q321" i="3" s="1"/>
  <c r="R321" i="3" s="1"/>
  <c r="S321" i="3" s="1"/>
  <c r="AD321" i="3"/>
  <c r="U320" i="3" l="1"/>
  <c r="Y319" i="3"/>
  <c r="T321" i="3"/>
  <c r="D321" i="3" l="1"/>
  <c r="G321" i="3" s="1"/>
  <c r="AH321" i="3"/>
  <c r="E321" i="3"/>
  <c r="H321" i="3" s="1"/>
  <c r="AG321" i="3"/>
  <c r="F321" i="3" l="1"/>
  <c r="I321" i="3"/>
  <c r="J321" i="3"/>
  <c r="M321" i="3"/>
  <c r="N321" i="3" s="1"/>
  <c r="K321" i="3"/>
  <c r="AE321" i="3" s="1"/>
  <c r="V321" i="3" l="1"/>
  <c r="W321" i="3" s="1"/>
  <c r="A322" i="3"/>
  <c r="B322" i="3" s="1"/>
  <c r="L321" i="3"/>
  <c r="U321" i="3" l="1"/>
  <c r="Y320" i="3"/>
  <c r="P322" i="3"/>
  <c r="Q322" i="3" s="1"/>
  <c r="R322" i="3" s="1"/>
  <c r="S322" i="3" s="1"/>
  <c r="Z322" i="3"/>
  <c r="AC322" i="3"/>
  <c r="AD322" i="3"/>
  <c r="AA322" i="3"/>
  <c r="T322" i="3" l="1"/>
  <c r="AH322" i="3" s="1"/>
  <c r="E322" i="3" l="1"/>
  <c r="H322" i="3" s="1"/>
  <c r="K322" i="3" s="1"/>
  <c r="AE322" i="3" s="1"/>
  <c r="AG322" i="3"/>
  <c r="D322" i="3"/>
  <c r="V322" i="3" l="1"/>
  <c r="A323" i="3"/>
  <c r="B323" i="3" s="1"/>
  <c r="F322" i="3"/>
  <c r="G322" i="3"/>
  <c r="I322" i="3" l="1"/>
  <c r="W322" i="3" s="1"/>
  <c r="J322" i="3"/>
  <c r="M322" i="3"/>
  <c r="N322" i="3" s="1"/>
  <c r="P323" i="3"/>
  <c r="Q323" i="3" s="1"/>
  <c r="R323" i="3" s="1"/>
  <c r="S323" i="3" s="1"/>
  <c r="AA323" i="3"/>
  <c r="Z323" i="3"/>
  <c r="AD323" i="3"/>
  <c r="AC323" i="3"/>
  <c r="T323" i="3" l="1"/>
  <c r="L322" i="3"/>
  <c r="AH323" i="3" l="1"/>
  <c r="U322" i="3"/>
  <c r="D323" i="3" s="1"/>
  <c r="AG323" i="3"/>
  <c r="Y321" i="3"/>
  <c r="G323" i="3" l="1"/>
  <c r="E323" i="3"/>
  <c r="H323" i="3" s="1"/>
  <c r="F323" i="3" l="1"/>
  <c r="K323" i="3"/>
  <c r="AE323" i="3" s="1"/>
  <c r="I323" i="3"/>
  <c r="J323" i="3"/>
  <c r="M323" i="3"/>
  <c r="N323" i="3" s="1"/>
  <c r="L323" i="3" l="1"/>
  <c r="V323" i="3"/>
  <c r="W323" i="3" s="1"/>
  <c r="A324" i="3"/>
  <c r="B324" i="3" s="1"/>
  <c r="U323" i="3" l="1"/>
  <c r="Y322" i="3"/>
  <c r="Z324" i="3"/>
  <c r="P324" i="3"/>
  <c r="Q324" i="3" s="1"/>
  <c r="R324" i="3" s="1"/>
  <c r="S324" i="3" s="1"/>
  <c r="AA324" i="3"/>
  <c r="AC324" i="3"/>
  <c r="T324" i="3" l="1"/>
  <c r="AG324" i="3" s="1"/>
  <c r="E324" i="3" l="1"/>
  <c r="H324" i="3" s="1"/>
  <c r="K324" i="3" s="1"/>
  <c r="AE324" i="3" s="1"/>
  <c r="AH324" i="3"/>
  <c r="D324" i="3"/>
  <c r="V324" i="3" l="1"/>
  <c r="A325" i="3"/>
  <c r="B325" i="3" s="1"/>
  <c r="F324" i="3"/>
  <c r="G324" i="3"/>
  <c r="I324" i="3" l="1"/>
  <c r="W324" i="3" s="1"/>
  <c r="J324" i="3"/>
  <c r="AD324" i="3" s="1"/>
  <c r="M324" i="3"/>
  <c r="N324" i="3" s="1"/>
  <c r="P325" i="3"/>
  <c r="Q325" i="3" s="1"/>
  <c r="R325" i="3" s="1"/>
  <c r="S325" i="3" s="1"/>
  <c r="AC325" i="3"/>
  <c r="Z325" i="3"/>
  <c r="AA325" i="3"/>
  <c r="T325" i="3" l="1"/>
  <c r="L324" i="3"/>
  <c r="AG325" i="3" l="1"/>
  <c r="U324" i="3"/>
  <c r="D325" i="3" s="1"/>
  <c r="AH325" i="3"/>
  <c r="Y323" i="3"/>
  <c r="E325" i="3" l="1"/>
  <c r="H325" i="3" s="1"/>
  <c r="K325" i="3" s="1"/>
  <c r="AE325" i="3" s="1"/>
  <c r="G325" i="3"/>
  <c r="F325" i="3" l="1"/>
  <c r="V325" i="3"/>
  <c r="A326" i="3"/>
  <c r="B326" i="3" s="1"/>
  <c r="I325" i="3"/>
  <c r="J325" i="3"/>
  <c r="AD325" i="3" s="1"/>
  <c r="M325" i="3"/>
  <c r="N325" i="3" s="1"/>
  <c r="L325" i="3" l="1"/>
  <c r="W325" i="3"/>
  <c r="P326" i="3"/>
  <c r="Q326" i="3" s="1"/>
  <c r="R326" i="3" s="1"/>
  <c r="S326" i="3" s="1"/>
  <c r="AA326" i="3"/>
  <c r="AC326" i="3"/>
  <c r="Z326" i="3"/>
  <c r="U325" i="3" l="1"/>
  <c r="Y324" i="3"/>
  <c r="T326" i="3"/>
  <c r="AH326" i="3" s="1"/>
  <c r="E326" i="3" l="1"/>
  <c r="H326" i="3" s="1"/>
  <c r="K326" i="3" s="1"/>
  <c r="AE326" i="3" s="1"/>
  <c r="AG326" i="3"/>
  <c r="D326" i="3"/>
  <c r="G326" i="3" s="1"/>
  <c r="F326" i="3" l="1"/>
  <c r="I326" i="3"/>
  <c r="J326" i="3"/>
  <c r="AD326" i="3" s="1"/>
  <c r="M326" i="3"/>
  <c r="N326" i="3" s="1"/>
  <c r="V326" i="3"/>
  <c r="A327" i="3"/>
  <c r="B327" i="3" s="1"/>
  <c r="W326" i="3" l="1"/>
  <c r="L326" i="3"/>
  <c r="Z327" i="3"/>
  <c r="AA327" i="3"/>
  <c r="P327" i="3"/>
  <c r="Q327" i="3" s="1"/>
  <c r="R327" i="3" s="1"/>
  <c r="S327" i="3" s="1"/>
  <c r="AC327" i="3"/>
  <c r="U326" i="3" l="1"/>
  <c r="Y325" i="3"/>
  <c r="T327" i="3"/>
  <c r="AH327" i="3" s="1"/>
  <c r="E327" i="3" l="1"/>
  <c r="H327" i="3" s="1"/>
  <c r="K327" i="3" s="1"/>
  <c r="AE327" i="3" s="1"/>
  <c r="D327" i="3"/>
  <c r="AG327" i="3"/>
  <c r="F327" i="3" l="1"/>
  <c r="G327" i="3"/>
  <c r="M327" i="3" s="1"/>
  <c r="N327" i="3" s="1"/>
  <c r="V327" i="3"/>
  <c r="A328" i="3"/>
  <c r="B328" i="3" s="1"/>
  <c r="I327" i="3" l="1"/>
  <c r="W327" i="3" s="1"/>
  <c r="J327" i="3"/>
  <c r="Z328" i="3"/>
  <c r="P328" i="3"/>
  <c r="Q328" i="3" s="1"/>
  <c r="R328" i="3" s="1"/>
  <c r="S328" i="3" s="1"/>
  <c r="AA328" i="3"/>
  <c r="AC328" i="3"/>
  <c r="L327" i="3" l="1"/>
  <c r="U327" i="3" s="1"/>
  <c r="AD327" i="3"/>
  <c r="T328" i="3"/>
  <c r="AG328" i="3" l="1"/>
  <c r="Y326" i="3"/>
  <c r="AH328" i="3"/>
  <c r="E328" i="3"/>
  <c r="H328" i="3" s="1"/>
  <c r="K328" i="3" s="1"/>
  <c r="AE328" i="3" s="1"/>
  <c r="D328" i="3"/>
  <c r="V328" i="3" l="1"/>
  <c r="A329" i="3"/>
  <c r="B329" i="3" s="1"/>
  <c r="F328" i="3"/>
  <c r="G328" i="3"/>
  <c r="I328" i="3" l="1"/>
  <c r="W328" i="3" s="1"/>
  <c r="J328" i="3"/>
  <c r="AD328" i="3" s="1"/>
  <c r="M328" i="3"/>
  <c r="N328" i="3" s="1"/>
  <c r="P329" i="3"/>
  <c r="Q329" i="3" s="1"/>
  <c r="R329" i="3" s="1"/>
  <c r="S329" i="3" s="1"/>
  <c r="Z329" i="3"/>
  <c r="AC329" i="3"/>
  <c r="AA329" i="3"/>
  <c r="T329" i="3" l="1"/>
  <c r="L328" i="3"/>
  <c r="AH329" i="3" l="1"/>
  <c r="U328" i="3"/>
  <c r="D329" i="3" s="1"/>
  <c r="AG329" i="3"/>
  <c r="Y327" i="3"/>
  <c r="E329" i="3" l="1"/>
  <c r="H329" i="3" s="1"/>
  <c r="K329" i="3" s="1"/>
  <c r="AE329" i="3" s="1"/>
  <c r="G329" i="3"/>
  <c r="F329" i="3" l="1"/>
  <c r="I329" i="3"/>
  <c r="J329" i="3"/>
  <c r="AD329" i="3" s="1"/>
  <c r="M329" i="3"/>
  <c r="N329" i="3" s="1"/>
  <c r="V329" i="3"/>
  <c r="A330" i="3"/>
  <c r="B330" i="3" s="1"/>
  <c r="W329" i="3" l="1"/>
  <c r="L329" i="3"/>
  <c r="AA330" i="3"/>
  <c r="AC330" i="3"/>
  <c r="P330" i="3"/>
  <c r="Q330" i="3" s="1"/>
  <c r="R330" i="3" s="1"/>
  <c r="S330" i="3" s="1"/>
  <c r="Z330" i="3"/>
  <c r="U329" i="3" l="1"/>
  <c r="Y328" i="3"/>
  <c r="T330" i="3"/>
  <c r="AH330" i="3" s="1"/>
  <c r="AG330" i="3" l="1"/>
  <c r="E330" i="3"/>
  <c r="H330" i="3" s="1"/>
  <c r="D330" i="3"/>
  <c r="K330" i="3" l="1"/>
  <c r="AE330" i="3" s="1"/>
  <c r="F330" i="3"/>
  <c r="G330" i="3"/>
  <c r="I330" i="3" l="1"/>
  <c r="J330" i="3"/>
  <c r="AD330" i="3" s="1"/>
  <c r="M330" i="3"/>
  <c r="N330" i="3" s="1"/>
  <c r="V330" i="3"/>
  <c r="A331" i="3"/>
  <c r="B331" i="3" s="1"/>
  <c r="W330" i="3" l="1"/>
  <c r="L330" i="3"/>
  <c r="P331" i="3"/>
  <c r="Q331" i="3" s="1"/>
  <c r="R331" i="3" s="1"/>
  <c r="S331" i="3" s="1"/>
  <c r="AA331" i="3"/>
  <c r="AC331" i="3"/>
  <c r="Z331" i="3"/>
  <c r="U330" i="3" l="1"/>
  <c r="Y329" i="3"/>
  <c r="T331" i="3"/>
  <c r="D331" i="3" l="1"/>
  <c r="G331" i="3" s="1"/>
  <c r="AH331" i="3"/>
  <c r="AG331" i="3"/>
  <c r="E331" i="3"/>
  <c r="H331" i="3" s="1"/>
  <c r="F331" i="3" l="1"/>
  <c r="I331" i="3"/>
  <c r="J331" i="3"/>
  <c r="AD331" i="3" s="1"/>
  <c r="M331" i="3"/>
  <c r="N331" i="3" s="1"/>
  <c r="K331" i="3"/>
  <c r="AE331" i="3" s="1"/>
  <c r="V331" i="3" l="1"/>
  <c r="W331" i="3" s="1"/>
  <c r="A332" i="3"/>
  <c r="B332" i="3" s="1"/>
  <c r="L331" i="3"/>
  <c r="U331" i="3" l="1"/>
  <c r="Y330" i="3"/>
  <c r="AA332" i="3"/>
  <c r="Z332" i="3"/>
  <c r="AC332" i="3"/>
  <c r="P332" i="3"/>
  <c r="Q332" i="3" s="1"/>
  <c r="R332" i="3" s="1"/>
  <c r="S332" i="3" s="1"/>
  <c r="T332" i="3" l="1"/>
  <c r="AG332" i="3" s="1"/>
  <c r="E332" i="3" l="1"/>
  <c r="H332" i="3" s="1"/>
  <c r="K332" i="3" s="1"/>
  <c r="AE332" i="3" s="1"/>
  <c r="D332" i="3"/>
  <c r="AH332" i="3"/>
  <c r="V332" i="3" l="1"/>
  <c r="A333" i="3"/>
  <c r="B333" i="3" s="1"/>
  <c r="F332" i="3"/>
  <c r="G332" i="3"/>
  <c r="I332" i="3" l="1"/>
  <c r="W332" i="3" s="1"/>
  <c r="J332" i="3"/>
  <c r="AD332" i="3" s="1"/>
  <c r="M332" i="3"/>
  <c r="N332" i="3" s="1"/>
  <c r="AA333" i="3"/>
  <c r="P333" i="3"/>
  <c r="Q333" i="3" s="1"/>
  <c r="R333" i="3" s="1"/>
  <c r="S333" i="3" s="1"/>
  <c r="Z333" i="3"/>
  <c r="AC333" i="3"/>
  <c r="T333" i="3" l="1"/>
  <c r="L332" i="3"/>
  <c r="AH333" i="3" l="1"/>
  <c r="AG333" i="3"/>
  <c r="U332" i="3"/>
  <c r="D333" i="3" s="1"/>
  <c r="Y331" i="3"/>
  <c r="E333" i="3" l="1"/>
  <c r="H333" i="3" s="1"/>
  <c r="K333" i="3" s="1"/>
  <c r="AE333" i="3" s="1"/>
  <c r="G333" i="3"/>
  <c r="F333" i="3" l="1"/>
  <c r="I333" i="3"/>
  <c r="J333" i="3"/>
  <c r="AD333" i="3" s="1"/>
  <c r="M333" i="3"/>
  <c r="N333" i="3" s="1"/>
  <c r="V333" i="3"/>
  <c r="A334" i="3"/>
  <c r="B334" i="3" s="1"/>
  <c r="W333" i="3" l="1"/>
  <c r="L333" i="3"/>
  <c r="AA334" i="3"/>
  <c r="P334" i="3"/>
  <c r="Q334" i="3" s="1"/>
  <c r="R334" i="3" s="1"/>
  <c r="S334" i="3" s="1"/>
  <c r="Z334" i="3"/>
  <c r="AC334" i="3"/>
  <c r="T334" i="3" l="1"/>
  <c r="AH334" i="3" s="1"/>
  <c r="U333" i="3"/>
  <c r="Y332" i="3"/>
  <c r="D334" i="3" l="1"/>
  <c r="G334" i="3" s="1"/>
  <c r="E334" i="3"/>
  <c r="H334" i="3" s="1"/>
  <c r="AG334" i="3"/>
  <c r="F334" i="3" l="1"/>
  <c r="I334" i="3"/>
  <c r="J334" i="3"/>
  <c r="AD334" i="3" s="1"/>
  <c r="M334" i="3"/>
  <c r="N334" i="3" s="1"/>
  <c r="K334" i="3"/>
  <c r="AE334" i="3" s="1"/>
  <c r="L334" i="3" l="1"/>
  <c r="V334" i="3"/>
  <c r="W334" i="3" s="1"/>
  <c r="A335" i="3"/>
  <c r="B335" i="3" s="1"/>
  <c r="U334" i="3" l="1"/>
  <c r="Y333" i="3"/>
  <c r="AC335" i="3"/>
  <c r="P335" i="3"/>
  <c r="Q335" i="3" s="1"/>
  <c r="R335" i="3" s="1"/>
  <c r="S335" i="3" s="1"/>
  <c r="AA335" i="3"/>
  <c r="Z335" i="3"/>
  <c r="T335" i="3" l="1"/>
  <c r="AG335" i="3" s="1"/>
  <c r="AH335" i="3" l="1"/>
  <c r="D335" i="3"/>
  <c r="E335" i="3"/>
  <c r="H335" i="3" s="1"/>
  <c r="F335" i="3" l="1"/>
  <c r="G335" i="3"/>
  <c r="K335" i="3"/>
  <c r="AE335" i="3" s="1"/>
  <c r="I335" i="3" l="1"/>
  <c r="J335" i="3"/>
  <c r="AD335" i="3" s="1"/>
  <c r="M335" i="3"/>
  <c r="N335" i="3" s="1"/>
  <c r="V335" i="3"/>
  <c r="A336" i="3"/>
  <c r="B336" i="3" s="1"/>
  <c r="W335" i="3" l="1"/>
  <c r="L335" i="3"/>
  <c r="AA336" i="3"/>
  <c r="P336" i="3"/>
  <c r="Q336" i="3" s="1"/>
  <c r="R336" i="3" s="1"/>
  <c r="S336" i="3" s="1"/>
  <c r="AC336" i="3"/>
  <c r="Z336" i="3"/>
  <c r="T336" i="3" l="1"/>
  <c r="AG336" i="3" s="1"/>
  <c r="U335" i="3"/>
  <c r="Y334" i="3"/>
  <c r="E336" i="3" l="1"/>
  <c r="H336" i="3" s="1"/>
  <c r="D336" i="3"/>
  <c r="AH336" i="3"/>
  <c r="K336" i="3" l="1"/>
  <c r="AE336" i="3" s="1"/>
  <c r="F336" i="3"/>
  <c r="G336" i="3"/>
  <c r="I336" i="3" l="1"/>
  <c r="J336" i="3"/>
  <c r="AD336" i="3" s="1"/>
  <c r="M336" i="3"/>
  <c r="N336" i="3" s="1"/>
  <c r="V336" i="3"/>
  <c r="A337" i="3"/>
  <c r="B337" i="3" s="1"/>
  <c r="W336" i="3" l="1"/>
  <c r="P337" i="3"/>
  <c r="Q337" i="3" s="1"/>
  <c r="R337" i="3" s="1"/>
  <c r="S337" i="3" s="1"/>
  <c r="AC337" i="3"/>
  <c r="AA337" i="3"/>
  <c r="Z337" i="3"/>
  <c r="L336" i="3"/>
  <c r="T337" i="3" l="1"/>
  <c r="U336" i="3"/>
  <c r="Y335" i="3"/>
  <c r="E337" i="3" l="1"/>
  <c r="H337" i="3" s="1"/>
  <c r="K337" i="3" s="1"/>
  <c r="AE337" i="3" s="1"/>
  <c r="AH337" i="3"/>
  <c r="AG337" i="3"/>
  <c r="D337" i="3"/>
  <c r="V337" i="3" l="1"/>
  <c r="A338" i="3"/>
  <c r="B338" i="3" s="1"/>
  <c r="F337" i="3"/>
  <c r="G337" i="3"/>
  <c r="I337" i="3" l="1"/>
  <c r="W337" i="3" s="1"/>
  <c r="J337" i="3"/>
  <c r="AD337" i="3" s="1"/>
  <c r="M337" i="3"/>
  <c r="N337" i="3" s="1"/>
  <c r="P338" i="3"/>
  <c r="Q338" i="3" s="1"/>
  <c r="R338" i="3" s="1"/>
  <c r="S338" i="3" s="1"/>
  <c r="Z338" i="3"/>
  <c r="AC338" i="3"/>
  <c r="AA338" i="3"/>
  <c r="T338" i="3" l="1"/>
  <c r="L337" i="3"/>
  <c r="AH338" i="3" l="1"/>
  <c r="U337" i="3"/>
  <c r="E338" i="3" s="1"/>
  <c r="H338" i="3" s="1"/>
  <c r="AG338" i="3"/>
  <c r="Y336" i="3"/>
  <c r="D338" i="3" l="1"/>
  <c r="F338" i="3" s="1"/>
  <c r="K338" i="3"/>
  <c r="AE338" i="3" s="1"/>
  <c r="G338" i="3" l="1"/>
  <c r="M338" i="3" s="1"/>
  <c r="N338" i="3" s="1"/>
  <c r="V338" i="3"/>
  <c r="A339" i="3"/>
  <c r="B339" i="3" s="1"/>
  <c r="I338" i="3" l="1"/>
  <c r="W338" i="3" s="1"/>
  <c r="J338" i="3"/>
  <c r="Z339" i="3"/>
  <c r="P339" i="3"/>
  <c r="Q339" i="3" s="1"/>
  <c r="R339" i="3" s="1"/>
  <c r="S339" i="3" s="1"/>
  <c r="AA339" i="3"/>
  <c r="AC339" i="3"/>
  <c r="L338" i="3" l="1"/>
  <c r="U338" i="3" s="1"/>
  <c r="AD338" i="3"/>
  <c r="T339" i="3"/>
  <c r="Y337" i="3" l="1"/>
  <c r="AG339" i="3"/>
  <c r="AH339" i="3"/>
  <c r="E339" i="3"/>
  <c r="H339" i="3" s="1"/>
  <c r="D339" i="3"/>
  <c r="K339" i="3" l="1"/>
  <c r="AE339" i="3" s="1"/>
  <c r="F339" i="3"/>
  <c r="G339" i="3"/>
  <c r="V339" i="3" l="1"/>
  <c r="A340" i="3"/>
  <c r="B340" i="3" s="1"/>
  <c r="I339" i="3"/>
  <c r="J339" i="3"/>
  <c r="AD339" i="3" s="1"/>
  <c r="M339" i="3"/>
  <c r="N339" i="3" s="1"/>
  <c r="W339" i="3" l="1"/>
  <c r="L339" i="3"/>
  <c r="Z340" i="3"/>
  <c r="P340" i="3"/>
  <c r="Q340" i="3" s="1"/>
  <c r="R340" i="3" s="1"/>
  <c r="S340" i="3" s="1"/>
  <c r="AC340" i="3"/>
  <c r="AA340" i="3"/>
  <c r="T340" i="3" l="1"/>
  <c r="U339" i="3"/>
  <c r="Y338" i="3"/>
  <c r="D340" i="3" l="1"/>
  <c r="G340" i="3" s="1"/>
  <c r="E340" i="3"/>
  <c r="H340" i="3" s="1"/>
  <c r="K340" i="3" s="1"/>
  <c r="AE340" i="3" s="1"/>
  <c r="AH340" i="3"/>
  <c r="AG340" i="3"/>
  <c r="F340" i="3" l="1"/>
  <c r="V340" i="3"/>
  <c r="A341" i="3"/>
  <c r="B341" i="3" s="1"/>
  <c r="I340" i="3"/>
  <c r="J340" i="3"/>
  <c r="AD340" i="3" s="1"/>
  <c r="M340" i="3"/>
  <c r="N340" i="3" s="1"/>
  <c r="W340" i="3" l="1"/>
  <c r="L340" i="3"/>
  <c r="Z341" i="3"/>
  <c r="P341" i="3"/>
  <c r="Q341" i="3" s="1"/>
  <c r="R341" i="3" s="1"/>
  <c r="S341" i="3" s="1"/>
  <c r="AA341" i="3"/>
  <c r="AC341" i="3"/>
  <c r="U340" i="3" l="1"/>
  <c r="Y339" i="3"/>
  <c r="T341" i="3"/>
  <c r="AG341" i="3" s="1"/>
  <c r="D341" i="3" l="1"/>
  <c r="AH341" i="3"/>
  <c r="E341" i="3"/>
  <c r="H341" i="3" s="1"/>
  <c r="F341" i="3" l="1"/>
  <c r="G341" i="3"/>
  <c r="K341" i="3"/>
  <c r="AE341" i="3" s="1"/>
  <c r="I341" i="3" l="1"/>
  <c r="J341" i="3"/>
  <c r="AD341" i="3" s="1"/>
  <c r="M341" i="3"/>
  <c r="N341" i="3" s="1"/>
  <c r="V341" i="3"/>
  <c r="A342" i="3"/>
  <c r="B342" i="3" s="1"/>
  <c r="L341" i="3" l="1"/>
  <c r="W341" i="3"/>
  <c r="Z342" i="3"/>
  <c r="P342" i="3"/>
  <c r="Q342" i="3" s="1"/>
  <c r="R342" i="3" s="1"/>
  <c r="S342" i="3" s="1"/>
  <c r="AA342" i="3"/>
  <c r="AC342" i="3"/>
  <c r="U341" i="3" l="1"/>
  <c r="Y340" i="3"/>
  <c r="T342" i="3"/>
  <c r="D342" i="3" l="1"/>
  <c r="G342" i="3" s="1"/>
  <c r="AH342" i="3"/>
  <c r="E342" i="3"/>
  <c r="H342" i="3" s="1"/>
  <c r="AG342" i="3"/>
  <c r="F342" i="3" l="1"/>
  <c r="I342" i="3"/>
  <c r="J342" i="3"/>
  <c r="AD342" i="3" s="1"/>
  <c r="M342" i="3"/>
  <c r="N342" i="3" s="1"/>
  <c r="K342" i="3"/>
  <c r="AE342" i="3" s="1"/>
  <c r="V342" i="3" l="1"/>
  <c r="W342" i="3" s="1"/>
  <c r="A343" i="3"/>
  <c r="B343" i="3" s="1"/>
  <c r="L342" i="3"/>
  <c r="U342" i="3" l="1"/>
  <c r="Y341" i="3"/>
  <c r="P343" i="3"/>
  <c r="Q343" i="3" s="1"/>
  <c r="R343" i="3" s="1"/>
  <c r="S343" i="3" s="1"/>
  <c r="AA343" i="3"/>
  <c r="Z343" i="3"/>
  <c r="AC343" i="3"/>
  <c r="T343" i="3" l="1"/>
  <c r="D343" i="3" s="1"/>
  <c r="E343" i="3" l="1"/>
  <c r="H343" i="3" s="1"/>
  <c r="K343" i="3" s="1"/>
  <c r="AE343" i="3" s="1"/>
  <c r="G343" i="3"/>
  <c r="AG343" i="3"/>
  <c r="AH343" i="3"/>
  <c r="F343" i="3" l="1"/>
  <c r="I343" i="3"/>
  <c r="J343" i="3"/>
  <c r="AD343" i="3" s="1"/>
  <c r="M343" i="3"/>
  <c r="N343" i="3" s="1"/>
  <c r="V343" i="3"/>
  <c r="A344" i="3"/>
  <c r="B344" i="3" s="1"/>
  <c r="W343" i="3" l="1"/>
  <c r="L343" i="3"/>
  <c r="AA344" i="3"/>
  <c r="Z344" i="3"/>
  <c r="P344" i="3"/>
  <c r="Q344" i="3" s="1"/>
  <c r="R344" i="3" s="1"/>
  <c r="S344" i="3" s="1"/>
  <c r="AC344" i="3"/>
  <c r="U343" i="3" l="1"/>
  <c r="Y342" i="3"/>
  <c r="T344" i="3"/>
  <c r="AH344" i="3" s="1"/>
  <c r="AG344" i="3" l="1"/>
  <c r="E344" i="3"/>
  <c r="H344" i="3" s="1"/>
  <c r="D344" i="3"/>
  <c r="F344" i="3" l="1"/>
  <c r="G344" i="3"/>
  <c r="K344" i="3"/>
  <c r="AE344" i="3" s="1"/>
  <c r="I344" i="3" l="1"/>
  <c r="J344" i="3"/>
  <c r="AD344" i="3" s="1"/>
  <c r="M344" i="3"/>
  <c r="N344" i="3" s="1"/>
  <c r="V344" i="3"/>
  <c r="A345" i="3"/>
  <c r="B345" i="3" s="1"/>
  <c r="W344" i="3" l="1"/>
  <c r="P345" i="3"/>
  <c r="Q345" i="3" s="1"/>
  <c r="R345" i="3" s="1"/>
  <c r="S345" i="3" s="1"/>
  <c r="Z345" i="3"/>
  <c r="AC345" i="3"/>
  <c r="AA345" i="3"/>
  <c r="L344" i="3"/>
  <c r="T345" i="3" l="1"/>
  <c r="U344" i="3"/>
  <c r="Y343" i="3"/>
  <c r="E345" i="3" l="1"/>
  <c r="H345" i="3" s="1"/>
  <c r="K345" i="3" s="1"/>
  <c r="AE345" i="3" s="1"/>
  <c r="AH345" i="3"/>
  <c r="D345" i="3"/>
  <c r="AG345" i="3"/>
  <c r="F345" i="3" l="1"/>
  <c r="G345" i="3"/>
  <c r="V345" i="3"/>
  <c r="A346" i="3"/>
  <c r="B346" i="3" s="1"/>
  <c r="AC346" i="3" l="1"/>
  <c r="P346" i="3"/>
  <c r="Q346" i="3" s="1"/>
  <c r="R346" i="3" s="1"/>
  <c r="S346" i="3" s="1"/>
  <c r="AA346" i="3"/>
  <c r="Z346" i="3"/>
  <c r="I345" i="3"/>
  <c r="W345" i="3" s="1"/>
  <c r="J345" i="3"/>
  <c r="AD345" i="3" s="1"/>
  <c r="M345" i="3"/>
  <c r="N345" i="3" s="1"/>
  <c r="L345" i="3" l="1"/>
  <c r="T346" i="3"/>
  <c r="AH346" i="3" l="1"/>
  <c r="AG346" i="3"/>
  <c r="U345" i="3"/>
  <c r="D346" i="3" s="1"/>
  <c r="Y344" i="3"/>
  <c r="G346" i="3" l="1"/>
  <c r="E346" i="3"/>
  <c r="H346" i="3" s="1"/>
  <c r="F346" i="3" l="1"/>
  <c r="I346" i="3"/>
  <c r="J346" i="3"/>
  <c r="AD346" i="3" s="1"/>
  <c r="M346" i="3"/>
  <c r="N346" i="3" s="1"/>
  <c r="K346" i="3"/>
  <c r="AE346" i="3" s="1"/>
  <c r="V346" i="3" l="1"/>
  <c r="W346" i="3" s="1"/>
  <c r="A347" i="3"/>
  <c r="B347" i="3" s="1"/>
  <c r="L346" i="3"/>
  <c r="U346" i="3" l="1"/>
  <c r="Y345" i="3"/>
  <c r="AC347" i="3"/>
  <c r="Z347" i="3"/>
  <c r="AA347" i="3"/>
  <c r="P347" i="3"/>
  <c r="Q347" i="3" s="1"/>
  <c r="R347" i="3" s="1"/>
  <c r="S347" i="3" s="1"/>
  <c r="T347" i="3" l="1"/>
  <c r="E347" i="3" s="1"/>
  <c r="H347" i="3" s="1"/>
  <c r="K347" i="3" l="1"/>
  <c r="AE347" i="3" s="1"/>
  <c r="AH347" i="3"/>
  <c r="AG347" i="3"/>
  <c r="D347" i="3"/>
  <c r="F347" i="3" l="1"/>
  <c r="G347" i="3"/>
  <c r="V347" i="3"/>
  <c r="A348" i="3"/>
  <c r="B348" i="3" s="1"/>
  <c r="I347" i="3" l="1"/>
  <c r="W347" i="3" s="1"/>
  <c r="J347" i="3"/>
  <c r="AD347" i="3" s="1"/>
  <c r="M347" i="3"/>
  <c r="N347" i="3" s="1"/>
  <c r="AC348" i="3"/>
  <c r="AA348" i="3"/>
  <c r="P348" i="3"/>
  <c r="Q348" i="3" s="1"/>
  <c r="R348" i="3" s="1"/>
  <c r="S348" i="3" s="1"/>
  <c r="Z348" i="3"/>
  <c r="L347" i="3" l="1"/>
  <c r="T348" i="3"/>
  <c r="U347" i="3" l="1"/>
  <c r="D348" i="3" s="1"/>
  <c r="AH348" i="3"/>
  <c r="AG348" i="3"/>
  <c r="Y346" i="3"/>
  <c r="E348" i="3" l="1"/>
  <c r="H348" i="3" s="1"/>
  <c r="K348" i="3" s="1"/>
  <c r="AE348" i="3" s="1"/>
  <c r="G348" i="3"/>
  <c r="F348" i="3" l="1"/>
  <c r="I348" i="3"/>
  <c r="J348" i="3"/>
  <c r="AD348" i="3" s="1"/>
  <c r="M348" i="3"/>
  <c r="N348" i="3" s="1"/>
  <c r="V348" i="3"/>
  <c r="A349" i="3"/>
  <c r="B349" i="3" s="1"/>
  <c r="W348" i="3" l="1"/>
  <c r="L348" i="3"/>
  <c r="AC349" i="3"/>
  <c r="P349" i="3"/>
  <c r="Q349" i="3" s="1"/>
  <c r="R349" i="3" s="1"/>
  <c r="S349" i="3" s="1"/>
  <c r="AA349" i="3"/>
  <c r="Z349" i="3"/>
  <c r="U348" i="3" l="1"/>
  <c r="Y347" i="3"/>
  <c r="T349" i="3"/>
  <c r="AG349" i="3" s="1"/>
  <c r="E349" i="3" l="1"/>
  <c r="H349" i="3" s="1"/>
  <c r="K349" i="3" s="1"/>
  <c r="AE349" i="3" s="1"/>
  <c r="D349" i="3"/>
  <c r="AH349" i="3"/>
  <c r="V349" i="3" l="1"/>
  <c r="A350" i="3"/>
  <c r="B350" i="3" s="1"/>
  <c r="F349" i="3"/>
  <c r="G349" i="3"/>
  <c r="I349" i="3" l="1"/>
  <c r="W349" i="3" s="1"/>
  <c r="J349" i="3"/>
  <c r="AD349" i="3" s="1"/>
  <c r="M349" i="3"/>
  <c r="N349" i="3" s="1"/>
  <c r="P350" i="3"/>
  <c r="Q350" i="3" s="1"/>
  <c r="R350" i="3" s="1"/>
  <c r="S350" i="3" s="1"/>
  <c r="Z350" i="3"/>
  <c r="AC350" i="3"/>
  <c r="AA350" i="3"/>
  <c r="T350" i="3" l="1"/>
  <c r="L349" i="3"/>
  <c r="U349" i="3" l="1"/>
  <c r="D350" i="3" s="1"/>
  <c r="AG350" i="3"/>
  <c r="AH350" i="3"/>
  <c r="Y348" i="3"/>
  <c r="E350" i="3" l="1"/>
  <c r="H350" i="3" s="1"/>
  <c r="K350" i="3" s="1"/>
  <c r="AE350" i="3" s="1"/>
  <c r="G350" i="3"/>
  <c r="F350" i="3" l="1"/>
  <c r="V350" i="3"/>
  <c r="A351" i="3"/>
  <c r="B351" i="3" s="1"/>
  <c r="I350" i="3"/>
  <c r="J350" i="3"/>
  <c r="AD350" i="3" s="1"/>
  <c r="M350" i="3"/>
  <c r="N350" i="3" s="1"/>
  <c r="W350" i="3" l="1"/>
  <c r="L350" i="3"/>
  <c r="AA351" i="3"/>
  <c r="P351" i="3"/>
  <c r="Q351" i="3" s="1"/>
  <c r="R351" i="3" s="1"/>
  <c r="S351" i="3" s="1"/>
  <c r="Z351" i="3"/>
  <c r="AC351" i="3"/>
  <c r="U350" i="3" l="1"/>
  <c r="Y349" i="3"/>
  <c r="T351" i="3"/>
  <c r="D351" i="3" l="1"/>
  <c r="G351" i="3" s="1"/>
  <c r="AH351" i="3"/>
  <c r="E351" i="3"/>
  <c r="H351" i="3" s="1"/>
  <c r="K351" i="3" s="1"/>
  <c r="AE351" i="3" s="1"/>
  <c r="AG351" i="3"/>
  <c r="F351" i="3" l="1"/>
  <c r="V351" i="3"/>
  <c r="A352" i="3"/>
  <c r="B352" i="3" s="1"/>
  <c r="I351" i="3"/>
  <c r="J351" i="3"/>
  <c r="AD351" i="3" s="1"/>
  <c r="M351" i="3"/>
  <c r="N351" i="3" s="1"/>
  <c r="L351" i="3" l="1"/>
  <c r="W351" i="3"/>
  <c r="AC352" i="3"/>
  <c r="P352" i="3"/>
  <c r="Q352" i="3" s="1"/>
  <c r="R352" i="3" s="1"/>
  <c r="S352" i="3" s="1"/>
  <c r="AA352" i="3"/>
  <c r="Z352" i="3"/>
  <c r="U351" i="3" l="1"/>
  <c r="Y350" i="3"/>
  <c r="T352" i="3"/>
  <c r="E352" i="3" l="1"/>
  <c r="H352" i="3" s="1"/>
  <c r="K352" i="3" s="1"/>
  <c r="AE352" i="3" s="1"/>
  <c r="AH352" i="3"/>
  <c r="D352" i="3"/>
  <c r="AG352" i="3"/>
  <c r="F352" i="3" l="1"/>
  <c r="G352" i="3"/>
  <c r="V352" i="3"/>
  <c r="A353" i="3"/>
  <c r="B353" i="3" s="1"/>
  <c r="AC353" i="3" l="1"/>
  <c r="AA353" i="3"/>
  <c r="P353" i="3"/>
  <c r="Q353" i="3" s="1"/>
  <c r="R353" i="3" s="1"/>
  <c r="S353" i="3" s="1"/>
  <c r="Z353" i="3"/>
  <c r="I352" i="3"/>
  <c r="W352" i="3" s="1"/>
  <c r="J352" i="3"/>
  <c r="AD352" i="3" s="1"/>
  <c r="M352" i="3"/>
  <c r="N352" i="3" s="1"/>
  <c r="T353" i="3" l="1"/>
  <c r="L352" i="3"/>
  <c r="U352" i="3" l="1"/>
  <c r="D353" i="3" s="1"/>
  <c r="AH353" i="3"/>
  <c r="AG353" i="3"/>
  <c r="Y351" i="3"/>
  <c r="E353" i="3" l="1"/>
  <c r="H353" i="3" s="1"/>
  <c r="K353" i="3" s="1"/>
  <c r="AE353" i="3" s="1"/>
  <c r="G353" i="3"/>
  <c r="F353" i="3" l="1"/>
  <c r="I353" i="3"/>
  <c r="J353" i="3"/>
  <c r="AD353" i="3" s="1"/>
  <c r="M353" i="3"/>
  <c r="N353" i="3" s="1"/>
  <c r="V353" i="3"/>
  <c r="A354" i="3"/>
  <c r="B354" i="3" s="1"/>
  <c r="W353" i="3" l="1"/>
  <c r="L353" i="3"/>
  <c r="P354" i="3"/>
  <c r="Q354" i="3" s="1"/>
  <c r="R354" i="3" s="1"/>
  <c r="S354" i="3" s="1"/>
  <c r="AC354" i="3"/>
  <c r="Z354" i="3"/>
  <c r="AA354" i="3"/>
  <c r="U353" i="3" l="1"/>
  <c r="Y352" i="3"/>
  <c r="T354" i="3"/>
  <c r="AG354" i="3" s="1"/>
  <c r="D354" i="3" l="1"/>
  <c r="AH354" i="3"/>
  <c r="E354" i="3"/>
  <c r="H354" i="3" s="1"/>
  <c r="F354" i="3" l="1"/>
  <c r="G354" i="3"/>
  <c r="K354" i="3"/>
  <c r="AE354" i="3" s="1"/>
  <c r="V354" i="3" l="1"/>
  <c r="A355" i="3"/>
  <c r="B355" i="3" s="1"/>
  <c r="I354" i="3"/>
  <c r="J354" i="3"/>
  <c r="AD354" i="3" s="1"/>
  <c r="M354" i="3"/>
  <c r="N354" i="3" s="1"/>
  <c r="W354" i="3" l="1"/>
  <c r="L354" i="3"/>
  <c r="AA355" i="3"/>
  <c r="AC355" i="3"/>
  <c r="Z355" i="3"/>
  <c r="P355" i="3"/>
  <c r="Q355" i="3" s="1"/>
  <c r="R355" i="3" s="1"/>
  <c r="S355" i="3" s="1"/>
  <c r="T355" i="3" l="1"/>
  <c r="U354" i="3"/>
  <c r="Y353" i="3"/>
  <c r="D355" i="3" l="1"/>
  <c r="G355" i="3" s="1"/>
  <c r="AG355" i="3"/>
  <c r="E355" i="3"/>
  <c r="H355" i="3" s="1"/>
  <c r="K355" i="3" s="1"/>
  <c r="AE355" i="3" s="1"/>
  <c r="AH355" i="3"/>
  <c r="F355" i="3" l="1"/>
  <c r="V355" i="3"/>
  <c r="A356" i="3"/>
  <c r="B356" i="3" s="1"/>
  <c r="I355" i="3"/>
  <c r="J355" i="3"/>
  <c r="AD355" i="3" s="1"/>
  <c r="M355" i="3"/>
  <c r="N355" i="3" s="1"/>
  <c r="W355" i="3" l="1"/>
  <c r="L355" i="3"/>
  <c r="P356" i="3"/>
  <c r="Q356" i="3" s="1"/>
  <c r="R356" i="3" s="1"/>
  <c r="S356" i="3" s="1"/>
  <c r="AA356" i="3"/>
  <c r="Z356" i="3"/>
  <c r="AC356" i="3"/>
  <c r="U355" i="3" l="1"/>
  <c r="Y354" i="3"/>
  <c r="T356" i="3"/>
  <c r="AG356" i="3" s="1"/>
  <c r="AH356" i="3" l="1"/>
  <c r="D356" i="3"/>
  <c r="E356" i="3"/>
  <c r="H356" i="3" s="1"/>
  <c r="K356" i="3" s="1"/>
  <c r="AE356" i="3" s="1"/>
  <c r="F356" i="3" l="1"/>
  <c r="G356" i="3"/>
  <c r="M356" i="3" s="1"/>
  <c r="N356" i="3" s="1"/>
  <c r="V356" i="3"/>
  <c r="A357" i="3"/>
  <c r="B357" i="3" s="1"/>
  <c r="I356" i="3" l="1"/>
  <c r="W356" i="3" s="1"/>
  <c r="J356" i="3"/>
  <c r="Z357" i="3"/>
  <c r="P357" i="3"/>
  <c r="Q357" i="3" s="1"/>
  <c r="R357" i="3" s="1"/>
  <c r="S357" i="3" s="1"/>
  <c r="AC357" i="3"/>
  <c r="AA357" i="3"/>
  <c r="L356" i="3" l="1"/>
  <c r="U356" i="3" s="1"/>
  <c r="AD356" i="3"/>
  <c r="T357" i="3"/>
  <c r="Y355" i="3" l="1"/>
  <c r="AG357" i="3"/>
  <c r="AH357" i="3"/>
  <c r="E357" i="3"/>
  <c r="H357" i="3" s="1"/>
  <c r="D357" i="3"/>
  <c r="F357" i="3" l="1"/>
  <c r="G357" i="3"/>
  <c r="K357" i="3"/>
  <c r="AE357" i="3" s="1"/>
  <c r="V357" i="3" l="1"/>
  <c r="A358" i="3"/>
  <c r="B358" i="3" s="1"/>
  <c r="I357" i="3"/>
  <c r="J357" i="3"/>
  <c r="AD357" i="3" s="1"/>
  <c r="M357" i="3"/>
  <c r="N357" i="3" s="1"/>
  <c r="W357" i="3" l="1"/>
  <c r="L357" i="3"/>
  <c r="P358" i="3"/>
  <c r="Q358" i="3" s="1"/>
  <c r="R358" i="3" s="1"/>
  <c r="S358" i="3" s="1"/>
  <c r="Z358" i="3"/>
  <c r="AA358" i="3"/>
  <c r="AC358" i="3"/>
  <c r="T358" i="3" l="1"/>
  <c r="AH358" i="3" s="1"/>
  <c r="U357" i="3"/>
  <c r="Y356" i="3"/>
  <c r="D358" i="3" l="1"/>
  <c r="G358" i="3" s="1"/>
  <c r="E358" i="3"/>
  <c r="H358" i="3" s="1"/>
  <c r="AG358" i="3"/>
  <c r="I358" i="3" l="1"/>
  <c r="J358" i="3"/>
  <c r="AD358" i="3" s="1"/>
  <c r="M358" i="3"/>
  <c r="N358" i="3" s="1"/>
  <c r="F358" i="3"/>
  <c r="K358" i="3"/>
  <c r="AE358" i="3" s="1"/>
  <c r="V358" i="3" l="1"/>
  <c r="W358" i="3" s="1"/>
  <c r="A359" i="3"/>
  <c r="B359" i="3" s="1"/>
  <c r="L358" i="3"/>
  <c r="U358" i="3" l="1"/>
  <c r="Y357" i="3"/>
  <c r="P359" i="3"/>
  <c r="Q359" i="3" s="1"/>
  <c r="R359" i="3" s="1"/>
  <c r="S359" i="3" s="1"/>
  <c r="AC359" i="3"/>
  <c r="AA359" i="3"/>
  <c r="Z359" i="3"/>
  <c r="T359" i="3" l="1"/>
  <c r="AG359" i="3" s="1"/>
  <c r="AH359" i="3" l="1"/>
  <c r="E359" i="3"/>
  <c r="H359" i="3" s="1"/>
  <c r="D359" i="3"/>
  <c r="K359" i="3" l="1"/>
  <c r="AE359" i="3" s="1"/>
  <c r="F359" i="3"/>
  <c r="G359" i="3"/>
  <c r="I359" i="3" l="1"/>
  <c r="J359" i="3"/>
  <c r="AD359" i="3" s="1"/>
  <c r="M359" i="3"/>
  <c r="N359" i="3" s="1"/>
  <c r="V359" i="3"/>
  <c r="A360" i="3"/>
  <c r="B360" i="3" s="1"/>
  <c r="W359" i="3" l="1"/>
  <c r="L359" i="3"/>
  <c r="AC360" i="3"/>
  <c r="AA360" i="3"/>
  <c r="P360" i="3"/>
  <c r="Q360" i="3" s="1"/>
  <c r="R360" i="3" s="1"/>
  <c r="S360" i="3" s="1"/>
  <c r="Z360" i="3"/>
  <c r="T360" i="3" l="1"/>
  <c r="AH360" i="3" s="1"/>
  <c r="U359" i="3"/>
  <c r="Y358" i="3"/>
  <c r="E360" i="3" l="1"/>
  <c r="H360" i="3" s="1"/>
  <c r="K360" i="3" s="1"/>
  <c r="AE360" i="3" s="1"/>
  <c r="AG360" i="3"/>
  <c r="D360" i="3"/>
  <c r="F360" i="3" l="1"/>
  <c r="G360" i="3"/>
  <c r="V360" i="3"/>
  <c r="A361" i="3"/>
  <c r="B361" i="3" s="1"/>
  <c r="Z361" i="3" l="1"/>
  <c r="P361" i="3"/>
  <c r="Q361" i="3" s="1"/>
  <c r="R361" i="3" s="1"/>
  <c r="S361" i="3" s="1"/>
  <c r="AC361" i="3"/>
  <c r="AA361" i="3"/>
  <c r="I360" i="3"/>
  <c r="W360" i="3" s="1"/>
  <c r="J360" i="3"/>
  <c r="AD360" i="3" s="1"/>
  <c r="M360" i="3"/>
  <c r="N360" i="3" s="1"/>
  <c r="T361" i="3" l="1"/>
  <c r="L360" i="3"/>
  <c r="AG361" i="3" l="1"/>
  <c r="AH361" i="3"/>
  <c r="U360" i="3"/>
  <c r="E361" i="3" s="1"/>
  <c r="H361" i="3" s="1"/>
  <c r="Y359" i="3"/>
  <c r="D361" i="3" l="1"/>
  <c r="G361" i="3" s="1"/>
  <c r="K361" i="3"/>
  <c r="AE361" i="3" s="1"/>
  <c r="F361" i="3" l="1"/>
  <c r="I361" i="3"/>
  <c r="J361" i="3"/>
  <c r="AD361" i="3" s="1"/>
  <c r="M361" i="3"/>
  <c r="N361" i="3" s="1"/>
  <c r="V361" i="3"/>
  <c r="A362" i="3"/>
  <c r="B362" i="3" s="1"/>
  <c r="W361" i="3" l="1"/>
  <c r="L361" i="3"/>
  <c r="AC362" i="3"/>
  <c r="Z362" i="3"/>
  <c r="P362" i="3"/>
  <c r="Q362" i="3" s="1"/>
  <c r="R362" i="3" s="1"/>
  <c r="S362" i="3" s="1"/>
  <c r="AA362" i="3"/>
  <c r="U361" i="3" l="1"/>
  <c r="Y360" i="3"/>
  <c r="T362" i="3"/>
  <c r="AH362" i="3" s="1"/>
  <c r="D362" i="3" l="1"/>
  <c r="G362" i="3" s="1"/>
  <c r="E362" i="3"/>
  <c r="H362" i="3" s="1"/>
  <c r="K362" i="3" s="1"/>
  <c r="AE362" i="3" s="1"/>
  <c r="AG362" i="3"/>
  <c r="F362" i="3" l="1"/>
  <c r="I362" i="3"/>
  <c r="J362" i="3"/>
  <c r="AD362" i="3" s="1"/>
  <c r="M362" i="3"/>
  <c r="N362" i="3" s="1"/>
  <c r="V362" i="3"/>
  <c r="A363" i="3"/>
  <c r="B363" i="3" s="1"/>
  <c r="W362" i="3" l="1"/>
  <c r="L362" i="3"/>
  <c r="P363" i="3"/>
  <c r="Q363" i="3" s="1"/>
  <c r="R363" i="3" s="1"/>
  <c r="S363" i="3" s="1"/>
  <c r="AA363" i="3"/>
  <c r="Z363" i="3"/>
  <c r="AC363" i="3"/>
  <c r="T363" i="3" l="1"/>
  <c r="U362" i="3"/>
  <c r="Y361" i="3"/>
  <c r="E363" i="3" l="1"/>
  <c r="H363" i="3" s="1"/>
  <c r="K363" i="3" s="1"/>
  <c r="AE363" i="3" s="1"/>
  <c r="AH363" i="3"/>
  <c r="D363" i="3"/>
  <c r="AG363" i="3"/>
  <c r="F363" i="3" l="1"/>
  <c r="G363" i="3"/>
  <c r="M363" i="3" s="1"/>
  <c r="N363" i="3" s="1"/>
  <c r="V363" i="3"/>
  <c r="A364" i="3"/>
  <c r="B364" i="3" s="1"/>
  <c r="I363" i="3" l="1"/>
  <c r="W363" i="3" s="1"/>
  <c r="J363" i="3"/>
  <c r="P364" i="3"/>
  <c r="Q364" i="3" s="1"/>
  <c r="R364" i="3" s="1"/>
  <c r="S364" i="3" s="1"/>
  <c r="Z364" i="3"/>
  <c r="AC364" i="3"/>
  <c r="AA364" i="3"/>
  <c r="L363" i="3" l="1"/>
  <c r="U363" i="3" s="1"/>
  <c r="AD363" i="3"/>
  <c r="T364" i="3"/>
  <c r="Y362" i="3" l="1"/>
  <c r="D364" i="3"/>
  <c r="G364" i="3" s="1"/>
  <c r="E364" i="3"/>
  <c r="H364" i="3" s="1"/>
  <c r="K364" i="3" s="1"/>
  <c r="AE364" i="3" s="1"/>
  <c r="AG364" i="3"/>
  <c r="AH364" i="3"/>
  <c r="F364" i="3" l="1"/>
  <c r="V364" i="3"/>
  <c r="A365" i="3"/>
  <c r="B365" i="3" s="1"/>
  <c r="I364" i="3"/>
  <c r="J364" i="3"/>
  <c r="AD364" i="3" s="1"/>
  <c r="M364" i="3"/>
  <c r="N364" i="3" s="1"/>
  <c r="W364" i="3" l="1"/>
  <c r="L364" i="3"/>
  <c r="AC365" i="3"/>
  <c r="P365" i="3"/>
  <c r="Q365" i="3" s="1"/>
  <c r="R365" i="3" s="1"/>
  <c r="S365" i="3" s="1"/>
  <c r="AA365" i="3"/>
  <c r="AD365" i="3"/>
  <c r="Z365" i="3"/>
  <c r="U364" i="3" l="1"/>
  <c r="Y363" i="3"/>
  <c r="T365" i="3"/>
  <c r="AH365" i="3" s="1"/>
  <c r="D365" i="3" l="1"/>
  <c r="G365" i="3" s="1"/>
  <c r="AG365" i="3"/>
  <c r="E365" i="3"/>
  <c r="H365" i="3" s="1"/>
  <c r="K365" i="3" s="1"/>
  <c r="AE365" i="3" s="1"/>
  <c r="F365" i="3" l="1"/>
  <c r="I365" i="3"/>
  <c r="J365" i="3"/>
  <c r="M365" i="3"/>
  <c r="N365" i="3" s="1"/>
  <c r="V365" i="3"/>
  <c r="A366" i="3"/>
  <c r="B366" i="3" s="1"/>
  <c r="W365" i="3" l="1"/>
  <c r="L365" i="3"/>
  <c r="AC366" i="3"/>
  <c r="AD366" i="3"/>
  <c r="P366" i="3"/>
  <c r="Q366" i="3" s="1"/>
  <c r="R366" i="3" s="1"/>
  <c r="S366" i="3" s="1"/>
  <c r="AA366" i="3"/>
  <c r="Z366" i="3"/>
  <c r="U365" i="3" l="1"/>
  <c r="Y364" i="3"/>
  <c r="T366" i="3"/>
  <c r="E366" i="3" l="1"/>
  <c r="H366" i="3" s="1"/>
  <c r="K366" i="3" s="1"/>
  <c r="AE366" i="3" s="1"/>
  <c r="AH366" i="3"/>
  <c r="D366" i="3"/>
  <c r="G366" i="3" s="1"/>
  <c r="AG366" i="3"/>
  <c r="F366" i="3" l="1"/>
  <c r="V366" i="3"/>
  <c r="A367" i="3"/>
  <c r="B367" i="3" s="1"/>
  <c r="I366" i="3"/>
  <c r="J366" i="3"/>
  <c r="M366" i="3"/>
  <c r="N366" i="3" s="1"/>
  <c r="W366" i="3" l="1"/>
  <c r="L366" i="3"/>
  <c r="Z367" i="3"/>
  <c r="P367" i="3"/>
  <c r="Q367" i="3" s="1"/>
  <c r="R367" i="3" s="1"/>
  <c r="S367" i="3" s="1"/>
  <c r="AC367" i="3"/>
  <c r="AA367" i="3"/>
  <c r="T367" i="3" l="1"/>
  <c r="AG367" i="3" s="1"/>
  <c r="U366" i="3"/>
  <c r="Y365" i="3"/>
  <c r="D367" i="3" l="1"/>
  <c r="AH367" i="3"/>
  <c r="E367" i="3"/>
  <c r="H367" i="3" s="1"/>
  <c r="F367" i="3" l="1"/>
  <c r="G367" i="3"/>
  <c r="K367" i="3"/>
  <c r="AE367" i="3" s="1"/>
  <c r="I367" i="3" l="1"/>
  <c r="J367" i="3"/>
  <c r="AD367" i="3" s="1"/>
  <c r="M367" i="3"/>
  <c r="N367" i="3" s="1"/>
  <c r="V367" i="3"/>
  <c r="A368" i="3"/>
  <c r="B368" i="3" s="1"/>
  <c r="L367" i="3" l="1"/>
  <c r="W367" i="3"/>
  <c r="Z368" i="3"/>
  <c r="P368" i="3"/>
  <c r="Q368" i="3" s="1"/>
  <c r="R368" i="3" s="1"/>
  <c r="S368" i="3" s="1"/>
  <c r="AC368" i="3"/>
  <c r="AA368" i="3"/>
  <c r="T368" i="3" l="1"/>
  <c r="AH368" i="3" s="1"/>
  <c r="U367" i="3"/>
  <c r="Y366" i="3"/>
  <c r="E368" i="3" l="1"/>
  <c r="H368" i="3" s="1"/>
  <c r="K368" i="3" s="1"/>
  <c r="AE368" i="3" s="1"/>
  <c r="D368" i="3"/>
  <c r="AG368" i="3"/>
  <c r="V368" i="3" l="1"/>
  <c r="A369" i="3"/>
  <c r="B369" i="3" s="1"/>
  <c r="F368" i="3"/>
  <c r="G368" i="3"/>
  <c r="I368" i="3" l="1"/>
  <c r="W368" i="3" s="1"/>
  <c r="J368" i="3"/>
  <c r="AD368" i="3" s="1"/>
  <c r="M368" i="3"/>
  <c r="N368" i="3" s="1"/>
  <c r="AD369" i="3"/>
  <c r="Z369" i="3"/>
  <c r="AC369" i="3"/>
  <c r="P369" i="3"/>
  <c r="Q369" i="3" s="1"/>
  <c r="R369" i="3" s="1"/>
  <c r="S369" i="3" s="1"/>
  <c r="AA369" i="3"/>
  <c r="T369" i="3" l="1"/>
  <c r="L368" i="3"/>
  <c r="AH369" i="3" l="1"/>
  <c r="AG369" i="3"/>
  <c r="U368" i="3"/>
  <c r="E369" i="3" s="1"/>
  <c r="H369" i="3" s="1"/>
  <c r="Y367" i="3"/>
  <c r="D369" i="3" l="1"/>
  <c r="F369" i="3" s="1"/>
  <c r="K369" i="3"/>
  <c r="AE369" i="3" s="1"/>
  <c r="G369" i="3" l="1"/>
  <c r="M369" i="3" s="1"/>
  <c r="N369" i="3" s="1"/>
  <c r="V369" i="3"/>
  <c r="A370" i="3"/>
  <c r="B370" i="3" s="1"/>
  <c r="J369" i="3" l="1"/>
  <c r="L369" i="3" s="1"/>
  <c r="I369" i="3"/>
  <c r="W369" i="3" s="1"/>
  <c r="AD370" i="3"/>
  <c r="AA370" i="3"/>
  <c r="P370" i="3"/>
  <c r="Q370" i="3" s="1"/>
  <c r="R370" i="3" s="1"/>
  <c r="S370" i="3" s="1"/>
  <c r="AC370" i="3"/>
  <c r="Z370" i="3"/>
  <c r="U369" i="3" l="1"/>
  <c r="Y368" i="3"/>
  <c r="T370" i="3"/>
  <c r="AG370" i="3" s="1"/>
  <c r="E370" i="3" l="1"/>
  <c r="H370" i="3" s="1"/>
  <c r="K370" i="3" s="1"/>
  <c r="AE370" i="3" s="1"/>
  <c r="AH370" i="3"/>
  <c r="D370" i="3"/>
  <c r="F370" i="3" l="1"/>
  <c r="G370" i="3"/>
  <c r="M370" i="3" s="1"/>
  <c r="N370" i="3" s="1"/>
  <c r="V370" i="3"/>
  <c r="A371" i="3"/>
  <c r="B371" i="3" s="1"/>
  <c r="I370" i="3" l="1"/>
  <c r="W370" i="3" s="1"/>
  <c r="J370" i="3"/>
  <c r="L370" i="3" s="1"/>
  <c r="AD371" i="3"/>
  <c r="AC371" i="3"/>
  <c r="P371" i="3"/>
  <c r="Q371" i="3" s="1"/>
  <c r="R371" i="3" s="1"/>
  <c r="S371" i="3" s="1"/>
  <c r="AA371" i="3"/>
  <c r="Z371" i="3"/>
  <c r="T371" i="3" l="1"/>
  <c r="AG371" i="3" s="1"/>
  <c r="U370" i="3"/>
  <c r="Y369" i="3"/>
  <c r="E371" i="3" l="1"/>
  <c r="H371" i="3" s="1"/>
  <c r="K371" i="3" s="1"/>
  <c r="AE371" i="3" s="1"/>
  <c r="D371" i="3"/>
  <c r="AH371" i="3"/>
  <c r="V371" i="3" l="1"/>
  <c r="A372" i="3"/>
  <c r="B372" i="3" s="1"/>
  <c r="F371" i="3"/>
  <c r="G371" i="3"/>
  <c r="I371" i="3" l="1"/>
  <c r="W371" i="3" s="1"/>
  <c r="J371" i="3"/>
  <c r="M371" i="3"/>
  <c r="N371" i="3" s="1"/>
  <c r="P372" i="3"/>
  <c r="Q372" i="3" s="1"/>
  <c r="R372" i="3" s="1"/>
  <c r="S372" i="3" s="1"/>
  <c r="AA372" i="3"/>
  <c r="AC372" i="3"/>
  <c r="Z372" i="3"/>
  <c r="AD372" i="3"/>
  <c r="L371" i="3" l="1"/>
  <c r="T372" i="3"/>
  <c r="U371" i="3" l="1"/>
  <c r="E372" i="3" s="1"/>
  <c r="H372" i="3" s="1"/>
  <c r="AG372" i="3"/>
  <c r="AH372" i="3"/>
  <c r="Y370" i="3"/>
  <c r="D372" i="3" l="1"/>
  <c r="F372" i="3" s="1"/>
  <c r="K372" i="3"/>
  <c r="AE372" i="3" s="1"/>
  <c r="G372" i="3" l="1"/>
  <c r="M372" i="3" s="1"/>
  <c r="N372" i="3" s="1"/>
  <c r="V372" i="3"/>
  <c r="A373" i="3"/>
  <c r="B373" i="3" s="1"/>
  <c r="J372" i="3" l="1"/>
  <c r="L372" i="3" s="1"/>
  <c r="I372" i="3"/>
  <c r="W372" i="3" s="1"/>
  <c r="AD373" i="3"/>
  <c r="Z373" i="3"/>
  <c r="AC373" i="3"/>
  <c r="P373" i="3"/>
  <c r="Q373" i="3" s="1"/>
  <c r="R373" i="3" s="1"/>
  <c r="S373" i="3" s="1"/>
  <c r="AA373" i="3"/>
  <c r="U372" i="3" l="1"/>
  <c r="Y371" i="3"/>
  <c r="T373" i="3"/>
  <c r="AH373" i="3" s="1"/>
  <c r="D373" i="3" l="1"/>
  <c r="G373" i="3" s="1"/>
  <c r="E373" i="3"/>
  <c r="H373" i="3" s="1"/>
  <c r="AG373" i="3"/>
  <c r="F373" i="3" l="1"/>
  <c r="I373" i="3"/>
  <c r="J373" i="3"/>
  <c r="M373" i="3"/>
  <c r="N373" i="3" s="1"/>
  <c r="K373" i="3"/>
  <c r="AE373" i="3" s="1"/>
  <c r="V373" i="3" l="1"/>
  <c r="W373" i="3" s="1"/>
  <c r="A374" i="3"/>
  <c r="B374" i="3" s="1"/>
  <c r="L373" i="3"/>
  <c r="U373" i="3" l="1"/>
  <c r="Y372" i="3"/>
  <c r="AA374" i="3"/>
  <c r="AC374" i="3"/>
  <c r="Z374" i="3"/>
  <c r="P374" i="3"/>
  <c r="Q374" i="3" s="1"/>
  <c r="R374" i="3" s="1"/>
  <c r="S374" i="3" s="1"/>
  <c r="T374" i="3" l="1"/>
  <c r="AH374" i="3" s="1"/>
  <c r="AG374" i="3" l="1"/>
  <c r="E374" i="3"/>
  <c r="H374" i="3" s="1"/>
  <c r="K374" i="3" s="1"/>
  <c r="AE374" i="3" s="1"/>
  <c r="D374" i="3"/>
  <c r="F374" i="3" l="1"/>
  <c r="G374" i="3"/>
  <c r="I374" i="3" s="1"/>
  <c r="V374" i="3"/>
  <c r="A375" i="3"/>
  <c r="B375" i="3" s="1"/>
  <c r="J374" i="3" l="1"/>
  <c r="M374" i="3"/>
  <c r="N374" i="3" s="1"/>
  <c r="W374" i="3"/>
  <c r="P375" i="3"/>
  <c r="Q375" i="3" s="1"/>
  <c r="R375" i="3" s="1"/>
  <c r="S375" i="3" s="1"/>
  <c r="Z375" i="3"/>
  <c r="AC375" i="3"/>
  <c r="AA375" i="3"/>
  <c r="AD375" i="3"/>
  <c r="L374" i="3" l="1"/>
  <c r="Y373" i="3" s="1"/>
  <c r="AD374" i="3"/>
  <c r="T375" i="3"/>
  <c r="U374" i="3" l="1"/>
  <c r="E375" i="3" s="1"/>
  <c r="H375" i="3" s="1"/>
  <c r="K375" i="3" s="1"/>
  <c r="AE375" i="3" s="1"/>
  <c r="AG375" i="3"/>
  <c r="AH375" i="3"/>
  <c r="D375" i="3" l="1"/>
  <c r="G375" i="3" s="1"/>
  <c r="I375" i="3" s="1"/>
  <c r="V375" i="3"/>
  <c r="A376" i="3"/>
  <c r="B376" i="3" s="1"/>
  <c r="M375" i="3" l="1"/>
  <c r="N375" i="3" s="1"/>
  <c r="F375" i="3"/>
  <c r="J375" i="3"/>
  <c r="L375" i="3" s="1"/>
  <c r="W375" i="3"/>
  <c r="AA376" i="3"/>
  <c r="P376" i="3"/>
  <c r="Q376" i="3" s="1"/>
  <c r="R376" i="3" s="1"/>
  <c r="S376" i="3" s="1"/>
  <c r="AC376" i="3"/>
  <c r="Z376" i="3"/>
  <c r="AD376" i="3"/>
  <c r="T376" i="3" l="1"/>
  <c r="U375" i="3"/>
  <c r="Y374" i="3"/>
  <c r="D376" i="3" l="1"/>
  <c r="G376" i="3" s="1"/>
  <c r="AG376" i="3"/>
  <c r="AH376" i="3"/>
  <c r="E376" i="3"/>
  <c r="H376" i="3" s="1"/>
  <c r="F376" i="3" l="1"/>
  <c r="I376" i="3"/>
  <c r="J376" i="3"/>
  <c r="M376" i="3"/>
  <c r="N376" i="3" s="1"/>
  <c r="K376" i="3"/>
  <c r="AE376" i="3" s="1"/>
  <c r="V376" i="3" l="1"/>
  <c r="W376" i="3" s="1"/>
  <c r="A377" i="3"/>
  <c r="B377" i="3" s="1"/>
  <c r="L376" i="3"/>
  <c r="AC377" i="3" l="1"/>
  <c r="AA377" i="3"/>
  <c r="P377" i="3"/>
  <c r="Q377" i="3" s="1"/>
  <c r="R377" i="3" s="1"/>
  <c r="S377" i="3" s="1"/>
  <c r="Z377" i="3"/>
  <c r="U376" i="3"/>
  <c r="Y375" i="3"/>
  <c r="T377" i="3" l="1"/>
  <c r="AH377" i="3" s="1"/>
  <c r="E377" i="3" l="1"/>
  <c r="H377" i="3" s="1"/>
  <c r="K377" i="3" s="1"/>
  <c r="AE377" i="3" s="1"/>
  <c r="D377" i="3"/>
  <c r="AG377" i="3"/>
  <c r="F377" i="3" l="1"/>
  <c r="G377" i="3"/>
  <c r="M377" i="3" s="1"/>
  <c r="N377" i="3" s="1"/>
  <c r="V377" i="3"/>
  <c r="A378" i="3"/>
  <c r="B378" i="3" s="1"/>
  <c r="I377" i="3" l="1"/>
  <c r="W377" i="3" s="1"/>
  <c r="J377" i="3"/>
  <c r="Z378" i="3"/>
  <c r="AC378" i="3"/>
  <c r="P378" i="3"/>
  <c r="Q378" i="3" s="1"/>
  <c r="R378" i="3" s="1"/>
  <c r="S378" i="3" s="1"/>
  <c r="AA378" i="3"/>
  <c r="L377" i="3" l="1"/>
  <c r="U377" i="3" s="1"/>
  <c r="AD377" i="3"/>
  <c r="T378" i="3"/>
  <c r="Y376" i="3" l="1"/>
  <c r="D378" i="3"/>
  <c r="G378" i="3" s="1"/>
  <c r="AG378" i="3"/>
  <c r="E378" i="3"/>
  <c r="H378" i="3" s="1"/>
  <c r="K378" i="3" s="1"/>
  <c r="AE378" i="3" s="1"/>
  <c r="AH378" i="3"/>
  <c r="F378" i="3" l="1"/>
  <c r="V378" i="3"/>
  <c r="A379" i="3"/>
  <c r="B379" i="3" s="1"/>
  <c r="I378" i="3"/>
  <c r="J378" i="3"/>
  <c r="AD378" i="3" s="1"/>
  <c r="M378" i="3"/>
  <c r="N378" i="3" s="1"/>
  <c r="W378" i="3" l="1"/>
  <c r="L378" i="3"/>
  <c r="Z379" i="3"/>
  <c r="AA379" i="3"/>
  <c r="AD379" i="3"/>
  <c r="P379" i="3"/>
  <c r="Q379" i="3" s="1"/>
  <c r="R379" i="3" s="1"/>
  <c r="S379" i="3" s="1"/>
  <c r="AC379" i="3"/>
  <c r="U378" i="3" l="1"/>
  <c r="Y377" i="3"/>
  <c r="T379" i="3"/>
  <c r="AH379" i="3" s="1"/>
  <c r="E379" i="3" l="1"/>
  <c r="H379" i="3" s="1"/>
  <c r="K379" i="3" s="1"/>
  <c r="AE379" i="3" s="1"/>
  <c r="D379" i="3"/>
  <c r="G379" i="3" s="1"/>
  <c r="AG379" i="3"/>
  <c r="F379" i="3" l="1"/>
  <c r="I379" i="3"/>
  <c r="J379" i="3"/>
  <c r="M379" i="3"/>
  <c r="N379" i="3" s="1"/>
  <c r="V379" i="3"/>
  <c r="A380" i="3"/>
  <c r="B380" i="3" s="1"/>
  <c r="W379" i="3" l="1"/>
  <c r="L379" i="3"/>
  <c r="Z380" i="3"/>
  <c r="P380" i="3"/>
  <c r="Q380" i="3" s="1"/>
  <c r="R380" i="3" s="1"/>
  <c r="S380" i="3" s="1"/>
  <c r="AD380" i="3"/>
  <c r="AC380" i="3"/>
  <c r="AA380" i="3"/>
  <c r="T380" i="3" l="1"/>
  <c r="AH380" i="3" s="1"/>
  <c r="U379" i="3"/>
  <c r="Y378" i="3"/>
  <c r="AG380" i="3" l="1"/>
  <c r="E380" i="3"/>
  <c r="H380" i="3" s="1"/>
  <c r="K380" i="3" s="1"/>
  <c r="AE380" i="3" s="1"/>
  <c r="D380" i="3"/>
  <c r="V380" i="3" l="1"/>
  <c r="A381" i="3"/>
  <c r="B381" i="3" s="1"/>
  <c r="F380" i="3"/>
  <c r="G380" i="3"/>
  <c r="I380" i="3" l="1"/>
  <c r="W380" i="3" s="1"/>
  <c r="J380" i="3"/>
  <c r="M380" i="3"/>
  <c r="N380" i="3" s="1"/>
  <c r="Z381" i="3"/>
  <c r="AA381" i="3"/>
  <c r="AC381" i="3"/>
  <c r="P381" i="3"/>
  <c r="Q381" i="3" s="1"/>
  <c r="R381" i="3" s="1"/>
  <c r="S381" i="3" s="1"/>
  <c r="AD381" i="3"/>
  <c r="T381" i="3" l="1"/>
  <c r="L380" i="3"/>
  <c r="U380" i="3" l="1"/>
  <c r="E381" i="3" s="1"/>
  <c r="H381" i="3" s="1"/>
  <c r="AH381" i="3"/>
  <c r="AG381" i="3"/>
  <c r="Y379" i="3"/>
  <c r="K381" i="3" l="1"/>
  <c r="AE381" i="3" s="1"/>
  <c r="D381" i="3"/>
  <c r="V381" i="3" l="1"/>
  <c r="A382" i="3"/>
  <c r="B382" i="3" s="1"/>
  <c r="F381" i="3"/>
  <c r="G381" i="3"/>
  <c r="I381" i="3" l="1"/>
  <c r="W381" i="3" s="1"/>
  <c r="J381" i="3"/>
  <c r="M381" i="3"/>
  <c r="N381" i="3" s="1"/>
  <c r="AD382" i="3"/>
  <c r="AA382" i="3"/>
  <c r="Z382" i="3"/>
  <c r="P382" i="3"/>
  <c r="Q382" i="3" s="1"/>
  <c r="R382" i="3" s="1"/>
  <c r="S382" i="3" s="1"/>
  <c r="AC382" i="3"/>
  <c r="L381" i="3" l="1"/>
  <c r="T382" i="3"/>
  <c r="U381" i="3" l="1"/>
  <c r="E382" i="3" s="1"/>
  <c r="H382" i="3" s="1"/>
  <c r="AH382" i="3"/>
  <c r="AG382" i="3"/>
  <c r="Y380" i="3"/>
  <c r="D382" i="3" l="1"/>
  <c r="G382" i="3" s="1"/>
  <c r="K382" i="3"/>
  <c r="AE382" i="3" s="1"/>
  <c r="F382" i="3" l="1"/>
  <c r="I382" i="3"/>
  <c r="J382" i="3"/>
  <c r="M382" i="3"/>
  <c r="N382" i="3" s="1"/>
  <c r="V382" i="3"/>
  <c r="A383" i="3"/>
  <c r="B383" i="3" s="1"/>
  <c r="W382" i="3" l="1"/>
  <c r="L382" i="3"/>
  <c r="AD383" i="3"/>
  <c r="AA383" i="3"/>
  <c r="P383" i="3"/>
  <c r="Q383" i="3" s="1"/>
  <c r="R383" i="3" s="1"/>
  <c r="S383" i="3" s="1"/>
  <c r="Z383" i="3"/>
  <c r="AC383" i="3"/>
  <c r="U382" i="3" l="1"/>
  <c r="Y381" i="3"/>
  <c r="T383" i="3"/>
  <c r="E383" i="3" l="1"/>
  <c r="H383" i="3" s="1"/>
  <c r="K383" i="3" s="1"/>
  <c r="AE383" i="3" s="1"/>
  <c r="D383" i="3"/>
  <c r="AH383" i="3"/>
  <c r="AG383" i="3"/>
  <c r="V383" i="3" l="1"/>
  <c r="A384" i="3"/>
  <c r="B384" i="3" s="1"/>
  <c r="F383" i="3"/>
  <c r="G383" i="3"/>
  <c r="I383" i="3" l="1"/>
  <c r="W383" i="3" s="1"/>
  <c r="J383" i="3"/>
  <c r="M383" i="3"/>
  <c r="N383" i="3" s="1"/>
  <c r="P384" i="3"/>
  <c r="Q384" i="3" s="1"/>
  <c r="R384" i="3" s="1"/>
  <c r="S384" i="3" s="1"/>
  <c r="Z384" i="3"/>
  <c r="AC384" i="3"/>
  <c r="AA384" i="3"/>
  <c r="T384" i="3" l="1"/>
  <c r="L383" i="3"/>
  <c r="AG384" i="3" l="1"/>
  <c r="AH384" i="3"/>
  <c r="U383" i="3"/>
  <c r="D384" i="3" s="1"/>
  <c r="Y382" i="3"/>
  <c r="E384" i="3" l="1"/>
  <c r="H384" i="3" s="1"/>
  <c r="K384" i="3" s="1"/>
  <c r="AE384" i="3" s="1"/>
  <c r="G384" i="3"/>
  <c r="F384" i="3" l="1"/>
  <c r="I384" i="3"/>
  <c r="J384" i="3"/>
  <c r="AD384" i="3" s="1"/>
  <c r="M384" i="3"/>
  <c r="N384" i="3" s="1"/>
  <c r="V384" i="3"/>
  <c r="A385" i="3"/>
  <c r="B385" i="3" s="1"/>
  <c r="W384" i="3" l="1"/>
  <c r="L384" i="3"/>
  <c r="P385" i="3"/>
  <c r="Q385" i="3" s="1"/>
  <c r="R385" i="3" s="1"/>
  <c r="S385" i="3" s="1"/>
  <c r="AD385" i="3"/>
  <c r="Z385" i="3"/>
  <c r="AC385" i="3"/>
  <c r="AA385" i="3"/>
  <c r="U384" i="3" l="1"/>
  <c r="Y383" i="3"/>
  <c r="T385" i="3"/>
  <c r="AG385" i="3" s="1"/>
  <c r="D385" i="3" l="1"/>
  <c r="G385" i="3" s="1"/>
  <c r="E385" i="3"/>
  <c r="H385" i="3" s="1"/>
  <c r="K385" i="3" s="1"/>
  <c r="AE385" i="3" s="1"/>
  <c r="AH385" i="3"/>
  <c r="F385" i="3" l="1"/>
  <c r="V385" i="3"/>
  <c r="A386" i="3"/>
  <c r="B386" i="3" s="1"/>
  <c r="I385" i="3"/>
  <c r="J385" i="3"/>
  <c r="M385" i="3"/>
  <c r="N385" i="3" s="1"/>
  <c r="L385" i="3" l="1"/>
  <c r="W385" i="3"/>
  <c r="AC386" i="3"/>
  <c r="P386" i="3"/>
  <c r="Q386" i="3" s="1"/>
  <c r="R386" i="3" s="1"/>
  <c r="S386" i="3" s="1"/>
  <c r="AA386" i="3"/>
  <c r="AD386" i="3"/>
  <c r="Z386" i="3"/>
  <c r="T386" i="3" l="1"/>
  <c r="AH386" i="3" s="1"/>
  <c r="U385" i="3"/>
  <c r="Y384" i="3"/>
  <c r="D386" i="3" l="1"/>
  <c r="E386" i="3"/>
  <c r="H386" i="3" s="1"/>
  <c r="AG386" i="3"/>
  <c r="F386" i="3" l="1"/>
  <c r="G386" i="3"/>
  <c r="K386" i="3"/>
  <c r="AE386" i="3" s="1"/>
  <c r="I386" i="3" l="1"/>
  <c r="J386" i="3"/>
  <c r="M386" i="3"/>
  <c r="N386" i="3" s="1"/>
  <c r="V386" i="3"/>
  <c r="A387" i="3"/>
  <c r="B387" i="3" s="1"/>
  <c r="W386" i="3" l="1"/>
  <c r="L386" i="3"/>
  <c r="AA387" i="3"/>
  <c r="P387" i="3"/>
  <c r="Q387" i="3" s="1"/>
  <c r="R387" i="3" s="1"/>
  <c r="S387" i="3" s="1"/>
  <c r="AC387" i="3"/>
  <c r="Z387" i="3"/>
  <c r="U386" i="3" l="1"/>
  <c r="Y385" i="3"/>
  <c r="T387" i="3"/>
  <c r="AG387" i="3" s="1"/>
  <c r="AH387" i="3" l="1"/>
  <c r="D387" i="3"/>
  <c r="G387" i="3" s="1"/>
  <c r="E387" i="3"/>
  <c r="H387" i="3" s="1"/>
  <c r="F387" i="3" l="1"/>
  <c r="I387" i="3"/>
  <c r="J387" i="3"/>
  <c r="AD387" i="3" s="1"/>
  <c r="M387" i="3"/>
  <c r="N387" i="3" s="1"/>
  <c r="K387" i="3"/>
  <c r="AE387" i="3" s="1"/>
  <c r="V387" i="3" l="1"/>
  <c r="W387" i="3" s="1"/>
  <c r="A388" i="3"/>
  <c r="B388" i="3" s="1"/>
  <c r="L387" i="3"/>
  <c r="U387" i="3" l="1"/>
  <c r="Y386" i="3"/>
  <c r="AA388" i="3"/>
  <c r="Z388" i="3"/>
  <c r="P388" i="3"/>
  <c r="Q388" i="3" s="1"/>
  <c r="R388" i="3" s="1"/>
  <c r="S388" i="3" s="1"/>
  <c r="AC388" i="3"/>
  <c r="T388" i="3" l="1"/>
  <c r="E388" i="3" s="1"/>
  <c r="H388" i="3" s="1"/>
  <c r="K388" i="3" l="1"/>
  <c r="AE388" i="3" s="1"/>
  <c r="D388" i="3"/>
  <c r="AG388" i="3"/>
  <c r="AH388" i="3"/>
  <c r="V388" i="3" l="1"/>
  <c r="A389" i="3"/>
  <c r="B389" i="3" s="1"/>
  <c r="F388" i="3"/>
  <c r="G388" i="3"/>
  <c r="I388" i="3" l="1"/>
  <c r="W388" i="3" s="1"/>
  <c r="J388" i="3"/>
  <c r="AD388" i="3" s="1"/>
  <c r="M388" i="3"/>
  <c r="N388" i="3" s="1"/>
  <c r="P389" i="3"/>
  <c r="Q389" i="3" s="1"/>
  <c r="R389" i="3" s="1"/>
  <c r="S389" i="3" s="1"/>
  <c r="AA389" i="3"/>
  <c r="AD389" i="3"/>
  <c r="AC389" i="3"/>
  <c r="Z389" i="3"/>
  <c r="T389" i="3" l="1"/>
  <c r="L388" i="3"/>
  <c r="U388" i="3" l="1"/>
  <c r="E389" i="3" s="1"/>
  <c r="H389" i="3" s="1"/>
  <c r="AH389" i="3"/>
  <c r="AG389" i="3"/>
  <c r="Y387" i="3"/>
  <c r="D389" i="3" l="1"/>
  <c r="G389" i="3" s="1"/>
  <c r="K389" i="3"/>
  <c r="AE389" i="3" s="1"/>
  <c r="F389" i="3" l="1"/>
  <c r="V389" i="3"/>
  <c r="A390" i="3"/>
  <c r="B390" i="3" s="1"/>
  <c r="I389" i="3"/>
  <c r="J389" i="3"/>
  <c r="M389" i="3"/>
  <c r="N389" i="3" s="1"/>
  <c r="W389" i="3" l="1"/>
  <c r="L389" i="3"/>
  <c r="P390" i="3"/>
  <c r="Q390" i="3" s="1"/>
  <c r="R390" i="3" s="1"/>
  <c r="S390" i="3" s="1"/>
  <c r="AC390" i="3"/>
  <c r="AA390" i="3"/>
  <c r="Z390" i="3"/>
  <c r="AD390" i="3"/>
  <c r="U389" i="3" l="1"/>
  <c r="Y388" i="3"/>
  <c r="T390" i="3"/>
  <c r="AG390" i="3" s="1"/>
  <c r="D390" i="3" l="1"/>
  <c r="AH390" i="3"/>
  <c r="E390" i="3"/>
  <c r="H390" i="3" s="1"/>
  <c r="F390" i="3" l="1"/>
  <c r="G390" i="3"/>
  <c r="K390" i="3"/>
  <c r="AE390" i="3" s="1"/>
  <c r="I390" i="3" l="1"/>
  <c r="J390" i="3"/>
  <c r="M390" i="3"/>
  <c r="N390" i="3" s="1"/>
  <c r="V390" i="3"/>
  <c r="A391" i="3"/>
  <c r="B391" i="3" s="1"/>
  <c r="W390" i="3" l="1"/>
  <c r="L390" i="3"/>
  <c r="AC391" i="3"/>
  <c r="AA391" i="3"/>
  <c r="AD391" i="3"/>
  <c r="Z391" i="3"/>
  <c r="P391" i="3"/>
  <c r="Q391" i="3" s="1"/>
  <c r="R391" i="3" s="1"/>
  <c r="S391" i="3" s="1"/>
  <c r="U390" i="3" l="1"/>
  <c r="Y389" i="3"/>
  <c r="T391" i="3"/>
  <c r="E391" i="3" l="1"/>
  <c r="H391" i="3" s="1"/>
  <c r="K391" i="3" s="1"/>
  <c r="AE391" i="3" s="1"/>
  <c r="AG391" i="3"/>
  <c r="AH391" i="3"/>
  <c r="D391" i="3"/>
  <c r="V391" i="3" l="1"/>
  <c r="A392" i="3"/>
  <c r="B392" i="3" s="1"/>
  <c r="F391" i="3"/>
  <c r="G391" i="3"/>
  <c r="I391" i="3" l="1"/>
  <c r="W391" i="3" s="1"/>
  <c r="J391" i="3"/>
  <c r="M391" i="3"/>
  <c r="N391" i="3" s="1"/>
  <c r="AD392" i="3"/>
  <c r="Z392" i="3"/>
  <c r="P392" i="3"/>
  <c r="Q392" i="3" s="1"/>
  <c r="R392" i="3" s="1"/>
  <c r="S392" i="3" s="1"/>
  <c r="AA392" i="3"/>
  <c r="AC392" i="3"/>
  <c r="T392" i="3" l="1"/>
  <c r="L391" i="3"/>
  <c r="U391" i="3" l="1"/>
  <c r="D392" i="3" s="1"/>
  <c r="AH392" i="3"/>
  <c r="AG392" i="3"/>
  <c r="Y390" i="3"/>
  <c r="G392" i="3" l="1"/>
  <c r="E392" i="3"/>
  <c r="H392" i="3" s="1"/>
  <c r="F392" i="3" l="1"/>
  <c r="I392" i="3"/>
  <c r="J392" i="3"/>
  <c r="M392" i="3"/>
  <c r="N392" i="3" s="1"/>
  <c r="K392" i="3"/>
  <c r="AE392" i="3" s="1"/>
  <c r="V392" i="3" l="1"/>
  <c r="W392" i="3" s="1"/>
  <c r="A393" i="3"/>
  <c r="B393" i="3" s="1"/>
  <c r="L392" i="3"/>
  <c r="U392" i="3" l="1"/>
  <c r="Y391" i="3"/>
  <c r="AD393" i="3"/>
  <c r="Z393" i="3"/>
  <c r="AA393" i="3"/>
  <c r="P393" i="3"/>
  <c r="Q393" i="3" s="1"/>
  <c r="R393" i="3" s="1"/>
  <c r="S393" i="3" s="1"/>
  <c r="AC393" i="3"/>
  <c r="T393" i="3" l="1"/>
  <c r="AG393" i="3" s="1"/>
  <c r="E393" i="3" l="1"/>
  <c r="H393" i="3" s="1"/>
  <c r="K393" i="3" s="1"/>
  <c r="AE393" i="3" s="1"/>
  <c r="D393" i="3"/>
  <c r="AH393" i="3"/>
  <c r="V393" i="3" l="1"/>
  <c r="A394" i="3"/>
  <c r="B394" i="3" s="1"/>
  <c r="F393" i="3"/>
  <c r="G393" i="3"/>
  <c r="I393" i="3" l="1"/>
  <c r="W393" i="3" s="1"/>
  <c r="J393" i="3"/>
  <c r="M393" i="3"/>
  <c r="N393" i="3" s="1"/>
  <c r="P394" i="3"/>
  <c r="Q394" i="3" s="1"/>
  <c r="R394" i="3" s="1"/>
  <c r="S394" i="3" s="1"/>
  <c r="AC394" i="3"/>
  <c r="Z394" i="3"/>
  <c r="AA394" i="3"/>
  <c r="T394" i="3" l="1"/>
  <c r="L393" i="3"/>
  <c r="AH394" i="3" l="1"/>
  <c r="AG394" i="3"/>
  <c r="U393" i="3"/>
  <c r="D394" i="3" s="1"/>
  <c r="Y392" i="3"/>
  <c r="G394" i="3" l="1"/>
  <c r="E394" i="3"/>
  <c r="H394" i="3" s="1"/>
  <c r="F394" i="3" l="1"/>
  <c r="I394" i="3"/>
  <c r="J394" i="3"/>
  <c r="AD394" i="3" s="1"/>
  <c r="M394" i="3"/>
  <c r="N394" i="3" s="1"/>
  <c r="K394" i="3"/>
  <c r="AE394" i="3" s="1"/>
  <c r="L394" i="3" l="1"/>
  <c r="V394" i="3"/>
  <c r="W394" i="3" s="1"/>
  <c r="A395" i="3"/>
  <c r="B395" i="3" s="1"/>
  <c r="U394" i="3" l="1"/>
  <c r="Y393" i="3"/>
  <c r="AD395" i="3"/>
  <c r="AA395" i="3"/>
  <c r="P395" i="3"/>
  <c r="Q395" i="3" s="1"/>
  <c r="R395" i="3" s="1"/>
  <c r="S395" i="3" s="1"/>
  <c r="Z395" i="3"/>
  <c r="AC395" i="3"/>
  <c r="T395" i="3" l="1"/>
  <c r="AG395" i="3" s="1"/>
  <c r="AH395" i="3" l="1"/>
  <c r="E395" i="3"/>
  <c r="H395" i="3" s="1"/>
  <c r="K395" i="3" s="1"/>
  <c r="AE395" i="3" s="1"/>
  <c r="D395" i="3"/>
  <c r="G395" i="3" s="1"/>
  <c r="F395" i="3" l="1"/>
  <c r="V395" i="3"/>
  <c r="A396" i="3"/>
  <c r="B396" i="3" s="1"/>
  <c r="I395" i="3"/>
  <c r="J395" i="3"/>
  <c r="M395" i="3"/>
  <c r="N395" i="3" s="1"/>
  <c r="W395" i="3" l="1"/>
  <c r="L395" i="3"/>
  <c r="AA396" i="3"/>
  <c r="Z396" i="3"/>
  <c r="P396" i="3"/>
  <c r="Q396" i="3" s="1"/>
  <c r="R396" i="3" s="1"/>
  <c r="S396" i="3" s="1"/>
  <c r="AD396" i="3"/>
  <c r="AC396" i="3"/>
  <c r="U395" i="3" l="1"/>
  <c r="Y394" i="3"/>
  <c r="T396" i="3"/>
  <c r="E396" i="3" l="1"/>
  <c r="H396" i="3" s="1"/>
  <c r="K396" i="3" s="1"/>
  <c r="AE396" i="3" s="1"/>
  <c r="AG396" i="3"/>
  <c r="AH396" i="3"/>
  <c r="D396" i="3"/>
  <c r="F396" i="3" l="1"/>
  <c r="G396" i="3"/>
  <c r="V396" i="3"/>
  <c r="A397" i="3"/>
  <c r="B397" i="3" s="1"/>
  <c r="P397" i="3" l="1"/>
  <c r="Q397" i="3" s="1"/>
  <c r="R397" i="3" s="1"/>
  <c r="S397" i="3" s="1"/>
  <c r="AC397" i="3"/>
  <c r="AA397" i="3"/>
  <c r="Z397" i="3"/>
  <c r="I396" i="3"/>
  <c r="W396" i="3" s="1"/>
  <c r="J396" i="3"/>
  <c r="M396" i="3"/>
  <c r="N396" i="3" s="1"/>
  <c r="T397" i="3" l="1"/>
  <c r="L396" i="3"/>
  <c r="U396" i="3" l="1"/>
  <c r="E397" i="3" s="1"/>
  <c r="H397" i="3" s="1"/>
  <c r="AG397" i="3"/>
  <c r="AH397" i="3"/>
  <c r="Y395" i="3"/>
  <c r="D397" i="3" l="1"/>
  <c r="F397" i="3" s="1"/>
  <c r="K397" i="3"/>
  <c r="AE397" i="3" s="1"/>
  <c r="G397" i="3" l="1"/>
  <c r="M397" i="3" s="1"/>
  <c r="N397" i="3" s="1"/>
  <c r="V397" i="3"/>
  <c r="A398" i="3"/>
  <c r="B398" i="3" s="1"/>
  <c r="I397" i="3" l="1"/>
  <c r="W397" i="3" s="1"/>
  <c r="J397" i="3"/>
  <c r="AC398" i="3"/>
  <c r="AA398" i="3"/>
  <c r="P398" i="3"/>
  <c r="Q398" i="3" s="1"/>
  <c r="R398" i="3" s="1"/>
  <c r="S398" i="3" s="1"/>
  <c r="Z398" i="3"/>
  <c r="L397" i="3" l="1"/>
  <c r="U397" i="3" s="1"/>
  <c r="AD397" i="3"/>
  <c r="T398" i="3"/>
  <c r="Y396" i="3" l="1"/>
  <c r="E398" i="3"/>
  <c r="H398" i="3" s="1"/>
  <c r="K398" i="3" s="1"/>
  <c r="AE398" i="3" s="1"/>
  <c r="D398" i="3"/>
  <c r="G398" i="3" s="1"/>
  <c r="AH398" i="3"/>
  <c r="AG398" i="3"/>
  <c r="F398" i="3" l="1"/>
  <c r="V398" i="3"/>
  <c r="A399" i="3"/>
  <c r="B399" i="3" s="1"/>
  <c r="I398" i="3"/>
  <c r="J398" i="3"/>
  <c r="AD398" i="3" s="1"/>
  <c r="M398" i="3"/>
  <c r="N398" i="3" s="1"/>
  <c r="L398" i="3" l="1"/>
  <c r="W398" i="3"/>
  <c r="Z399" i="3"/>
  <c r="P399" i="3"/>
  <c r="Q399" i="3" s="1"/>
  <c r="R399" i="3" s="1"/>
  <c r="S399" i="3" s="1"/>
  <c r="AD399" i="3"/>
  <c r="AA399" i="3"/>
  <c r="AC399" i="3"/>
  <c r="U398" i="3" l="1"/>
  <c r="Y397" i="3"/>
  <c r="T399" i="3"/>
  <c r="AH399" i="3" s="1"/>
  <c r="D399" i="3" l="1"/>
  <c r="G399" i="3" s="1"/>
  <c r="AG399" i="3"/>
  <c r="E399" i="3"/>
  <c r="H399" i="3" s="1"/>
  <c r="F399" i="3" l="1"/>
  <c r="I399" i="3"/>
  <c r="J399" i="3"/>
  <c r="M399" i="3"/>
  <c r="N399" i="3" s="1"/>
  <c r="K399" i="3"/>
  <c r="AE399" i="3" s="1"/>
  <c r="V399" i="3" l="1"/>
  <c r="W399" i="3" s="1"/>
  <c r="A400" i="3"/>
  <c r="B400" i="3" s="1"/>
  <c r="L399" i="3"/>
  <c r="U399" i="3" l="1"/>
  <c r="Y398" i="3"/>
  <c r="AD400" i="3"/>
  <c r="AC400" i="3"/>
  <c r="Z400" i="3"/>
  <c r="P400" i="3"/>
  <c r="Q400" i="3" s="1"/>
  <c r="R400" i="3" s="1"/>
  <c r="S400" i="3" s="1"/>
  <c r="AA400" i="3"/>
  <c r="T400" i="3" l="1"/>
  <c r="AH400" i="3" s="1"/>
  <c r="AG400" i="3" l="1"/>
  <c r="D400" i="3"/>
  <c r="G400" i="3" s="1"/>
  <c r="E400" i="3"/>
  <c r="H400" i="3" s="1"/>
  <c r="K400" i="3" s="1"/>
  <c r="AE400" i="3" s="1"/>
  <c r="F400" i="3" l="1"/>
  <c r="V400" i="3"/>
  <c r="A401" i="3"/>
  <c r="B401" i="3" s="1"/>
  <c r="I400" i="3"/>
  <c r="J400" i="3"/>
  <c r="M400" i="3"/>
  <c r="N400" i="3" s="1"/>
  <c r="W400" i="3" l="1"/>
  <c r="L400" i="3"/>
  <c r="AA401" i="3"/>
  <c r="Z401" i="3"/>
  <c r="AC401" i="3"/>
  <c r="AD401" i="3"/>
  <c r="P401" i="3"/>
  <c r="Q401" i="3" s="1"/>
  <c r="R401" i="3" s="1"/>
  <c r="S401" i="3" s="1"/>
  <c r="U400" i="3" l="1"/>
  <c r="Y399" i="3"/>
  <c r="T401" i="3"/>
  <c r="AG401" i="3" s="1"/>
  <c r="D401" i="3" l="1"/>
  <c r="E401" i="3"/>
  <c r="H401" i="3" s="1"/>
  <c r="K401" i="3" s="1"/>
  <c r="AE401" i="3" s="1"/>
  <c r="AH401" i="3"/>
  <c r="F401" i="3" l="1"/>
  <c r="G401" i="3"/>
  <c r="J401" i="3" s="1"/>
  <c r="V401" i="3"/>
  <c r="A402" i="3"/>
  <c r="B402" i="3" s="1"/>
  <c r="M401" i="3" l="1"/>
  <c r="N401" i="3" s="1"/>
  <c r="I401" i="3"/>
  <c r="W401" i="3" s="1"/>
  <c r="L401" i="3"/>
  <c r="AA402" i="3"/>
  <c r="AC402" i="3"/>
  <c r="Z402" i="3"/>
  <c r="AD402" i="3"/>
  <c r="P402" i="3"/>
  <c r="Q402" i="3" s="1"/>
  <c r="R402" i="3" s="1"/>
  <c r="S402" i="3" s="1"/>
  <c r="U401" i="3" l="1"/>
  <c r="Y400" i="3"/>
  <c r="T402" i="3"/>
  <c r="AG402" i="3" s="1"/>
  <c r="AH402" i="3" l="1"/>
  <c r="E402" i="3"/>
  <c r="H402" i="3" s="1"/>
  <c r="K402" i="3" s="1"/>
  <c r="AE402" i="3" s="1"/>
  <c r="D402" i="3"/>
  <c r="G402" i="3" s="1"/>
  <c r="F402" i="3" l="1"/>
  <c r="I402" i="3"/>
  <c r="J402" i="3"/>
  <c r="M402" i="3"/>
  <c r="N402" i="3" s="1"/>
  <c r="V402" i="3"/>
  <c r="A403" i="3"/>
  <c r="B403" i="3" s="1"/>
  <c r="W402" i="3" l="1"/>
  <c r="L402" i="3"/>
  <c r="AC403" i="3"/>
  <c r="AA403" i="3"/>
  <c r="P403" i="3"/>
  <c r="Q403" i="3" s="1"/>
  <c r="R403" i="3" s="1"/>
  <c r="S403" i="3" s="1"/>
  <c r="Z403" i="3"/>
  <c r="AD403" i="3"/>
  <c r="T403" i="3" l="1"/>
  <c r="AH403" i="3" s="1"/>
  <c r="U402" i="3"/>
  <c r="Y401" i="3"/>
  <c r="AG403" i="3" l="1"/>
  <c r="D403" i="3"/>
  <c r="E403" i="3"/>
  <c r="H403" i="3" s="1"/>
  <c r="F403" i="3" l="1"/>
  <c r="G403" i="3"/>
  <c r="K403" i="3"/>
  <c r="AE403" i="3" s="1"/>
  <c r="V403" i="3" l="1"/>
  <c r="A404" i="3"/>
  <c r="B404" i="3" s="1"/>
  <c r="I403" i="3"/>
  <c r="J403" i="3"/>
  <c r="M403" i="3"/>
  <c r="N403" i="3" s="1"/>
  <c r="W403" i="3" l="1"/>
  <c r="L403" i="3"/>
  <c r="P404" i="3"/>
  <c r="Q404" i="3" s="1"/>
  <c r="R404" i="3" s="1"/>
  <c r="S404" i="3" s="1"/>
  <c r="AA404" i="3"/>
  <c r="Z404" i="3"/>
  <c r="AC404" i="3"/>
  <c r="U403" i="3" l="1"/>
  <c r="Y402" i="3"/>
  <c r="T404" i="3"/>
  <c r="AG404" i="3" s="1"/>
  <c r="E404" i="3" l="1"/>
  <c r="H404" i="3" s="1"/>
  <c r="K404" i="3" s="1"/>
  <c r="AE404" i="3" s="1"/>
  <c r="AH404" i="3"/>
  <c r="D404" i="3"/>
  <c r="G404" i="3" s="1"/>
  <c r="F404" i="3" l="1"/>
  <c r="I404" i="3"/>
  <c r="J404" i="3"/>
  <c r="AD404" i="3" s="1"/>
  <c r="M404" i="3"/>
  <c r="N404" i="3" s="1"/>
  <c r="V404" i="3"/>
  <c r="A405" i="3"/>
  <c r="B405" i="3" s="1"/>
  <c r="W404" i="3" l="1"/>
  <c r="L404" i="3"/>
  <c r="P405" i="3"/>
  <c r="Q405" i="3" s="1"/>
  <c r="R405" i="3" s="1"/>
  <c r="S405" i="3" s="1"/>
  <c r="AC405" i="3"/>
  <c r="Z405" i="3"/>
  <c r="AA405" i="3"/>
  <c r="U404" i="3" l="1"/>
  <c r="Y403" i="3"/>
  <c r="T405" i="3"/>
  <c r="E405" i="3" l="1"/>
  <c r="H405" i="3" s="1"/>
  <c r="K405" i="3" s="1"/>
  <c r="AE405" i="3" s="1"/>
  <c r="AH405" i="3"/>
  <c r="D405" i="3"/>
  <c r="AG405" i="3"/>
  <c r="F405" i="3" l="1"/>
  <c r="G405" i="3"/>
  <c r="V405" i="3"/>
  <c r="A406" i="3"/>
  <c r="B406" i="3" s="1"/>
  <c r="AA406" i="3" l="1"/>
  <c r="AC406" i="3"/>
  <c r="Z406" i="3"/>
  <c r="P406" i="3"/>
  <c r="Q406" i="3" s="1"/>
  <c r="R406" i="3" s="1"/>
  <c r="S406" i="3" s="1"/>
  <c r="I405" i="3"/>
  <c r="W405" i="3" s="1"/>
  <c r="J405" i="3"/>
  <c r="AD405" i="3" s="1"/>
  <c r="M405" i="3"/>
  <c r="N405" i="3" s="1"/>
  <c r="T406" i="3" l="1"/>
  <c r="L405" i="3"/>
  <c r="U405" i="3" l="1"/>
  <c r="E406" i="3" s="1"/>
  <c r="H406" i="3" s="1"/>
  <c r="AH406" i="3"/>
  <c r="AG406" i="3"/>
  <c r="Y404" i="3"/>
  <c r="K406" i="3" l="1"/>
  <c r="AE406" i="3" s="1"/>
  <c r="D406" i="3"/>
  <c r="V406" i="3" l="1"/>
  <c r="A407" i="3"/>
  <c r="B407" i="3" s="1"/>
  <c r="F406" i="3"/>
  <c r="G406" i="3"/>
  <c r="I406" i="3" l="1"/>
  <c r="W406" i="3" s="1"/>
  <c r="J406" i="3"/>
  <c r="AD406" i="3" s="1"/>
  <c r="M406" i="3"/>
  <c r="N406" i="3" s="1"/>
  <c r="AC407" i="3"/>
  <c r="Z407" i="3"/>
  <c r="P407" i="3"/>
  <c r="Q407" i="3" s="1"/>
  <c r="R407" i="3" s="1"/>
  <c r="S407" i="3" s="1"/>
  <c r="AA407" i="3"/>
  <c r="L406" i="3" l="1"/>
  <c r="T407" i="3"/>
  <c r="U406" i="3" l="1"/>
  <c r="D407" i="3" s="1"/>
  <c r="AG407" i="3"/>
  <c r="AH407" i="3"/>
  <c r="Y405" i="3"/>
  <c r="G407" i="3" l="1"/>
  <c r="E407" i="3"/>
  <c r="H407" i="3" s="1"/>
  <c r="F407" i="3" l="1"/>
  <c r="I407" i="3"/>
  <c r="J407" i="3"/>
  <c r="AD407" i="3" s="1"/>
  <c r="M407" i="3"/>
  <c r="N407" i="3" s="1"/>
  <c r="K407" i="3"/>
  <c r="AE407" i="3" s="1"/>
  <c r="V407" i="3" l="1"/>
  <c r="W407" i="3" s="1"/>
  <c r="A408" i="3"/>
  <c r="B408" i="3" s="1"/>
  <c r="L407" i="3"/>
  <c r="U407" i="3" l="1"/>
  <c r="Y406" i="3"/>
  <c r="Z408" i="3"/>
  <c r="AC408" i="3"/>
  <c r="P408" i="3"/>
  <c r="Q408" i="3" s="1"/>
  <c r="R408" i="3" s="1"/>
  <c r="S408" i="3" s="1"/>
  <c r="AA408" i="3"/>
  <c r="T408" i="3" l="1"/>
  <c r="AH408" i="3" s="1"/>
  <c r="E408" i="3" l="1"/>
  <c r="H408" i="3" s="1"/>
  <c r="K408" i="3" s="1"/>
  <c r="AE408" i="3" s="1"/>
  <c r="D408" i="3"/>
  <c r="G408" i="3" s="1"/>
  <c r="AG408" i="3"/>
  <c r="F408" i="3" l="1"/>
  <c r="I408" i="3"/>
  <c r="J408" i="3"/>
  <c r="AD408" i="3" s="1"/>
  <c r="M408" i="3"/>
  <c r="N408" i="3" s="1"/>
  <c r="V408" i="3"/>
  <c r="A409" i="3"/>
  <c r="B409" i="3" s="1"/>
  <c r="W408" i="3" l="1"/>
  <c r="L408" i="3"/>
  <c r="AA409" i="3"/>
  <c r="AC409" i="3"/>
  <c r="P409" i="3"/>
  <c r="Q409" i="3" s="1"/>
  <c r="R409" i="3" s="1"/>
  <c r="S409" i="3" s="1"/>
  <c r="Z409" i="3"/>
  <c r="U408" i="3" l="1"/>
  <c r="Y407" i="3"/>
  <c r="T409" i="3"/>
  <c r="E409" i="3" l="1"/>
  <c r="H409" i="3" s="1"/>
  <c r="K409" i="3" s="1"/>
  <c r="AE409" i="3" s="1"/>
  <c r="AH409" i="3"/>
  <c r="D409" i="3"/>
  <c r="AG409" i="3"/>
  <c r="F409" i="3" l="1"/>
  <c r="G409" i="3"/>
  <c r="V409" i="3"/>
  <c r="A410" i="3"/>
  <c r="B410" i="3" s="1"/>
  <c r="P410" i="3" l="1"/>
  <c r="Q410" i="3" s="1"/>
  <c r="R410" i="3" s="1"/>
  <c r="S410" i="3" s="1"/>
  <c r="AA410" i="3"/>
  <c r="AC410" i="3"/>
  <c r="Z410" i="3"/>
  <c r="I409" i="3"/>
  <c r="W409" i="3" s="1"/>
  <c r="J409" i="3"/>
  <c r="AD409" i="3" s="1"/>
  <c r="M409" i="3"/>
  <c r="N409" i="3" s="1"/>
  <c r="T410" i="3" l="1"/>
  <c r="L409" i="3"/>
  <c r="AG410" i="3" l="1"/>
  <c r="U409" i="3"/>
  <c r="D410" i="3" s="1"/>
  <c r="AH410" i="3"/>
  <c r="Y408" i="3"/>
  <c r="E410" i="3" l="1"/>
  <c r="H410" i="3" s="1"/>
  <c r="K410" i="3" s="1"/>
  <c r="AE410" i="3" s="1"/>
  <c r="G410" i="3"/>
  <c r="F410" i="3" l="1"/>
  <c r="I410" i="3"/>
  <c r="J410" i="3"/>
  <c r="AD410" i="3" s="1"/>
  <c r="M410" i="3"/>
  <c r="N410" i="3" s="1"/>
  <c r="V410" i="3"/>
  <c r="A411" i="3"/>
  <c r="B411" i="3" s="1"/>
  <c r="W410" i="3" l="1"/>
  <c r="L410" i="3"/>
  <c r="AC411" i="3"/>
  <c r="P411" i="3"/>
  <c r="Q411" i="3" s="1"/>
  <c r="R411" i="3" s="1"/>
  <c r="S411" i="3" s="1"/>
  <c r="AA411" i="3"/>
  <c r="Z411" i="3"/>
  <c r="U410" i="3" l="1"/>
  <c r="Y409" i="3"/>
  <c r="T411" i="3"/>
  <c r="AG411" i="3" s="1"/>
  <c r="E411" i="3" l="1"/>
  <c r="H411" i="3" s="1"/>
  <c r="K411" i="3" s="1"/>
  <c r="AE411" i="3" s="1"/>
  <c r="AH411" i="3"/>
  <c r="D411" i="3"/>
  <c r="F411" i="3" l="1"/>
  <c r="G411" i="3"/>
  <c r="V411" i="3"/>
  <c r="A412" i="3"/>
  <c r="B412" i="3" s="1"/>
  <c r="AA412" i="3" l="1"/>
  <c r="AC412" i="3"/>
  <c r="P412" i="3"/>
  <c r="Q412" i="3" s="1"/>
  <c r="R412" i="3" s="1"/>
  <c r="S412" i="3" s="1"/>
  <c r="Z412" i="3"/>
  <c r="I411" i="3"/>
  <c r="W411" i="3" s="1"/>
  <c r="J411" i="3"/>
  <c r="AD411" i="3" s="1"/>
  <c r="M411" i="3"/>
  <c r="N411" i="3" s="1"/>
  <c r="T412" i="3" l="1"/>
  <c r="L411" i="3"/>
  <c r="U411" i="3" l="1"/>
  <c r="D412" i="3" s="1"/>
  <c r="AG412" i="3"/>
  <c r="AH412" i="3"/>
  <c r="Y410" i="3"/>
  <c r="G412" i="3" l="1"/>
  <c r="E412" i="3"/>
  <c r="H412" i="3" s="1"/>
  <c r="F412" i="3" l="1"/>
  <c r="I412" i="3"/>
  <c r="J412" i="3"/>
  <c r="AD412" i="3" s="1"/>
  <c r="M412" i="3"/>
  <c r="N412" i="3" s="1"/>
  <c r="K412" i="3"/>
  <c r="AE412" i="3" s="1"/>
  <c r="V412" i="3" l="1"/>
  <c r="W412" i="3" s="1"/>
  <c r="A413" i="3"/>
  <c r="B413" i="3" s="1"/>
  <c r="L412" i="3"/>
  <c r="U412" i="3" l="1"/>
  <c r="Y411" i="3"/>
  <c r="Z413" i="3"/>
  <c r="P413" i="3"/>
  <c r="Q413" i="3" s="1"/>
  <c r="R413" i="3" s="1"/>
  <c r="S413" i="3" s="1"/>
  <c r="AA413" i="3"/>
  <c r="AC413" i="3"/>
  <c r="T413" i="3" l="1"/>
  <c r="D413" i="3" s="1"/>
  <c r="E413" i="3" l="1"/>
  <c r="H413" i="3" s="1"/>
  <c r="K413" i="3" s="1"/>
  <c r="AE413" i="3" s="1"/>
  <c r="AH413" i="3"/>
  <c r="G413" i="3"/>
  <c r="AG413" i="3"/>
  <c r="F413" i="3" l="1"/>
  <c r="I413" i="3"/>
  <c r="J413" i="3"/>
  <c r="AD413" i="3" s="1"/>
  <c r="M413" i="3"/>
  <c r="N413" i="3" s="1"/>
  <c r="V413" i="3"/>
  <c r="A414" i="3"/>
  <c r="B414" i="3" s="1"/>
  <c r="L413" i="3" l="1"/>
  <c r="P414" i="3"/>
  <c r="Q414" i="3" s="1"/>
  <c r="R414" i="3" s="1"/>
  <c r="S414" i="3" s="1"/>
  <c r="Z414" i="3"/>
  <c r="AA414" i="3"/>
  <c r="AC414" i="3"/>
  <c r="W413" i="3"/>
  <c r="U413" i="3" l="1"/>
  <c r="Y412" i="3"/>
  <c r="T414" i="3"/>
  <c r="D414" i="3" l="1"/>
  <c r="G414" i="3" s="1"/>
  <c r="E414" i="3"/>
  <c r="H414" i="3" s="1"/>
  <c r="K414" i="3" s="1"/>
  <c r="AE414" i="3" s="1"/>
  <c r="AG414" i="3"/>
  <c r="AH414" i="3"/>
  <c r="F414" i="3" l="1"/>
  <c r="I414" i="3"/>
  <c r="J414" i="3"/>
  <c r="AD414" i="3" s="1"/>
  <c r="M414" i="3"/>
  <c r="N414" i="3" s="1"/>
  <c r="V414" i="3"/>
  <c r="A415" i="3"/>
  <c r="B415" i="3" s="1"/>
  <c r="W414" i="3" l="1"/>
  <c r="L414" i="3"/>
  <c r="P415" i="3"/>
  <c r="Q415" i="3" s="1"/>
  <c r="R415" i="3" s="1"/>
  <c r="S415" i="3" s="1"/>
  <c r="AA415" i="3"/>
  <c r="Z415" i="3"/>
  <c r="AC415" i="3"/>
  <c r="U414" i="3" l="1"/>
  <c r="Y413" i="3"/>
  <c r="T415" i="3"/>
  <c r="D415" i="3" l="1"/>
  <c r="G415" i="3" s="1"/>
  <c r="AG415" i="3"/>
  <c r="AH415" i="3"/>
  <c r="E415" i="3"/>
  <c r="H415" i="3" s="1"/>
  <c r="F415" i="3" l="1"/>
  <c r="K415" i="3"/>
  <c r="AE415" i="3" s="1"/>
  <c r="I415" i="3"/>
  <c r="J415" i="3"/>
  <c r="AD415" i="3" s="1"/>
  <c r="M415" i="3"/>
  <c r="N415" i="3" s="1"/>
  <c r="L415" i="3" l="1"/>
  <c r="V415" i="3"/>
  <c r="W415" i="3" s="1"/>
  <c r="A416" i="3"/>
  <c r="B416" i="3" s="1"/>
  <c r="Z416" i="3" l="1"/>
  <c r="AA416" i="3"/>
  <c r="P416" i="3"/>
  <c r="Q416" i="3" s="1"/>
  <c r="R416" i="3" s="1"/>
  <c r="S416" i="3" s="1"/>
  <c r="AC416" i="3"/>
  <c r="U415" i="3"/>
  <c r="Y414" i="3"/>
  <c r="T416" i="3" l="1"/>
  <c r="AG416" i="3" s="1"/>
  <c r="D416" i="3" l="1"/>
  <c r="G416" i="3" s="1"/>
  <c r="E416" i="3"/>
  <c r="H416" i="3" s="1"/>
  <c r="K416" i="3" s="1"/>
  <c r="AE416" i="3" s="1"/>
  <c r="AH416" i="3"/>
  <c r="F416" i="3" l="1"/>
  <c r="V416" i="3"/>
  <c r="A417" i="3"/>
  <c r="B417" i="3" s="1"/>
  <c r="I416" i="3"/>
  <c r="J416" i="3"/>
  <c r="AD416" i="3" s="1"/>
  <c r="M416" i="3"/>
  <c r="N416" i="3" s="1"/>
  <c r="W416" i="3" l="1"/>
  <c r="L416" i="3"/>
  <c r="Z417" i="3"/>
  <c r="AC417" i="3"/>
  <c r="AA417" i="3"/>
  <c r="P417" i="3"/>
  <c r="Q417" i="3" s="1"/>
  <c r="R417" i="3" s="1"/>
  <c r="S417" i="3" s="1"/>
  <c r="U416" i="3" l="1"/>
  <c r="Y415" i="3"/>
  <c r="T417" i="3"/>
  <c r="D417" i="3" l="1"/>
  <c r="G417" i="3" s="1"/>
  <c r="AH417" i="3"/>
  <c r="E417" i="3"/>
  <c r="H417" i="3" s="1"/>
  <c r="K417" i="3" s="1"/>
  <c r="AE417" i="3" s="1"/>
  <c r="AG417" i="3"/>
  <c r="F417" i="3" l="1"/>
  <c r="V417" i="3"/>
  <c r="A418" i="3"/>
  <c r="B418" i="3" s="1"/>
  <c r="I417" i="3"/>
  <c r="J417" i="3"/>
  <c r="AD417" i="3" s="1"/>
  <c r="M417" i="3"/>
  <c r="N417" i="3" s="1"/>
  <c r="W417" i="3" l="1"/>
  <c r="L417" i="3"/>
  <c r="Z418" i="3"/>
  <c r="AA418" i="3"/>
  <c r="AC418" i="3"/>
  <c r="P418" i="3"/>
  <c r="Q418" i="3" s="1"/>
  <c r="R418" i="3" s="1"/>
  <c r="S418" i="3" s="1"/>
  <c r="T418" i="3" l="1"/>
  <c r="U417" i="3"/>
  <c r="Y416" i="3"/>
  <c r="D418" i="3" l="1"/>
  <c r="G418" i="3" s="1"/>
  <c r="E418" i="3"/>
  <c r="H418" i="3" s="1"/>
  <c r="AG418" i="3"/>
  <c r="AH418" i="3"/>
  <c r="F418" i="3" l="1"/>
  <c r="I418" i="3"/>
  <c r="J418" i="3"/>
  <c r="AD418" i="3" s="1"/>
  <c r="M418" i="3"/>
  <c r="N418" i="3" s="1"/>
  <c r="K418" i="3"/>
  <c r="AE418" i="3" s="1"/>
  <c r="V418" i="3" l="1"/>
  <c r="W418" i="3" s="1"/>
  <c r="A419" i="3"/>
  <c r="B419" i="3" s="1"/>
  <c r="L418" i="3"/>
  <c r="U418" i="3" l="1"/>
  <c r="Y417" i="3"/>
  <c r="AA419" i="3"/>
  <c r="P419" i="3"/>
  <c r="Q419" i="3" s="1"/>
  <c r="R419" i="3" s="1"/>
  <c r="S419" i="3" s="1"/>
  <c r="Z419" i="3"/>
  <c r="AC419" i="3"/>
  <c r="T419" i="3" l="1"/>
  <c r="AG419" i="3" s="1"/>
  <c r="AH419" i="3" l="1"/>
  <c r="E419" i="3"/>
  <c r="H419" i="3" s="1"/>
  <c r="K419" i="3" s="1"/>
  <c r="AE419" i="3" s="1"/>
  <c r="D419" i="3"/>
  <c r="F419" i="3" l="1"/>
  <c r="G419" i="3"/>
  <c r="J419" i="3" s="1"/>
  <c r="AD419" i="3" s="1"/>
  <c r="V419" i="3"/>
  <c r="A420" i="3"/>
  <c r="B420" i="3" s="1"/>
  <c r="I419" i="3" l="1"/>
  <c r="W419" i="3" s="1"/>
  <c r="M419" i="3"/>
  <c r="N419" i="3" s="1"/>
  <c r="L419" i="3"/>
  <c r="AC420" i="3"/>
  <c r="AA420" i="3"/>
  <c r="Z420" i="3"/>
  <c r="P420" i="3"/>
  <c r="Q420" i="3" s="1"/>
  <c r="R420" i="3" s="1"/>
  <c r="S420" i="3" s="1"/>
  <c r="T420" i="3" l="1"/>
  <c r="AH420" i="3" s="1"/>
  <c r="U419" i="3"/>
  <c r="Y418" i="3"/>
  <c r="E420" i="3" l="1"/>
  <c r="H420" i="3" s="1"/>
  <c r="K420" i="3" s="1"/>
  <c r="AE420" i="3" s="1"/>
  <c r="D420" i="3"/>
  <c r="AG420" i="3"/>
  <c r="V420" i="3" l="1"/>
  <c r="A421" i="3"/>
  <c r="B421" i="3" s="1"/>
  <c r="F420" i="3"/>
  <c r="G420" i="3"/>
  <c r="I420" i="3" l="1"/>
  <c r="W420" i="3" s="1"/>
  <c r="J420" i="3"/>
  <c r="AD420" i="3" s="1"/>
  <c r="M420" i="3"/>
  <c r="N420" i="3" s="1"/>
  <c r="Z421" i="3"/>
  <c r="P421" i="3"/>
  <c r="Q421" i="3" s="1"/>
  <c r="R421" i="3" s="1"/>
  <c r="S421" i="3" s="1"/>
  <c r="AC421" i="3"/>
  <c r="AA421" i="3"/>
  <c r="T421" i="3" l="1"/>
  <c r="L420" i="3"/>
  <c r="U420" i="3" l="1"/>
  <c r="D421" i="3" s="1"/>
  <c r="AH421" i="3"/>
  <c r="AG421" i="3"/>
  <c r="Y419" i="3"/>
  <c r="E421" i="3" l="1"/>
  <c r="H421" i="3" s="1"/>
  <c r="K421" i="3" s="1"/>
  <c r="AE421" i="3" s="1"/>
  <c r="G421" i="3"/>
  <c r="F421" i="3" l="1"/>
  <c r="V421" i="3"/>
  <c r="A422" i="3"/>
  <c r="B422" i="3" s="1"/>
  <c r="I421" i="3"/>
  <c r="J421" i="3"/>
  <c r="AD421" i="3" s="1"/>
  <c r="M421" i="3"/>
  <c r="N421" i="3" s="1"/>
  <c r="W421" i="3" l="1"/>
  <c r="L421" i="3"/>
  <c r="Z422" i="3"/>
  <c r="P422" i="3"/>
  <c r="Q422" i="3" s="1"/>
  <c r="R422" i="3" s="1"/>
  <c r="S422" i="3" s="1"/>
  <c r="AC422" i="3"/>
  <c r="AA422" i="3"/>
  <c r="U421" i="3" l="1"/>
  <c r="Y420" i="3"/>
  <c r="T422" i="3"/>
  <c r="D422" i="3" l="1"/>
  <c r="G422" i="3" s="1"/>
  <c r="AG422" i="3"/>
  <c r="E422" i="3"/>
  <c r="H422" i="3" s="1"/>
  <c r="K422" i="3" s="1"/>
  <c r="AE422" i="3" s="1"/>
  <c r="AH422" i="3"/>
  <c r="F422" i="3" l="1"/>
  <c r="V422" i="3"/>
  <c r="A423" i="3"/>
  <c r="B423" i="3" s="1"/>
  <c r="I422" i="3"/>
  <c r="J422" i="3"/>
  <c r="AD422" i="3" s="1"/>
  <c r="M422" i="3"/>
  <c r="N422" i="3" s="1"/>
  <c r="L422" i="3" l="1"/>
  <c r="W422" i="3"/>
  <c r="P423" i="3"/>
  <c r="Q423" i="3" s="1"/>
  <c r="R423" i="3" s="1"/>
  <c r="S423" i="3" s="1"/>
  <c r="Z423" i="3"/>
  <c r="AC423" i="3"/>
  <c r="AA423" i="3"/>
  <c r="U422" i="3" l="1"/>
  <c r="Y421" i="3"/>
  <c r="T423" i="3"/>
  <c r="D423" i="3" l="1"/>
  <c r="G423" i="3" s="1"/>
  <c r="AH423" i="3"/>
  <c r="E423" i="3"/>
  <c r="H423" i="3" s="1"/>
  <c r="K423" i="3" s="1"/>
  <c r="AE423" i="3" s="1"/>
  <c r="AG423" i="3"/>
  <c r="F423" i="3" l="1"/>
  <c r="V423" i="3"/>
  <c r="A424" i="3"/>
  <c r="B424" i="3" s="1"/>
  <c r="I423" i="3"/>
  <c r="J423" i="3"/>
  <c r="AD423" i="3" s="1"/>
  <c r="M423" i="3"/>
  <c r="N423" i="3" s="1"/>
  <c r="W423" i="3" l="1"/>
  <c r="L423" i="3"/>
  <c r="AA424" i="3"/>
  <c r="P424" i="3"/>
  <c r="Q424" i="3" s="1"/>
  <c r="R424" i="3" s="1"/>
  <c r="S424" i="3" s="1"/>
  <c r="Z424" i="3"/>
  <c r="AC424" i="3"/>
  <c r="T424" i="3" l="1"/>
  <c r="U423" i="3"/>
  <c r="Y422" i="3"/>
  <c r="D424" i="3" l="1"/>
  <c r="G424" i="3" s="1"/>
  <c r="E424" i="3"/>
  <c r="H424" i="3" s="1"/>
  <c r="K424" i="3" s="1"/>
  <c r="AE424" i="3" s="1"/>
  <c r="AG424" i="3"/>
  <c r="AH424" i="3"/>
  <c r="F424" i="3" l="1"/>
  <c r="V424" i="3"/>
  <c r="A425" i="3"/>
  <c r="B425" i="3" s="1"/>
  <c r="I424" i="3"/>
  <c r="J424" i="3"/>
  <c r="AD424" i="3" s="1"/>
  <c r="M424" i="3"/>
  <c r="N424" i="3" s="1"/>
  <c r="W424" i="3" l="1"/>
  <c r="L424" i="3"/>
  <c r="Z425" i="3"/>
  <c r="AA425" i="3"/>
  <c r="P425" i="3"/>
  <c r="Q425" i="3" s="1"/>
  <c r="R425" i="3" s="1"/>
  <c r="S425" i="3" s="1"/>
  <c r="AC425" i="3"/>
  <c r="AD425" i="3"/>
  <c r="U424" i="3" l="1"/>
  <c r="Y423" i="3"/>
  <c r="T425" i="3"/>
  <c r="E425" i="3" l="1"/>
  <c r="H425" i="3" s="1"/>
  <c r="K425" i="3" s="1"/>
  <c r="AE425" i="3" s="1"/>
  <c r="D425" i="3"/>
  <c r="G425" i="3" s="1"/>
  <c r="AH425" i="3"/>
  <c r="AG425" i="3"/>
  <c r="F425" i="3" l="1"/>
  <c r="I425" i="3"/>
  <c r="J425" i="3"/>
  <c r="M425" i="3"/>
  <c r="N425" i="3" s="1"/>
  <c r="V425" i="3"/>
  <c r="A426" i="3"/>
  <c r="B426" i="3" s="1"/>
  <c r="L425" i="3" l="1"/>
  <c r="W425" i="3"/>
  <c r="P426" i="3"/>
  <c r="Q426" i="3" s="1"/>
  <c r="R426" i="3" s="1"/>
  <c r="S426" i="3" s="1"/>
  <c r="AA426" i="3"/>
  <c r="AD426" i="3"/>
  <c r="Z426" i="3"/>
  <c r="AC426" i="3"/>
  <c r="U425" i="3" l="1"/>
  <c r="Y424" i="3"/>
  <c r="T426" i="3"/>
  <c r="AH426" i="3" s="1"/>
  <c r="E426" i="3" l="1"/>
  <c r="H426" i="3" s="1"/>
  <c r="D426" i="3"/>
  <c r="AG426" i="3"/>
  <c r="K426" i="3" l="1"/>
  <c r="AE426" i="3" s="1"/>
  <c r="F426" i="3"/>
  <c r="G426" i="3"/>
  <c r="V426" i="3" l="1"/>
  <c r="A427" i="3"/>
  <c r="B427" i="3" s="1"/>
  <c r="I426" i="3"/>
  <c r="J426" i="3"/>
  <c r="M426" i="3"/>
  <c r="N426" i="3" s="1"/>
  <c r="W426" i="3" l="1"/>
  <c r="L426" i="3"/>
  <c r="P427" i="3"/>
  <c r="Q427" i="3" s="1"/>
  <c r="R427" i="3" s="1"/>
  <c r="S427" i="3" s="1"/>
  <c r="AC427" i="3"/>
  <c r="Z427" i="3"/>
  <c r="AA427" i="3"/>
  <c r="U426" i="3" l="1"/>
  <c r="Y425" i="3"/>
  <c r="T427" i="3"/>
  <c r="AG427" i="3" s="1"/>
  <c r="D427" i="3" l="1"/>
  <c r="G427" i="3" s="1"/>
  <c r="E427" i="3"/>
  <c r="H427" i="3" s="1"/>
  <c r="K427" i="3" s="1"/>
  <c r="AE427" i="3" s="1"/>
  <c r="AH427" i="3"/>
  <c r="F427" i="3" l="1"/>
  <c r="I427" i="3"/>
  <c r="J427" i="3"/>
  <c r="AD427" i="3" s="1"/>
  <c r="M427" i="3"/>
  <c r="N427" i="3" s="1"/>
  <c r="V427" i="3"/>
  <c r="A428" i="3"/>
  <c r="B428" i="3" s="1"/>
  <c r="W427" i="3" l="1"/>
  <c r="L427" i="3"/>
  <c r="P428" i="3"/>
  <c r="Q428" i="3" s="1"/>
  <c r="R428" i="3" s="1"/>
  <c r="S428" i="3" s="1"/>
  <c r="AC428" i="3"/>
  <c r="Z428" i="3"/>
  <c r="AA428" i="3"/>
  <c r="U427" i="3" l="1"/>
  <c r="Y426" i="3"/>
  <c r="T428" i="3"/>
  <c r="AG428" i="3" s="1"/>
  <c r="E428" i="3" l="1"/>
  <c r="H428" i="3" s="1"/>
  <c r="AH428" i="3"/>
  <c r="D428" i="3"/>
  <c r="K428" i="3" l="1"/>
  <c r="AE428" i="3" s="1"/>
  <c r="F428" i="3"/>
  <c r="G428" i="3"/>
  <c r="I428" i="3" l="1"/>
  <c r="J428" i="3"/>
  <c r="AD428" i="3" s="1"/>
  <c r="M428" i="3"/>
  <c r="N428" i="3" s="1"/>
  <c r="V428" i="3"/>
  <c r="A429" i="3"/>
  <c r="B429" i="3" s="1"/>
  <c r="W428" i="3" l="1"/>
  <c r="AD429" i="3"/>
  <c r="Z429" i="3"/>
  <c r="AC429" i="3"/>
  <c r="P429" i="3"/>
  <c r="Q429" i="3" s="1"/>
  <c r="R429" i="3" s="1"/>
  <c r="S429" i="3" s="1"/>
  <c r="AA429" i="3"/>
  <c r="L428" i="3"/>
  <c r="U428" i="3" l="1"/>
  <c r="Y427" i="3"/>
  <c r="T429" i="3"/>
  <c r="D429" i="3" l="1"/>
  <c r="G429" i="3" s="1"/>
  <c r="E429" i="3"/>
  <c r="H429" i="3" s="1"/>
  <c r="K429" i="3" s="1"/>
  <c r="AE429" i="3" s="1"/>
  <c r="AG429" i="3"/>
  <c r="AH429" i="3"/>
  <c r="F429" i="3" l="1"/>
  <c r="I429" i="3"/>
  <c r="J429" i="3"/>
  <c r="M429" i="3"/>
  <c r="N429" i="3" s="1"/>
  <c r="V429" i="3"/>
  <c r="A430" i="3"/>
  <c r="B430" i="3" s="1"/>
  <c r="L429" i="3" l="1"/>
  <c r="W429" i="3"/>
  <c r="AA430" i="3"/>
  <c r="Z430" i="3"/>
  <c r="P430" i="3"/>
  <c r="Q430" i="3" s="1"/>
  <c r="R430" i="3" s="1"/>
  <c r="S430" i="3" s="1"/>
  <c r="AC430" i="3"/>
  <c r="AD430" i="3"/>
  <c r="U429" i="3" l="1"/>
  <c r="Y428" i="3"/>
  <c r="T430" i="3"/>
  <c r="D430" i="3" l="1"/>
  <c r="G430" i="3" s="1"/>
  <c r="AH430" i="3"/>
  <c r="E430" i="3"/>
  <c r="H430" i="3" s="1"/>
  <c r="AG430" i="3"/>
  <c r="F430" i="3" l="1"/>
  <c r="I430" i="3"/>
  <c r="J430" i="3"/>
  <c r="M430" i="3"/>
  <c r="N430" i="3" s="1"/>
  <c r="K430" i="3"/>
  <c r="AE430" i="3" s="1"/>
  <c r="V430" i="3" l="1"/>
  <c r="W430" i="3" s="1"/>
  <c r="A431" i="3"/>
  <c r="B431" i="3" s="1"/>
  <c r="L430" i="3"/>
  <c r="U430" i="3" l="1"/>
  <c r="Y429" i="3"/>
  <c r="AC431" i="3"/>
  <c r="Z431" i="3"/>
  <c r="P431" i="3"/>
  <c r="Q431" i="3" s="1"/>
  <c r="R431" i="3" s="1"/>
  <c r="S431" i="3" s="1"/>
  <c r="AA431" i="3"/>
  <c r="AD431" i="3"/>
  <c r="T431" i="3" l="1"/>
  <c r="AH431" i="3" s="1"/>
  <c r="E431" i="3" l="1"/>
  <c r="H431" i="3" s="1"/>
  <c r="AG431" i="3"/>
  <c r="D431" i="3"/>
  <c r="K431" i="3" l="1"/>
  <c r="AE431" i="3" s="1"/>
  <c r="F431" i="3"/>
  <c r="G431" i="3"/>
  <c r="V431" i="3" l="1"/>
  <c r="A432" i="3"/>
  <c r="B432" i="3" s="1"/>
  <c r="I431" i="3"/>
  <c r="J431" i="3"/>
  <c r="M431" i="3"/>
  <c r="N431" i="3" s="1"/>
  <c r="W431" i="3" l="1"/>
  <c r="L431" i="3"/>
  <c r="AA432" i="3"/>
  <c r="P432" i="3"/>
  <c r="Q432" i="3" s="1"/>
  <c r="R432" i="3" s="1"/>
  <c r="S432" i="3" s="1"/>
  <c r="AC432" i="3"/>
  <c r="Z432" i="3"/>
  <c r="AD432" i="3"/>
  <c r="T432" i="3" l="1"/>
  <c r="AH432" i="3" s="1"/>
  <c r="U431" i="3"/>
  <c r="Y430" i="3"/>
  <c r="AG432" i="3" l="1"/>
  <c r="E432" i="3"/>
  <c r="H432" i="3" s="1"/>
  <c r="D432" i="3"/>
  <c r="K432" i="3" l="1"/>
  <c r="AE432" i="3" s="1"/>
  <c r="F432" i="3"/>
  <c r="G432" i="3"/>
  <c r="I432" i="3" l="1"/>
  <c r="J432" i="3"/>
  <c r="M432" i="3"/>
  <c r="N432" i="3" s="1"/>
  <c r="V432" i="3"/>
  <c r="A433" i="3"/>
  <c r="B433" i="3" s="1"/>
  <c r="W432" i="3" l="1"/>
  <c r="L432" i="3"/>
  <c r="P433" i="3"/>
  <c r="Q433" i="3" s="1"/>
  <c r="R433" i="3" s="1"/>
  <c r="S433" i="3" s="1"/>
  <c r="AC433" i="3"/>
  <c r="Z433" i="3"/>
  <c r="AA433" i="3"/>
  <c r="AD433" i="3"/>
  <c r="U432" i="3" l="1"/>
  <c r="Y431" i="3"/>
  <c r="T433" i="3"/>
  <c r="E433" i="3" l="1"/>
  <c r="H433" i="3" s="1"/>
  <c r="K433" i="3" s="1"/>
  <c r="AE433" i="3" s="1"/>
  <c r="D433" i="3"/>
  <c r="AG433" i="3"/>
  <c r="AH433" i="3"/>
  <c r="F433" i="3" l="1"/>
  <c r="G433" i="3"/>
  <c r="M433" i="3" s="1"/>
  <c r="N433" i="3" s="1"/>
  <c r="V433" i="3"/>
  <c r="A434" i="3"/>
  <c r="B434" i="3" s="1"/>
  <c r="I433" i="3" l="1"/>
  <c r="W433" i="3" s="1"/>
  <c r="J433" i="3"/>
  <c r="L433" i="3" s="1"/>
  <c r="P434" i="3"/>
  <c r="Q434" i="3" s="1"/>
  <c r="R434" i="3" s="1"/>
  <c r="S434" i="3" s="1"/>
  <c r="Z434" i="3"/>
  <c r="AA434" i="3"/>
  <c r="AC434" i="3"/>
  <c r="U433" i="3" l="1"/>
  <c r="Y432" i="3"/>
  <c r="T434" i="3"/>
  <c r="AH434" i="3" s="1"/>
  <c r="E434" i="3" l="1"/>
  <c r="H434" i="3" s="1"/>
  <c r="K434" i="3" s="1"/>
  <c r="AE434" i="3" s="1"/>
  <c r="AG434" i="3"/>
  <c r="D434" i="3"/>
  <c r="F434" i="3" l="1"/>
  <c r="G434" i="3"/>
  <c r="M434" i="3" s="1"/>
  <c r="N434" i="3" s="1"/>
  <c r="V434" i="3"/>
  <c r="A435" i="3"/>
  <c r="B435" i="3" s="1"/>
  <c r="I434" i="3" l="1"/>
  <c r="W434" i="3" s="1"/>
  <c r="J434" i="3"/>
  <c r="P435" i="3"/>
  <c r="Q435" i="3" s="1"/>
  <c r="R435" i="3" s="1"/>
  <c r="S435" i="3" s="1"/>
  <c r="AA435" i="3"/>
  <c r="AD435" i="3"/>
  <c r="AC435" i="3"/>
  <c r="Z435" i="3"/>
  <c r="L434" i="3" l="1"/>
  <c r="Y433" i="3" s="1"/>
  <c r="AD434" i="3"/>
  <c r="T435" i="3"/>
  <c r="U434" i="3" l="1"/>
  <c r="E435" i="3" s="1"/>
  <c r="H435" i="3" s="1"/>
  <c r="AG435" i="3"/>
  <c r="AH435" i="3"/>
  <c r="D435" i="3" l="1"/>
  <c r="G435" i="3" s="1"/>
  <c r="I435" i="3" s="1"/>
  <c r="K435" i="3"/>
  <c r="AE435" i="3" s="1"/>
  <c r="J435" i="3" l="1"/>
  <c r="L435" i="3" s="1"/>
  <c r="M435" i="3"/>
  <c r="N435" i="3" s="1"/>
  <c r="F435" i="3"/>
  <c r="V435" i="3"/>
  <c r="W435" i="3" s="1"/>
  <c r="A436" i="3"/>
  <c r="B436" i="3" s="1"/>
  <c r="AC436" i="3" l="1"/>
  <c r="Z436" i="3"/>
  <c r="P436" i="3"/>
  <c r="Q436" i="3" s="1"/>
  <c r="R436" i="3" s="1"/>
  <c r="S436" i="3" s="1"/>
  <c r="AA436" i="3"/>
  <c r="AD436" i="3"/>
  <c r="U435" i="3"/>
  <c r="Y434" i="3"/>
  <c r="T436" i="3" l="1"/>
  <c r="E436" i="3" l="1"/>
  <c r="H436" i="3" s="1"/>
  <c r="D436" i="3"/>
  <c r="AH436" i="3"/>
  <c r="AG436" i="3"/>
  <c r="F436" i="3" l="1"/>
  <c r="G436" i="3"/>
  <c r="K436" i="3"/>
  <c r="AE436" i="3" s="1"/>
  <c r="I436" i="3" l="1"/>
  <c r="J436" i="3"/>
  <c r="M436" i="3"/>
  <c r="N436" i="3" s="1"/>
  <c r="V436" i="3"/>
  <c r="A437" i="3"/>
  <c r="B437" i="3" s="1"/>
  <c r="W436" i="3" l="1"/>
  <c r="L436" i="3"/>
  <c r="AC437" i="3"/>
  <c r="AA437" i="3"/>
  <c r="P437" i="3"/>
  <c r="Q437" i="3" s="1"/>
  <c r="R437" i="3" s="1"/>
  <c r="S437" i="3" s="1"/>
  <c r="Z437" i="3"/>
  <c r="U436" i="3" l="1"/>
  <c r="Y435" i="3"/>
  <c r="T437" i="3"/>
  <c r="AH437" i="3" s="1"/>
  <c r="D437" i="3" l="1"/>
  <c r="G437" i="3" s="1"/>
  <c r="E437" i="3"/>
  <c r="H437" i="3" s="1"/>
  <c r="K437" i="3" s="1"/>
  <c r="AE437" i="3" s="1"/>
  <c r="AG437" i="3"/>
  <c r="F437" i="3" l="1"/>
  <c r="I437" i="3"/>
  <c r="J437" i="3"/>
  <c r="AD437" i="3" s="1"/>
  <c r="M437" i="3"/>
  <c r="N437" i="3" s="1"/>
  <c r="V437" i="3"/>
  <c r="A438" i="3"/>
  <c r="B438" i="3" s="1"/>
  <c r="W437" i="3" l="1"/>
  <c r="L437" i="3"/>
  <c r="Z438" i="3"/>
  <c r="P438" i="3"/>
  <c r="Q438" i="3" s="1"/>
  <c r="R438" i="3" s="1"/>
  <c r="S438" i="3" s="1"/>
  <c r="AC438" i="3"/>
  <c r="AA438" i="3"/>
  <c r="U437" i="3" l="1"/>
  <c r="Y436" i="3"/>
  <c r="T438" i="3"/>
  <c r="E438" i="3" l="1"/>
  <c r="H438" i="3" s="1"/>
  <c r="K438" i="3" s="1"/>
  <c r="AE438" i="3" s="1"/>
  <c r="D438" i="3"/>
  <c r="AH438" i="3"/>
  <c r="AG438" i="3"/>
  <c r="V438" i="3" l="1"/>
  <c r="A439" i="3"/>
  <c r="B439" i="3" s="1"/>
  <c r="F438" i="3"/>
  <c r="G438" i="3"/>
  <c r="I438" i="3" l="1"/>
  <c r="W438" i="3" s="1"/>
  <c r="J438" i="3"/>
  <c r="AD438" i="3" s="1"/>
  <c r="M438" i="3"/>
  <c r="N438" i="3" s="1"/>
  <c r="Z439" i="3"/>
  <c r="P439" i="3"/>
  <c r="Q439" i="3" s="1"/>
  <c r="R439" i="3" s="1"/>
  <c r="S439" i="3" s="1"/>
  <c r="AD439" i="3"/>
  <c r="AC439" i="3"/>
  <c r="AA439" i="3"/>
  <c r="T439" i="3" l="1"/>
  <c r="L438" i="3"/>
  <c r="AG439" i="3" l="1"/>
  <c r="AH439" i="3"/>
  <c r="U438" i="3"/>
  <c r="E439" i="3" s="1"/>
  <c r="H439" i="3" s="1"/>
  <c r="Y437" i="3"/>
  <c r="D439" i="3" l="1"/>
  <c r="G439" i="3" s="1"/>
  <c r="K439" i="3"/>
  <c r="AE439" i="3" s="1"/>
  <c r="F439" i="3" l="1"/>
  <c r="V439" i="3"/>
  <c r="A440" i="3"/>
  <c r="B440" i="3" s="1"/>
  <c r="I439" i="3"/>
  <c r="J439" i="3"/>
  <c r="M439" i="3"/>
  <c r="N439" i="3" s="1"/>
  <c r="W439" i="3" l="1"/>
  <c r="L439" i="3"/>
  <c r="Z440" i="3"/>
  <c r="AC440" i="3"/>
  <c r="P440" i="3"/>
  <c r="Q440" i="3" s="1"/>
  <c r="R440" i="3" s="1"/>
  <c r="S440" i="3" s="1"/>
  <c r="AA440" i="3"/>
  <c r="AD440" i="3"/>
  <c r="T440" i="3" l="1"/>
  <c r="AH440" i="3" s="1"/>
  <c r="U439" i="3"/>
  <c r="Y438" i="3"/>
  <c r="AG440" i="3" l="1"/>
  <c r="D440" i="3"/>
  <c r="E440" i="3"/>
  <c r="H440" i="3" s="1"/>
  <c r="K440" i="3" l="1"/>
  <c r="AE440" i="3" s="1"/>
  <c r="F440" i="3"/>
  <c r="G440" i="3"/>
  <c r="I440" i="3" l="1"/>
  <c r="J440" i="3"/>
  <c r="M440" i="3"/>
  <c r="N440" i="3" s="1"/>
  <c r="V440" i="3"/>
  <c r="A441" i="3"/>
  <c r="B441" i="3" s="1"/>
  <c r="W440" i="3" l="1"/>
  <c r="L440" i="3"/>
  <c r="P441" i="3"/>
  <c r="Q441" i="3" s="1"/>
  <c r="R441" i="3" s="1"/>
  <c r="S441" i="3" s="1"/>
  <c r="AD441" i="3"/>
  <c r="AC441" i="3"/>
  <c r="Z441" i="3"/>
  <c r="AA441" i="3"/>
  <c r="T441" i="3" l="1"/>
  <c r="AH441" i="3" s="1"/>
  <c r="U440" i="3"/>
  <c r="Y439" i="3"/>
  <c r="E441" i="3" l="1"/>
  <c r="H441" i="3" s="1"/>
  <c r="K441" i="3" s="1"/>
  <c r="AE441" i="3" s="1"/>
  <c r="AG441" i="3"/>
  <c r="D441" i="3"/>
  <c r="V441" i="3" l="1"/>
  <c r="A442" i="3"/>
  <c r="B442" i="3" s="1"/>
  <c r="F441" i="3"/>
  <c r="G441" i="3"/>
  <c r="I441" i="3" l="1"/>
  <c r="W441" i="3" s="1"/>
  <c r="J441" i="3"/>
  <c r="M441" i="3"/>
  <c r="N441" i="3" s="1"/>
  <c r="AC442" i="3"/>
  <c r="AD442" i="3"/>
  <c r="AA442" i="3"/>
  <c r="P442" i="3"/>
  <c r="Q442" i="3" s="1"/>
  <c r="R442" i="3" s="1"/>
  <c r="S442" i="3" s="1"/>
  <c r="Z442" i="3"/>
  <c r="T442" i="3" l="1"/>
  <c r="L441" i="3"/>
  <c r="U441" i="3" l="1"/>
  <c r="D442" i="3" s="1"/>
  <c r="AH442" i="3"/>
  <c r="AG442" i="3"/>
  <c r="Y440" i="3"/>
  <c r="G442" i="3" l="1"/>
  <c r="E442" i="3"/>
  <c r="H442" i="3" s="1"/>
  <c r="I442" i="3" l="1"/>
  <c r="J442" i="3"/>
  <c r="M442" i="3"/>
  <c r="N442" i="3" s="1"/>
  <c r="F442" i="3"/>
  <c r="K442" i="3"/>
  <c r="AE442" i="3" s="1"/>
  <c r="V442" i="3" l="1"/>
  <c r="W442" i="3" s="1"/>
  <c r="A443" i="3"/>
  <c r="B443" i="3" s="1"/>
  <c r="L442" i="3"/>
  <c r="U442" i="3" l="1"/>
  <c r="Y441" i="3"/>
  <c r="Z443" i="3"/>
  <c r="P443" i="3"/>
  <c r="Q443" i="3" s="1"/>
  <c r="R443" i="3" s="1"/>
  <c r="S443" i="3" s="1"/>
  <c r="AD443" i="3"/>
  <c r="AC443" i="3"/>
  <c r="AA443" i="3"/>
  <c r="T443" i="3" l="1"/>
  <c r="D443" i="3" s="1"/>
  <c r="E443" i="3" l="1"/>
  <c r="H443" i="3" s="1"/>
  <c r="K443" i="3" s="1"/>
  <c r="AE443" i="3" s="1"/>
  <c r="G443" i="3"/>
  <c r="AG443" i="3"/>
  <c r="AH443" i="3"/>
  <c r="F443" i="3" l="1"/>
  <c r="V443" i="3"/>
  <c r="A444" i="3"/>
  <c r="B444" i="3" s="1"/>
  <c r="I443" i="3"/>
  <c r="J443" i="3"/>
  <c r="M443" i="3"/>
  <c r="N443" i="3" s="1"/>
  <c r="W443" i="3" l="1"/>
  <c r="L443" i="3"/>
  <c r="Z444" i="3"/>
  <c r="P444" i="3"/>
  <c r="Q444" i="3" s="1"/>
  <c r="R444" i="3" s="1"/>
  <c r="S444" i="3" s="1"/>
  <c r="AA444" i="3"/>
  <c r="AC444" i="3"/>
  <c r="U443" i="3" l="1"/>
  <c r="Y442" i="3"/>
  <c r="T444" i="3"/>
  <c r="AG444" i="3" s="1"/>
  <c r="AH444" i="3" l="1"/>
  <c r="D444" i="3"/>
  <c r="E444" i="3"/>
  <c r="H444" i="3" s="1"/>
  <c r="F444" i="3" l="1"/>
  <c r="G444" i="3"/>
  <c r="K444" i="3"/>
  <c r="AE444" i="3" s="1"/>
  <c r="I444" i="3" l="1"/>
  <c r="J444" i="3"/>
  <c r="AD444" i="3" s="1"/>
  <c r="M444" i="3"/>
  <c r="N444" i="3" s="1"/>
  <c r="V444" i="3"/>
  <c r="A445" i="3"/>
  <c r="B445" i="3" s="1"/>
  <c r="W444" i="3" l="1"/>
  <c r="L444" i="3"/>
  <c r="AA445" i="3"/>
  <c r="P445" i="3"/>
  <c r="Q445" i="3" s="1"/>
  <c r="R445" i="3" s="1"/>
  <c r="S445" i="3" s="1"/>
  <c r="Z445" i="3"/>
  <c r="AD445" i="3"/>
  <c r="AC445" i="3"/>
  <c r="T445" i="3" l="1"/>
  <c r="U444" i="3"/>
  <c r="Y443" i="3"/>
  <c r="D445" i="3" l="1"/>
  <c r="G445" i="3" s="1"/>
  <c r="AG445" i="3"/>
  <c r="E445" i="3"/>
  <c r="H445" i="3" s="1"/>
  <c r="AH445" i="3"/>
  <c r="K445" i="3" l="1"/>
  <c r="AE445" i="3" s="1"/>
  <c r="I445" i="3"/>
  <c r="J445" i="3"/>
  <c r="M445" i="3"/>
  <c r="N445" i="3" s="1"/>
  <c r="F445" i="3"/>
  <c r="L445" i="3" l="1"/>
  <c r="V445" i="3"/>
  <c r="W445" i="3" s="1"/>
  <c r="A446" i="3"/>
  <c r="B446" i="3" s="1"/>
  <c r="AD446" i="3" l="1"/>
  <c r="AC446" i="3"/>
  <c r="P446" i="3"/>
  <c r="Q446" i="3" s="1"/>
  <c r="R446" i="3" s="1"/>
  <c r="S446" i="3" s="1"/>
  <c r="Z446" i="3"/>
  <c r="AA446" i="3"/>
  <c r="U445" i="3"/>
  <c r="Y444" i="3"/>
  <c r="T446" i="3" l="1"/>
  <c r="D446" i="3" s="1"/>
  <c r="AG446" i="3" l="1"/>
  <c r="G446" i="3"/>
  <c r="E446" i="3"/>
  <c r="H446" i="3" s="1"/>
  <c r="AH446" i="3"/>
  <c r="K446" i="3" l="1"/>
  <c r="AE446" i="3" s="1"/>
  <c r="F446" i="3"/>
  <c r="I446" i="3"/>
  <c r="J446" i="3"/>
  <c r="M446" i="3"/>
  <c r="N446" i="3" s="1"/>
  <c r="L446" i="3" l="1"/>
  <c r="V446" i="3"/>
  <c r="W446" i="3" s="1"/>
  <c r="A447" i="3"/>
  <c r="B447" i="3" s="1"/>
  <c r="Z447" i="3" l="1"/>
  <c r="P447" i="3"/>
  <c r="Q447" i="3" s="1"/>
  <c r="R447" i="3" s="1"/>
  <c r="S447" i="3" s="1"/>
  <c r="AC447" i="3"/>
  <c r="AA447" i="3"/>
  <c r="U446" i="3"/>
  <c r="Y445" i="3"/>
  <c r="T447" i="3" l="1"/>
  <c r="AG447" i="3" s="1"/>
  <c r="D447" i="3" l="1"/>
  <c r="G447" i="3" s="1"/>
  <c r="AH447" i="3"/>
  <c r="E447" i="3"/>
  <c r="H447" i="3" s="1"/>
  <c r="K447" i="3" s="1"/>
  <c r="AE447" i="3" s="1"/>
  <c r="F447" i="3" l="1"/>
  <c r="I447" i="3"/>
  <c r="J447" i="3"/>
  <c r="AD447" i="3" s="1"/>
  <c r="M447" i="3"/>
  <c r="N447" i="3" s="1"/>
  <c r="V447" i="3"/>
  <c r="A448" i="3"/>
  <c r="B448" i="3" s="1"/>
  <c r="W447" i="3" l="1"/>
  <c r="L447" i="3"/>
  <c r="Z448" i="3"/>
  <c r="AA448" i="3"/>
  <c r="P448" i="3"/>
  <c r="Q448" i="3" s="1"/>
  <c r="R448" i="3" s="1"/>
  <c r="S448" i="3" s="1"/>
  <c r="AC448" i="3"/>
  <c r="T448" i="3" l="1"/>
  <c r="AG448" i="3" s="1"/>
  <c r="U447" i="3"/>
  <c r="Y446" i="3"/>
  <c r="D448" i="3" l="1"/>
  <c r="G448" i="3" s="1"/>
  <c r="E448" i="3"/>
  <c r="H448" i="3" s="1"/>
  <c r="AH448" i="3"/>
  <c r="F448" i="3" l="1"/>
  <c r="I448" i="3"/>
  <c r="J448" i="3"/>
  <c r="AD448" i="3" s="1"/>
  <c r="M448" i="3"/>
  <c r="N448" i="3" s="1"/>
  <c r="K448" i="3"/>
  <c r="AE448" i="3" s="1"/>
  <c r="V448" i="3" l="1"/>
  <c r="W448" i="3" s="1"/>
  <c r="A449" i="3"/>
  <c r="B449" i="3" s="1"/>
  <c r="L448" i="3"/>
  <c r="U448" i="3" l="1"/>
  <c r="Y447" i="3"/>
  <c r="P449" i="3"/>
  <c r="Q449" i="3" s="1"/>
  <c r="R449" i="3" s="1"/>
  <c r="S449" i="3" s="1"/>
  <c r="AD449" i="3"/>
  <c r="AA449" i="3"/>
  <c r="Z449" i="3"/>
  <c r="AC449" i="3"/>
  <c r="T449" i="3" l="1"/>
  <c r="D449" i="3" s="1"/>
  <c r="G449" i="3" l="1"/>
  <c r="AG449" i="3"/>
  <c r="AH449" i="3"/>
  <c r="E449" i="3"/>
  <c r="H449" i="3" s="1"/>
  <c r="K449" i="3" l="1"/>
  <c r="AE449" i="3" s="1"/>
  <c r="F449" i="3"/>
  <c r="I449" i="3"/>
  <c r="J449" i="3"/>
  <c r="M449" i="3"/>
  <c r="N449" i="3" s="1"/>
  <c r="L449" i="3" l="1"/>
  <c r="V449" i="3"/>
  <c r="W449" i="3" s="1"/>
  <c r="A450" i="3"/>
  <c r="B450" i="3" s="1"/>
  <c r="P450" i="3" l="1"/>
  <c r="Q450" i="3" s="1"/>
  <c r="R450" i="3" s="1"/>
  <c r="S450" i="3" s="1"/>
  <c r="AD450" i="3"/>
  <c r="Z450" i="3"/>
  <c r="AC450" i="3"/>
  <c r="AA450" i="3"/>
  <c r="U449" i="3"/>
  <c r="Y448" i="3"/>
  <c r="T450" i="3" l="1"/>
  <c r="D450" i="3" s="1"/>
  <c r="AH450" i="3" l="1"/>
  <c r="G450" i="3"/>
  <c r="E450" i="3"/>
  <c r="H450" i="3" s="1"/>
  <c r="AG450" i="3"/>
  <c r="F450" i="3" l="1"/>
  <c r="I450" i="3"/>
  <c r="J450" i="3"/>
  <c r="M450" i="3"/>
  <c r="N450" i="3" s="1"/>
  <c r="K450" i="3"/>
  <c r="AE450" i="3" s="1"/>
  <c r="V450" i="3" l="1"/>
  <c r="W450" i="3" s="1"/>
  <c r="A451" i="3"/>
  <c r="B451" i="3" s="1"/>
  <c r="L450" i="3"/>
  <c r="U450" i="3" l="1"/>
  <c r="Y449" i="3"/>
  <c r="P451" i="3"/>
  <c r="Q451" i="3" s="1"/>
  <c r="R451" i="3" s="1"/>
  <c r="S451" i="3" s="1"/>
  <c r="Z451" i="3"/>
  <c r="AD451" i="3"/>
  <c r="AA451" i="3"/>
  <c r="AC451" i="3"/>
  <c r="T451" i="3" l="1"/>
  <c r="AG451" i="3" s="1"/>
  <c r="E451" i="3" l="1"/>
  <c r="H451" i="3" s="1"/>
  <c r="K451" i="3" s="1"/>
  <c r="AE451" i="3" s="1"/>
  <c r="AH451" i="3"/>
  <c r="D451" i="3"/>
  <c r="V451" i="3" l="1"/>
  <c r="A452" i="3"/>
  <c r="B452" i="3" s="1"/>
  <c r="F451" i="3"/>
  <c r="G451" i="3"/>
  <c r="I451" i="3" l="1"/>
  <c r="W451" i="3" s="1"/>
  <c r="J451" i="3"/>
  <c r="M451" i="3"/>
  <c r="N451" i="3" s="1"/>
  <c r="AA452" i="3"/>
  <c r="P452" i="3"/>
  <c r="Q452" i="3" s="1"/>
  <c r="R452" i="3" s="1"/>
  <c r="S452" i="3" s="1"/>
  <c r="AC452" i="3"/>
  <c r="Z452" i="3"/>
  <c r="AD452" i="3"/>
  <c r="T452" i="3" l="1"/>
  <c r="L451" i="3"/>
  <c r="U451" i="3" l="1"/>
  <c r="D452" i="3" s="1"/>
  <c r="AH452" i="3"/>
  <c r="AG452" i="3"/>
  <c r="Y450" i="3"/>
  <c r="E452" i="3" l="1"/>
  <c r="H452" i="3" s="1"/>
  <c r="K452" i="3" s="1"/>
  <c r="AE452" i="3" s="1"/>
  <c r="G452" i="3"/>
  <c r="F452" i="3" l="1"/>
  <c r="I452" i="3"/>
  <c r="J452" i="3"/>
  <c r="M452" i="3"/>
  <c r="N452" i="3" s="1"/>
  <c r="V452" i="3"/>
  <c r="A453" i="3"/>
  <c r="B453" i="3" s="1"/>
  <c r="W452" i="3" l="1"/>
  <c r="L452" i="3"/>
  <c r="AA453" i="3"/>
  <c r="P453" i="3"/>
  <c r="Q453" i="3" s="1"/>
  <c r="R453" i="3" s="1"/>
  <c r="S453" i="3" s="1"/>
  <c r="AC453" i="3"/>
  <c r="AD453" i="3"/>
  <c r="Z453" i="3"/>
  <c r="U452" i="3" l="1"/>
  <c r="Y451" i="3"/>
  <c r="T453" i="3"/>
  <c r="AH453" i="3" s="1"/>
  <c r="AG453" i="3" l="1"/>
  <c r="E453" i="3"/>
  <c r="H453" i="3" s="1"/>
  <c r="D453" i="3"/>
  <c r="K453" i="3" l="1"/>
  <c r="AE453" i="3" s="1"/>
  <c r="F453" i="3"/>
  <c r="G453" i="3"/>
  <c r="I453" i="3" l="1"/>
  <c r="J453" i="3"/>
  <c r="M453" i="3"/>
  <c r="N453" i="3" s="1"/>
  <c r="V453" i="3"/>
  <c r="A454" i="3"/>
  <c r="B454" i="3" s="1"/>
  <c r="W453" i="3" l="1"/>
  <c r="AA454" i="3"/>
  <c r="AC454" i="3"/>
  <c r="Z454" i="3"/>
  <c r="P454" i="3"/>
  <c r="Q454" i="3" s="1"/>
  <c r="R454" i="3" s="1"/>
  <c r="S454" i="3" s="1"/>
  <c r="L453" i="3"/>
  <c r="U453" i="3" l="1"/>
  <c r="Y452" i="3"/>
  <c r="T454" i="3"/>
  <c r="E454" i="3" l="1"/>
  <c r="H454" i="3" s="1"/>
  <c r="K454" i="3" s="1"/>
  <c r="AE454" i="3" s="1"/>
  <c r="AH454" i="3"/>
  <c r="AG454" i="3"/>
  <c r="D454" i="3"/>
  <c r="F454" i="3" l="1"/>
  <c r="G454" i="3"/>
  <c r="V454" i="3"/>
  <c r="A455" i="3"/>
  <c r="B455" i="3" s="1"/>
  <c r="AC455" i="3" l="1"/>
  <c r="AD455" i="3"/>
  <c r="AA455" i="3"/>
  <c r="Z455" i="3"/>
  <c r="P455" i="3"/>
  <c r="Q455" i="3" s="1"/>
  <c r="R455" i="3" s="1"/>
  <c r="S455" i="3" s="1"/>
  <c r="I454" i="3"/>
  <c r="W454" i="3" s="1"/>
  <c r="J454" i="3"/>
  <c r="AD454" i="3" s="1"/>
  <c r="M454" i="3"/>
  <c r="N454" i="3" s="1"/>
  <c r="L454" i="3" l="1"/>
  <c r="T455" i="3"/>
  <c r="AH455" i="3" l="1"/>
  <c r="U454" i="3"/>
  <c r="D455" i="3" s="1"/>
  <c r="AG455" i="3"/>
  <c r="Y453" i="3"/>
  <c r="E455" i="3" l="1"/>
  <c r="H455" i="3" s="1"/>
  <c r="K455" i="3" s="1"/>
  <c r="AE455" i="3" s="1"/>
  <c r="G455" i="3"/>
  <c r="F455" i="3" l="1"/>
  <c r="I455" i="3"/>
  <c r="J455" i="3"/>
  <c r="M455" i="3"/>
  <c r="N455" i="3" s="1"/>
  <c r="V455" i="3"/>
  <c r="A456" i="3"/>
  <c r="B456" i="3" s="1"/>
  <c r="W455" i="3" l="1"/>
  <c r="L455" i="3"/>
  <c r="AC456" i="3"/>
  <c r="P456" i="3"/>
  <c r="Q456" i="3" s="1"/>
  <c r="R456" i="3" s="1"/>
  <c r="S456" i="3" s="1"/>
  <c r="AD456" i="3"/>
  <c r="Z456" i="3"/>
  <c r="AA456" i="3"/>
  <c r="U455" i="3" l="1"/>
  <c r="Y454" i="3"/>
  <c r="T456" i="3"/>
  <c r="AG456" i="3" s="1"/>
  <c r="D456" i="3" l="1"/>
  <c r="G456" i="3" s="1"/>
  <c r="AH456" i="3"/>
  <c r="E456" i="3"/>
  <c r="H456" i="3" s="1"/>
  <c r="I456" i="3" l="1"/>
  <c r="J456" i="3"/>
  <c r="M456" i="3"/>
  <c r="N456" i="3" s="1"/>
  <c r="K456" i="3"/>
  <c r="AE456" i="3" s="1"/>
  <c r="F456" i="3"/>
  <c r="V456" i="3" l="1"/>
  <c r="W456" i="3" s="1"/>
  <c r="A457" i="3"/>
  <c r="B457" i="3" s="1"/>
  <c r="L456" i="3"/>
  <c r="Z457" i="3" l="1"/>
  <c r="AC457" i="3"/>
  <c r="P457" i="3"/>
  <c r="Q457" i="3" s="1"/>
  <c r="R457" i="3" s="1"/>
  <c r="S457" i="3" s="1"/>
  <c r="AA457" i="3"/>
  <c r="U456" i="3"/>
  <c r="Y455" i="3"/>
  <c r="T457" i="3" l="1"/>
  <c r="D457" i="3" l="1"/>
  <c r="AH457" i="3"/>
  <c r="E457" i="3"/>
  <c r="H457" i="3" s="1"/>
  <c r="AG457" i="3"/>
  <c r="F457" i="3" l="1"/>
  <c r="G457" i="3"/>
  <c r="K457" i="3"/>
  <c r="AE457" i="3" s="1"/>
  <c r="I457" i="3" l="1"/>
  <c r="J457" i="3"/>
  <c r="AD457" i="3" s="1"/>
  <c r="M457" i="3"/>
  <c r="N457" i="3" s="1"/>
  <c r="V457" i="3"/>
  <c r="A458" i="3"/>
  <c r="B458" i="3" s="1"/>
  <c r="L457" i="3" l="1"/>
  <c r="W457" i="3"/>
  <c r="P458" i="3"/>
  <c r="Q458" i="3" s="1"/>
  <c r="R458" i="3" s="1"/>
  <c r="S458" i="3" s="1"/>
  <c r="AC458" i="3"/>
  <c r="Z458" i="3"/>
  <c r="AA458" i="3"/>
  <c r="U457" i="3" l="1"/>
  <c r="Y456" i="3"/>
  <c r="T458" i="3"/>
  <c r="AH458" i="3" s="1"/>
  <c r="AG458" i="3" l="1"/>
  <c r="E458" i="3"/>
  <c r="H458" i="3" s="1"/>
  <c r="D458" i="3"/>
  <c r="K458" i="3" l="1"/>
  <c r="AE458" i="3" s="1"/>
  <c r="F458" i="3"/>
  <c r="G458" i="3"/>
  <c r="V458" i="3" l="1"/>
  <c r="A459" i="3"/>
  <c r="B459" i="3" s="1"/>
  <c r="I458" i="3"/>
  <c r="J458" i="3"/>
  <c r="AD458" i="3" s="1"/>
  <c r="M458" i="3"/>
  <c r="N458" i="3" s="1"/>
  <c r="W458" i="3" l="1"/>
  <c r="L458" i="3"/>
  <c r="Z459" i="3"/>
  <c r="P459" i="3"/>
  <c r="Q459" i="3" s="1"/>
  <c r="R459" i="3" s="1"/>
  <c r="S459" i="3" s="1"/>
  <c r="AA459" i="3"/>
  <c r="AD459" i="3"/>
  <c r="AC459" i="3"/>
  <c r="T459" i="3" l="1"/>
  <c r="AH459" i="3" s="1"/>
  <c r="U458" i="3"/>
  <c r="Y457" i="3"/>
  <c r="AG459" i="3" l="1"/>
  <c r="D459" i="3"/>
  <c r="E459" i="3"/>
  <c r="H459" i="3" s="1"/>
  <c r="K459" i="3" l="1"/>
  <c r="AE459" i="3" s="1"/>
  <c r="F459" i="3"/>
  <c r="G459" i="3"/>
  <c r="I459" i="3" l="1"/>
  <c r="J459" i="3"/>
  <c r="M459" i="3"/>
  <c r="N459" i="3" s="1"/>
  <c r="V459" i="3"/>
  <c r="A460" i="3"/>
  <c r="B460" i="3" s="1"/>
  <c r="W459" i="3" l="1"/>
  <c r="L459" i="3"/>
  <c r="P460" i="3"/>
  <c r="Q460" i="3" s="1"/>
  <c r="R460" i="3" s="1"/>
  <c r="S460" i="3" s="1"/>
  <c r="AD460" i="3"/>
  <c r="Z460" i="3"/>
  <c r="AA460" i="3"/>
  <c r="AC460" i="3"/>
  <c r="U459" i="3" l="1"/>
  <c r="Y458" i="3"/>
  <c r="T460" i="3"/>
  <c r="D460" i="3" l="1"/>
  <c r="G460" i="3" s="1"/>
  <c r="AH460" i="3"/>
  <c r="E460" i="3"/>
  <c r="H460" i="3" s="1"/>
  <c r="AG460" i="3"/>
  <c r="F460" i="3" l="1"/>
  <c r="I460" i="3"/>
  <c r="J460" i="3"/>
  <c r="M460" i="3"/>
  <c r="N460" i="3" s="1"/>
  <c r="K460" i="3"/>
  <c r="AE460" i="3" s="1"/>
  <c r="V460" i="3" l="1"/>
  <c r="W460" i="3" s="1"/>
  <c r="A461" i="3"/>
  <c r="B461" i="3" s="1"/>
  <c r="L460" i="3"/>
  <c r="U460" i="3" l="1"/>
  <c r="Y459" i="3"/>
  <c r="AC461" i="3"/>
  <c r="Z461" i="3"/>
  <c r="P461" i="3"/>
  <c r="Q461" i="3" s="1"/>
  <c r="R461" i="3" s="1"/>
  <c r="S461" i="3" s="1"/>
  <c r="AA461" i="3"/>
  <c r="AD461" i="3"/>
  <c r="T461" i="3" l="1"/>
  <c r="D461" i="3" s="1"/>
  <c r="AG461" i="3" l="1"/>
  <c r="G461" i="3"/>
  <c r="AH461" i="3"/>
  <c r="E461" i="3"/>
  <c r="H461" i="3" s="1"/>
  <c r="F461" i="3" l="1"/>
  <c r="I461" i="3"/>
  <c r="J461" i="3"/>
  <c r="M461" i="3"/>
  <c r="N461" i="3" s="1"/>
  <c r="K461" i="3"/>
  <c r="AE461" i="3" s="1"/>
  <c r="V461" i="3" l="1"/>
  <c r="W461" i="3" s="1"/>
  <c r="A462" i="3"/>
  <c r="B462" i="3" s="1"/>
  <c r="L461" i="3"/>
  <c r="U461" i="3" l="1"/>
  <c r="Y460" i="3"/>
  <c r="Z462" i="3"/>
  <c r="P462" i="3"/>
  <c r="Q462" i="3" s="1"/>
  <c r="R462" i="3" s="1"/>
  <c r="S462" i="3" s="1"/>
  <c r="AD462" i="3"/>
  <c r="AA462" i="3"/>
  <c r="AC462" i="3"/>
  <c r="T462" i="3" l="1"/>
  <c r="E462" i="3" s="1"/>
  <c r="H462" i="3" s="1"/>
  <c r="AG462" i="3" l="1"/>
  <c r="AH462" i="3"/>
  <c r="D462" i="3"/>
  <c r="G462" i="3" s="1"/>
  <c r="K462" i="3"/>
  <c r="AE462" i="3" s="1"/>
  <c r="F462" i="3" l="1"/>
  <c r="V462" i="3"/>
  <c r="A463" i="3"/>
  <c r="B463" i="3" s="1"/>
  <c r="I462" i="3"/>
  <c r="J462" i="3"/>
  <c r="M462" i="3"/>
  <c r="N462" i="3" s="1"/>
  <c r="W462" i="3" l="1"/>
  <c r="L462" i="3"/>
  <c r="P463" i="3"/>
  <c r="Q463" i="3" s="1"/>
  <c r="R463" i="3" s="1"/>
  <c r="S463" i="3" s="1"/>
  <c r="AC463" i="3"/>
  <c r="Z463" i="3"/>
  <c r="AA463" i="3"/>
  <c r="AD463" i="3"/>
  <c r="U462" i="3" l="1"/>
  <c r="Y461" i="3"/>
  <c r="T463" i="3"/>
  <c r="AH463" i="3" s="1"/>
  <c r="AG463" i="3" l="1"/>
  <c r="D463" i="3"/>
  <c r="E463" i="3"/>
  <c r="H463" i="3" s="1"/>
  <c r="F463" i="3" l="1"/>
  <c r="G463" i="3"/>
  <c r="K463" i="3"/>
  <c r="AE463" i="3" s="1"/>
  <c r="V463" i="3" l="1"/>
  <c r="A464" i="3"/>
  <c r="B464" i="3" s="1"/>
  <c r="I463" i="3"/>
  <c r="J463" i="3"/>
  <c r="M463" i="3"/>
  <c r="N463" i="3" s="1"/>
  <c r="W463" i="3" l="1"/>
  <c r="L463" i="3"/>
  <c r="Z464" i="3"/>
  <c r="AC464" i="3"/>
  <c r="P464" i="3"/>
  <c r="Q464" i="3" s="1"/>
  <c r="R464" i="3" s="1"/>
  <c r="S464" i="3" s="1"/>
  <c r="AA464" i="3"/>
  <c r="T464" i="3" l="1"/>
  <c r="AG464" i="3" s="1"/>
  <c r="U463" i="3"/>
  <c r="Y462" i="3"/>
  <c r="AH464" i="3" l="1"/>
  <c r="D464" i="3"/>
  <c r="E464" i="3"/>
  <c r="H464" i="3" s="1"/>
  <c r="K464" i="3" l="1"/>
  <c r="AE464" i="3" s="1"/>
  <c r="F464" i="3"/>
  <c r="G464" i="3"/>
  <c r="I464" i="3" l="1"/>
  <c r="J464" i="3"/>
  <c r="AD464" i="3" s="1"/>
  <c r="M464" i="3"/>
  <c r="N464" i="3" s="1"/>
  <c r="V464" i="3"/>
  <c r="A465" i="3"/>
  <c r="B465" i="3" s="1"/>
  <c r="W464" i="3" l="1"/>
  <c r="L464" i="3"/>
  <c r="Z465" i="3"/>
  <c r="P465" i="3"/>
  <c r="Q465" i="3" s="1"/>
  <c r="R465" i="3" s="1"/>
  <c r="S465" i="3" s="1"/>
  <c r="AC465" i="3"/>
  <c r="AA465" i="3"/>
  <c r="T465" i="3" l="1"/>
  <c r="AH465" i="3" s="1"/>
  <c r="U464" i="3"/>
  <c r="Y463" i="3"/>
  <c r="D465" i="3" l="1"/>
  <c r="G465" i="3" s="1"/>
  <c r="E465" i="3"/>
  <c r="H465" i="3" s="1"/>
  <c r="AG465" i="3"/>
  <c r="F465" i="3" l="1"/>
  <c r="I465" i="3"/>
  <c r="J465" i="3"/>
  <c r="AD465" i="3" s="1"/>
  <c r="M465" i="3"/>
  <c r="N465" i="3" s="1"/>
  <c r="K465" i="3"/>
  <c r="AE465" i="3" s="1"/>
  <c r="V465" i="3" l="1"/>
  <c r="W465" i="3" s="1"/>
  <c r="A466" i="3"/>
  <c r="B466" i="3" s="1"/>
  <c r="L465" i="3"/>
  <c r="U465" i="3" l="1"/>
  <c r="Y464" i="3"/>
  <c r="AA466" i="3"/>
  <c r="AC466" i="3"/>
  <c r="Z466" i="3"/>
  <c r="P466" i="3"/>
  <c r="Q466" i="3" s="1"/>
  <c r="R466" i="3" s="1"/>
  <c r="S466" i="3" s="1"/>
  <c r="T466" i="3" l="1"/>
  <c r="AH466" i="3" s="1"/>
  <c r="AG466" i="3" l="1"/>
  <c r="E466" i="3"/>
  <c r="H466" i="3" s="1"/>
  <c r="K466" i="3" s="1"/>
  <c r="AE466" i="3" s="1"/>
  <c r="D466" i="3"/>
  <c r="G466" i="3" s="1"/>
  <c r="F466" i="3" l="1"/>
  <c r="I466" i="3"/>
  <c r="J466" i="3"/>
  <c r="AD466" i="3" s="1"/>
  <c r="M466" i="3"/>
  <c r="N466" i="3" s="1"/>
  <c r="V466" i="3"/>
  <c r="A467" i="3"/>
  <c r="B467" i="3" s="1"/>
  <c r="W466" i="3" l="1"/>
  <c r="L466" i="3"/>
  <c r="P467" i="3"/>
  <c r="Q467" i="3" s="1"/>
  <c r="R467" i="3" s="1"/>
  <c r="S467" i="3" s="1"/>
  <c r="AA467" i="3"/>
  <c r="Z467" i="3"/>
  <c r="AC467" i="3"/>
  <c r="U466" i="3" l="1"/>
  <c r="Y465" i="3"/>
  <c r="T467" i="3"/>
  <c r="E467" i="3" l="1"/>
  <c r="H467" i="3" s="1"/>
  <c r="K467" i="3" s="1"/>
  <c r="AE467" i="3" s="1"/>
  <c r="AG467" i="3"/>
  <c r="D467" i="3"/>
  <c r="AH467" i="3"/>
  <c r="F467" i="3" l="1"/>
  <c r="G467" i="3"/>
  <c r="V467" i="3"/>
  <c r="A468" i="3"/>
  <c r="B468" i="3" s="1"/>
  <c r="AC468" i="3" l="1"/>
  <c r="Z468" i="3"/>
  <c r="P468" i="3"/>
  <c r="Q468" i="3" s="1"/>
  <c r="R468" i="3" s="1"/>
  <c r="S468" i="3" s="1"/>
  <c r="AA468" i="3"/>
  <c r="I467" i="3"/>
  <c r="W467" i="3" s="1"/>
  <c r="J467" i="3"/>
  <c r="AD467" i="3" s="1"/>
  <c r="M467" i="3"/>
  <c r="N467" i="3" s="1"/>
  <c r="L467" i="3" l="1"/>
  <c r="T468" i="3"/>
  <c r="U467" i="3" l="1"/>
  <c r="D468" i="3" s="1"/>
  <c r="AH468" i="3"/>
  <c r="AG468" i="3"/>
  <c r="Y466" i="3"/>
  <c r="E468" i="3" l="1"/>
  <c r="H468" i="3" s="1"/>
  <c r="K468" i="3" s="1"/>
  <c r="AE468" i="3" s="1"/>
  <c r="G468" i="3"/>
  <c r="F468" i="3" l="1"/>
  <c r="I468" i="3"/>
  <c r="J468" i="3"/>
  <c r="AD468" i="3" s="1"/>
  <c r="M468" i="3"/>
  <c r="N468" i="3" s="1"/>
  <c r="V468" i="3"/>
  <c r="A469" i="3"/>
  <c r="B469" i="3" s="1"/>
  <c r="W468" i="3" l="1"/>
  <c r="L468" i="3"/>
  <c r="AA469" i="3"/>
  <c r="P469" i="3"/>
  <c r="Q469" i="3" s="1"/>
  <c r="R469" i="3" s="1"/>
  <c r="S469" i="3" s="1"/>
  <c r="Z469" i="3"/>
  <c r="AC469" i="3"/>
  <c r="U468" i="3" l="1"/>
  <c r="Y467" i="3"/>
  <c r="T469" i="3"/>
  <c r="AG469" i="3" s="1"/>
  <c r="D469" i="3" l="1"/>
  <c r="G469" i="3" s="1"/>
  <c r="AH469" i="3"/>
  <c r="E469" i="3"/>
  <c r="H469" i="3" s="1"/>
  <c r="K469" i="3" s="1"/>
  <c r="AE469" i="3" s="1"/>
  <c r="F469" i="3" l="1"/>
  <c r="I469" i="3"/>
  <c r="J469" i="3"/>
  <c r="AD469" i="3" s="1"/>
  <c r="M469" i="3"/>
  <c r="N469" i="3" s="1"/>
  <c r="V469" i="3"/>
  <c r="A470" i="3"/>
  <c r="B470" i="3" s="1"/>
  <c r="W469" i="3" l="1"/>
  <c r="L469" i="3"/>
  <c r="AC470" i="3"/>
  <c r="P470" i="3"/>
  <c r="Q470" i="3" s="1"/>
  <c r="R470" i="3" s="1"/>
  <c r="S470" i="3" s="1"/>
  <c r="AA470" i="3"/>
  <c r="Z470" i="3"/>
  <c r="U469" i="3" l="1"/>
  <c r="Y468" i="3"/>
  <c r="T470" i="3"/>
  <c r="D470" i="3" l="1"/>
  <c r="G470" i="3" s="1"/>
  <c r="AH470" i="3"/>
  <c r="AG470" i="3"/>
  <c r="E470" i="3"/>
  <c r="H470" i="3" s="1"/>
  <c r="K470" i="3" l="1"/>
  <c r="AE470" i="3" s="1"/>
  <c r="F470" i="3"/>
  <c r="I470" i="3"/>
  <c r="J470" i="3"/>
  <c r="AD470" i="3" s="1"/>
  <c r="M470" i="3"/>
  <c r="N470" i="3" s="1"/>
  <c r="V470" i="3" l="1"/>
  <c r="W470" i="3" s="1"/>
  <c r="A471" i="3"/>
  <c r="B471" i="3" s="1"/>
  <c r="L470" i="3"/>
  <c r="U470" i="3" l="1"/>
  <c r="Y469" i="3"/>
  <c r="Z471" i="3"/>
  <c r="AA471" i="3"/>
  <c r="AC471" i="3"/>
  <c r="P471" i="3"/>
  <c r="Q471" i="3" s="1"/>
  <c r="R471" i="3" s="1"/>
  <c r="S471" i="3" s="1"/>
  <c r="T471" i="3" l="1"/>
  <c r="AH471" i="3" s="1"/>
  <c r="AG471" i="3" l="1"/>
  <c r="E471" i="3"/>
  <c r="H471" i="3" s="1"/>
  <c r="D471" i="3"/>
  <c r="F471" i="3" l="1"/>
  <c r="G471" i="3"/>
  <c r="K471" i="3"/>
  <c r="AE471" i="3" s="1"/>
  <c r="V471" i="3" l="1"/>
  <c r="A472" i="3"/>
  <c r="B472" i="3" s="1"/>
  <c r="I471" i="3"/>
  <c r="J471" i="3"/>
  <c r="AD471" i="3" s="1"/>
  <c r="M471" i="3"/>
  <c r="N471" i="3" s="1"/>
  <c r="W471" i="3" l="1"/>
  <c r="L471" i="3"/>
  <c r="Z472" i="3"/>
  <c r="AA472" i="3"/>
  <c r="P472" i="3"/>
  <c r="Q472" i="3" s="1"/>
  <c r="R472" i="3" s="1"/>
  <c r="S472" i="3" s="1"/>
  <c r="AC472" i="3"/>
  <c r="U471" i="3" l="1"/>
  <c r="Y470" i="3"/>
  <c r="T472" i="3"/>
  <c r="E472" i="3" l="1"/>
  <c r="H472" i="3" s="1"/>
  <c r="K472" i="3" s="1"/>
  <c r="AE472" i="3" s="1"/>
  <c r="AG472" i="3"/>
  <c r="AH472" i="3"/>
  <c r="D472" i="3"/>
  <c r="V472" i="3" l="1"/>
  <c r="A473" i="3"/>
  <c r="B473" i="3" s="1"/>
  <c r="F472" i="3"/>
  <c r="G472" i="3"/>
  <c r="I472" i="3" l="1"/>
  <c r="W472" i="3" s="1"/>
  <c r="J472" i="3"/>
  <c r="AD472" i="3" s="1"/>
  <c r="M472" i="3"/>
  <c r="N472" i="3" s="1"/>
  <c r="AC473" i="3"/>
  <c r="P473" i="3"/>
  <c r="Q473" i="3" s="1"/>
  <c r="R473" i="3" s="1"/>
  <c r="S473" i="3" s="1"/>
  <c r="Z473" i="3"/>
  <c r="AA473" i="3"/>
  <c r="L472" i="3" l="1"/>
  <c r="T473" i="3"/>
  <c r="U472" i="3" l="1"/>
  <c r="D473" i="3" s="1"/>
  <c r="AH473" i="3"/>
  <c r="AG473" i="3"/>
  <c r="Y471" i="3"/>
  <c r="G473" i="3" l="1"/>
  <c r="E473" i="3"/>
  <c r="H473" i="3" s="1"/>
  <c r="F473" i="3" l="1"/>
  <c r="I473" i="3"/>
  <c r="J473" i="3"/>
  <c r="AD473" i="3" s="1"/>
  <c r="M473" i="3"/>
  <c r="N473" i="3" s="1"/>
  <c r="K473" i="3"/>
  <c r="AE473" i="3" s="1"/>
  <c r="V473" i="3" l="1"/>
  <c r="W473" i="3" s="1"/>
  <c r="A474" i="3"/>
  <c r="B474" i="3" s="1"/>
  <c r="L473" i="3"/>
  <c r="U473" i="3" l="1"/>
  <c r="Y472" i="3"/>
  <c r="P474" i="3"/>
  <c r="Q474" i="3" s="1"/>
  <c r="R474" i="3" s="1"/>
  <c r="S474" i="3" s="1"/>
  <c r="Z474" i="3"/>
  <c r="AA474" i="3"/>
  <c r="AC474" i="3"/>
  <c r="T474" i="3" l="1"/>
  <c r="D474" i="3" s="1"/>
  <c r="AG474" i="3" l="1"/>
  <c r="AH474" i="3"/>
  <c r="G474" i="3"/>
  <c r="E474" i="3"/>
  <c r="H474" i="3" s="1"/>
  <c r="I474" i="3" l="1"/>
  <c r="J474" i="3"/>
  <c r="AD474" i="3" s="1"/>
  <c r="M474" i="3"/>
  <c r="N474" i="3" s="1"/>
  <c r="F474" i="3"/>
  <c r="K474" i="3"/>
  <c r="AE474" i="3" s="1"/>
  <c r="V474" i="3" l="1"/>
  <c r="W474" i="3" s="1"/>
  <c r="A475" i="3"/>
  <c r="B475" i="3" s="1"/>
  <c r="L474" i="3"/>
  <c r="U474" i="3" l="1"/>
  <c r="Y473" i="3"/>
  <c r="AC475" i="3"/>
  <c r="Z475" i="3"/>
  <c r="P475" i="3"/>
  <c r="Q475" i="3" s="1"/>
  <c r="R475" i="3" s="1"/>
  <c r="S475" i="3" s="1"/>
  <c r="AD475" i="3"/>
  <c r="AA475" i="3"/>
  <c r="T475" i="3" l="1"/>
  <c r="AG475" i="3" s="1"/>
  <c r="AH475" i="3" l="1"/>
  <c r="E475" i="3"/>
  <c r="H475" i="3" s="1"/>
  <c r="K475" i="3" s="1"/>
  <c r="AE475" i="3" s="1"/>
  <c r="D475" i="3"/>
  <c r="F475" i="3" l="1"/>
  <c r="G475" i="3"/>
  <c r="M475" i="3" s="1"/>
  <c r="N475" i="3" s="1"/>
  <c r="V475" i="3"/>
  <c r="A476" i="3"/>
  <c r="B476" i="3" s="1"/>
  <c r="I475" i="3" l="1"/>
  <c r="W475" i="3" s="1"/>
  <c r="J475" i="3"/>
  <c r="L475" i="3" s="1"/>
  <c r="P476" i="3"/>
  <c r="Q476" i="3" s="1"/>
  <c r="R476" i="3" s="1"/>
  <c r="S476" i="3" s="1"/>
  <c r="AA476" i="3"/>
  <c r="AD476" i="3"/>
  <c r="Z476" i="3"/>
  <c r="AC476" i="3"/>
  <c r="U475" i="3" l="1"/>
  <c r="Y474" i="3"/>
  <c r="T476" i="3"/>
  <c r="AG476" i="3" s="1"/>
  <c r="D476" i="3" l="1"/>
  <c r="G476" i="3" s="1"/>
  <c r="E476" i="3"/>
  <c r="H476" i="3" s="1"/>
  <c r="K476" i="3" s="1"/>
  <c r="AE476" i="3" s="1"/>
  <c r="AH476" i="3"/>
  <c r="F476" i="3" l="1"/>
  <c r="V476" i="3"/>
  <c r="A477" i="3"/>
  <c r="B477" i="3" s="1"/>
  <c r="I476" i="3"/>
  <c r="J476" i="3"/>
  <c r="M476" i="3"/>
  <c r="N476" i="3" s="1"/>
  <c r="W476" i="3" l="1"/>
  <c r="L476" i="3"/>
  <c r="AA477" i="3"/>
  <c r="P477" i="3"/>
  <c r="Q477" i="3" s="1"/>
  <c r="R477" i="3" s="1"/>
  <c r="S477" i="3" s="1"/>
  <c r="AC477" i="3"/>
  <c r="Z477" i="3"/>
  <c r="U476" i="3" l="1"/>
  <c r="Y475" i="3"/>
  <c r="T477" i="3"/>
  <c r="D477" i="3" l="1"/>
  <c r="G477" i="3" s="1"/>
  <c r="AG477" i="3"/>
  <c r="E477" i="3"/>
  <c r="H477" i="3" s="1"/>
  <c r="K477" i="3" s="1"/>
  <c r="AE477" i="3" s="1"/>
  <c r="AH477" i="3"/>
  <c r="F477" i="3" l="1"/>
  <c r="V477" i="3"/>
  <c r="A478" i="3"/>
  <c r="B478" i="3" s="1"/>
  <c r="I477" i="3"/>
  <c r="J477" i="3"/>
  <c r="AD477" i="3" s="1"/>
  <c r="M477" i="3"/>
  <c r="N477" i="3" s="1"/>
  <c r="W477" i="3" l="1"/>
  <c r="L477" i="3"/>
  <c r="AA478" i="3"/>
  <c r="P478" i="3"/>
  <c r="Q478" i="3" s="1"/>
  <c r="R478" i="3" s="1"/>
  <c r="S478" i="3" s="1"/>
  <c r="AC478" i="3"/>
  <c r="Z478" i="3"/>
  <c r="T478" i="3" l="1"/>
  <c r="U477" i="3"/>
  <c r="Y476" i="3"/>
  <c r="E478" i="3" l="1"/>
  <c r="H478" i="3" s="1"/>
  <c r="K478" i="3" s="1"/>
  <c r="AE478" i="3" s="1"/>
  <c r="AG478" i="3"/>
  <c r="AH478" i="3"/>
  <c r="D478" i="3"/>
  <c r="F478" i="3" l="1"/>
  <c r="G478" i="3"/>
  <c r="V478" i="3"/>
  <c r="A479" i="3"/>
  <c r="B479" i="3" s="1"/>
  <c r="I478" i="3" l="1"/>
  <c r="W478" i="3" s="1"/>
  <c r="J478" i="3"/>
  <c r="AD478" i="3" s="1"/>
  <c r="M478" i="3"/>
  <c r="N478" i="3" s="1"/>
  <c r="P479" i="3"/>
  <c r="Q479" i="3" s="1"/>
  <c r="R479" i="3" s="1"/>
  <c r="S479" i="3" s="1"/>
  <c r="AD479" i="3"/>
  <c r="AC479" i="3"/>
  <c r="AA479" i="3"/>
  <c r="Z479" i="3"/>
  <c r="T479" i="3" l="1"/>
  <c r="L478" i="3"/>
  <c r="U478" i="3" l="1"/>
  <c r="E479" i="3" s="1"/>
  <c r="H479" i="3" s="1"/>
  <c r="AH479" i="3"/>
  <c r="AG479" i="3"/>
  <c r="Y477" i="3"/>
  <c r="D479" i="3" l="1"/>
  <c r="G479" i="3" s="1"/>
  <c r="K479" i="3"/>
  <c r="AE479" i="3" s="1"/>
  <c r="F479" i="3" l="1"/>
  <c r="I479" i="3"/>
  <c r="J479" i="3"/>
  <c r="M479" i="3"/>
  <c r="N479" i="3" s="1"/>
  <c r="V479" i="3"/>
  <c r="A480" i="3"/>
  <c r="B480" i="3" s="1"/>
  <c r="W479" i="3" l="1"/>
  <c r="AA480" i="3"/>
  <c r="P480" i="3"/>
  <c r="Q480" i="3" s="1"/>
  <c r="R480" i="3" s="1"/>
  <c r="S480" i="3" s="1"/>
  <c r="AD480" i="3"/>
  <c r="AC480" i="3"/>
  <c r="Z480" i="3"/>
  <c r="L479" i="3"/>
  <c r="U479" i="3" l="1"/>
  <c r="Y478" i="3"/>
  <c r="T480" i="3"/>
  <c r="E480" i="3" l="1"/>
  <c r="H480" i="3" s="1"/>
  <c r="K480" i="3" s="1"/>
  <c r="AE480" i="3" s="1"/>
  <c r="AH480" i="3"/>
  <c r="AG480" i="3"/>
  <c r="D480" i="3"/>
  <c r="V480" i="3" l="1"/>
  <c r="A481" i="3"/>
  <c r="B481" i="3" s="1"/>
  <c r="F480" i="3"/>
  <c r="G480" i="3"/>
  <c r="I480" i="3" l="1"/>
  <c r="W480" i="3" s="1"/>
  <c r="J480" i="3"/>
  <c r="M480" i="3"/>
  <c r="N480" i="3" s="1"/>
  <c r="P481" i="3"/>
  <c r="Q481" i="3" s="1"/>
  <c r="R481" i="3" s="1"/>
  <c r="S481" i="3" s="1"/>
  <c r="AC481" i="3"/>
  <c r="AA481" i="3"/>
  <c r="AD481" i="3"/>
  <c r="Z481" i="3"/>
  <c r="T481" i="3" l="1"/>
  <c r="L480" i="3"/>
  <c r="U480" i="3" l="1"/>
  <c r="D481" i="3" s="1"/>
  <c r="AG481" i="3"/>
  <c r="AH481" i="3"/>
  <c r="Y479" i="3"/>
  <c r="G481" i="3" l="1"/>
  <c r="E481" i="3"/>
  <c r="H481" i="3" s="1"/>
  <c r="K481" i="3" l="1"/>
  <c r="AE481" i="3" s="1"/>
  <c r="I481" i="3"/>
  <c r="J481" i="3"/>
  <c r="M481" i="3"/>
  <c r="N481" i="3" s="1"/>
  <c r="F481" i="3"/>
  <c r="V481" i="3" l="1"/>
  <c r="W481" i="3" s="1"/>
  <c r="A482" i="3"/>
  <c r="B482" i="3" s="1"/>
  <c r="L481" i="3"/>
  <c r="U481" i="3" l="1"/>
  <c r="Y480" i="3"/>
  <c r="AC482" i="3"/>
  <c r="AA482" i="3"/>
  <c r="P482" i="3"/>
  <c r="Q482" i="3" s="1"/>
  <c r="R482" i="3" s="1"/>
  <c r="S482" i="3" s="1"/>
  <c r="AD482" i="3"/>
  <c r="Z482" i="3"/>
  <c r="T482" i="3" l="1"/>
  <c r="D482" i="3" s="1"/>
  <c r="AG482" i="3" l="1"/>
  <c r="G482" i="3"/>
  <c r="AH482" i="3"/>
  <c r="E482" i="3"/>
  <c r="H482" i="3" s="1"/>
  <c r="F482" i="3" l="1"/>
  <c r="I482" i="3"/>
  <c r="J482" i="3"/>
  <c r="M482" i="3"/>
  <c r="N482" i="3" s="1"/>
  <c r="K482" i="3"/>
  <c r="AE482" i="3" s="1"/>
  <c r="V482" i="3" l="1"/>
  <c r="W482" i="3" s="1"/>
  <c r="A483" i="3"/>
  <c r="B483" i="3" s="1"/>
  <c r="L482" i="3"/>
  <c r="U482" i="3" l="1"/>
  <c r="Y481" i="3"/>
  <c r="P483" i="3"/>
  <c r="Q483" i="3" s="1"/>
  <c r="R483" i="3" s="1"/>
  <c r="S483" i="3" s="1"/>
  <c r="Z483" i="3"/>
  <c r="AC483" i="3"/>
  <c r="AD483" i="3"/>
  <c r="AA483" i="3"/>
  <c r="T483" i="3" l="1"/>
  <c r="E483" i="3" s="1"/>
  <c r="H483" i="3" s="1"/>
  <c r="AG483" i="3" l="1"/>
  <c r="AH483" i="3"/>
  <c r="D483" i="3"/>
  <c r="G483" i="3" s="1"/>
  <c r="K483" i="3"/>
  <c r="AE483" i="3" s="1"/>
  <c r="F483" i="3" l="1"/>
  <c r="I483" i="3"/>
  <c r="J483" i="3"/>
  <c r="M483" i="3"/>
  <c r="N483" i="3" s="1"/>
  <c r="V483" i="3"/>
  <c r="A484" i="3"/>
  <c r="B484" i="3" s="1"/>
  <c r="W483" i="3" l="1"/>
  <c r="L483" i="3"/>
  <c r="AC484" i="3"/>
  <c r="Z484" i="3"/>
  <c r="AA484" i="3"/>
  <c r="P484" i="3"/>
  <c r="Q484" i="3" s="1"/>
  <c r="R484" i="3" s="1"/>
  <c r="S484" i="3" s="1"/>
  <c r="T484" i="3" l="1"/>
  <c r="U483" i="3"/>
  <c r="Y482" i="3"/>
  <c r="E484" i="3" l="1"/>
  <c r="H484" i="3" s="1"/>
  <c r="K484" i="3" s="1"/>
  <c r="AE484" i="3" s="1"/>
  <c r="D484" i="3"/>
  <c r="G484" i="3" s="1"/>
  <c r="AG484" i="3"/>
  <c r="AH484" i="3"/>
  <c r="F484" i="3" l="1"/>
  <c r="V484" i="3"/>
  <c r="A485" i="3"/>
  <c r="B485" i="3" s="1"/>
  <c r="I484" i="3"/>
  <c r="J484" i="3"/>
  <c r="AD484" i="3" s="1"/>
  <c r="M484" i="3"/>
  <c r="N484" i="3" s="1"/>
  <c r="W484" i="3" l="1"/>
  <c r="L484" i="3"/>
  <c r="P485" i="3"/>
  <c r="Q485" i="3" s="1"/>
  <c r="R485" i="3" s="1"/>
  <c r="S485" i="3" s="1"/>
  <c r="AD485" i="3"/>
  <c r="AA485" i="3"/>
  <c r="AC485" i="3"/>
  <c r="Z485" i="3"/>
  <c r="U484" i="3" l="1"/>
  <c r="Y483" i="3"/>
  <c r="T485" i="3"/>
  <c r="D485" i="3" l="1"/>
  <c r="G485" i="3" s="1"/>
  <c r="AG485" i="3"/>
  <c r="AH485" i="3"/>
  <c r="E485" i="3"/>
  <c r="H485" i="3" s="1"/>
  <c r="K485" i="3" s="1"/>
  <c r="AE485" i="3" s="1"/>
  <c r="F485" i="3" l="1"/>
  <c r="I485" i="3"/>
  <c r="J485" i="3"/>
  <c r="M485" i="3"/>
  <c r="N485" i="3" s="1"/>
  <c r="V485" i="3"/>
  <c r="A486" i="3"/>
  <c r="B486" i="3" s="1"/>
  <c r="W485" i="3" l="1"/>
  <c r="L485" i="3"/>
  <c r="AA486" i="3"/>
  <c r="P486" i="3"/>
  <c r="Q486" i="3" s="1"/>
  <c r="R486" i="3" s="1"/>
  <c r="S486" i="3" s="1"/>
  <c r="AC486" i="3"/>
  <c r="AD486" i="3"/>
  <c r="Z486" i="3"/>
  <c r="T486" i="3" l="1"/>
  <c r="AH486" i="3" s="1"/>
  <c r="U485" i="3"/>
  <c r="Y484" i="3"/>
  <c r="D486" i="3" l="1"/>
  <c r="G486" i="3" s="1"/>
  <c r="AG486" i="3"/>
  <c r="E486" i="3"/>
  <c r="H486" i="3" s="1"/>
  <c r="K486" i="3" s="1"/>
  <c r="AE486" i="3" s="1"/>
  <c r="F486" i="3" l="1"/>
  <c r="V486" i="3"/>
  <c r="A487" i="3"/>
  <c r="B487" i="3" s="1"/>
  <c r="I486" i="3"/>
  <c r="J486" i="3"/>
  <c r="M486" i="3"/>
  <c r="N486" i="3" s="1"/>
  <c r="W486" i="3" l="1"/>
  <c r="L486" i="3"/>
  <c r="AA487" i="3"/>
  <c r="P487" i="3"/>
  <c r="Q487" i="3" s="1"/>
  <c r="R487" i="3" s="1"/>
  <c r="S487" i="3" s="1"/>
  <c r="AC487" i="3"/>
  <c r="Z487" i="3"/>
  <c r="T487" i="3" l="1"/>
  <c r="U486" i="3"/>
  <c r="Y485" i="3"/>
  <c r="E487" i="3" l="1"/>
  <c r="H487" i="3" s="1"/>
  <c r="K487" i="3" s="1"/>
  <c r="AE487" i="3" s="1"/>
  <c r="D487" i="3"/>
  <c r="AH487" i="3"/>
  <c r="AG487" i="3"/>
  <c r="V487" i="3" l="1"/>
  <c r="A488" i="3"/>
  <c r="B488" i="3" s="1"/>
  <c r="F487" i="3"/>
  <c r="G487" i="3"/>
  <c r="I487" i="3" l="1"/>
  <c r="W487" i="3" s="1"/>
  <c r="J487" i="3"/>
  <c r="AD487" i="3" s="1"/>
  <c r="M487" i="3"/>
  <c r="N487" i="3" s="1"/>
  <c r="AA488" i="3"/>
  <c r="Z488" i="3"/>
  <c r="P488" i="3"/>
  <c r="Q488" i="3" s="1"/>
  <c r="R488" i="3" s="1"/>
  <c r="S488" i="3" s="1"/>
  <c r="AC488" i="3"/>
  <c r="L487" i="3" l="1"/>
  <c r="T488" i="3"/>
  <c r="U487" i="3" l="1"/>
  <c r="D488" i="3" s="1"/>
  <c r="AG488" i="3"/>
  <c r="AH488" i="3"/>
  <c r="Y486" i="3"/>
  <c r="E488" i="3" l="1"/>
  <c r="H488" i="3" s="1"/>
  <c r="K488" i="3" s="1"/>
  <c r="AE488" i="3" s="1"/>
  <c r="G488" i="3"/>
  <c r="F488" i="3" l="1"/>
  <c r="I488" i="3"/>
  <c r="J488" i="3"/>
  <c r="AD488" i="3" s="1"/>
  <c r="M488" i="3"/>
  <c r="N488" i="3" s="1"/>
  <c r="V488" i="3"/>
  <c r="A489" i="3"/>
  <c r="B489" i="3" s="1"/>
  <c r="W488" i="3" l="1"/>
  <c r="L488" i="3"/>
  <c r="P489" i="3"/>
  <c r="Q489" i="3" s="1"/>
  <c r="R489" i="3" s="1"/>
  <c r="S489" i="3" s="1"/>
  <c r="AC489" i="3"/>
  <c r="AA489" i="3"/>
  <c r="AD489" i="3"/>
  <c r="Z489" i="3"/>
  <c r="U488" i="3" l="1"/>
  <c r="Y487" i="3"/>
  <c r="T489" i="3"/>
  <c r="AH489" i="3" s="1"/>
  <c r="AG489" i="3" l="1"/>
  <c r="D489" i="3"/>
  <c r="E489" i="3"/>
  <c r="H489" i="3" s="1"/>
  <c r="K489" i="3" s="1"/>
  <c r="AE489" i="3" s="1"/>
  <c r="F489" i="3" l="1"/>
  <c r="G489" i="3"/>
  <c r="M489" i="3" s="1"/>
  <c r="N489" i="3" s="1"/>
  <c r="V489" i="3"/>
  <c r="A490" i="3"/>
  <c r="B490" i="3" s="1"/>
  <c r="I489" i="3" l="1"/>
  <c r="W489" i="3" s="1"/>
  <c r="J489" i="3"/>
  <c r="L489" i="3" s="1"/>
  <c r="Z490" i="3"/>
  <c r="AC490" i="3"/>
  <c r="P490" i="3"/>
  <c r="Q490" i="3" s="1"/>
  <c r="R490" i="3" s="1"/>
  <c r="S490" i="3" s="1"/>
  <c r="AD490" i="3"/>
  <c r="AA490" i="3"/>
  <c r="T490" i="3" l="1"/>
  <c r="AH490" i="3" s="1"/>
  <c r="U489" i="3"/>
  <c r="Y488" i="3"/>
  <c r="E490" i="3" l="1"/>
  <c r="H490" i="3" s="1"/>
  <c r="K490" i="3" s="1"/>
  <c r="AE490" i="3" s="1"/>
  <c r="D490" i="3"/>
  <c r="AG490" i="3"/>
  <c r="V490" i="3" l="1"/>
  <c r="A491" i="3"/>
  <c r="B491" i="3" s="1"/>
  <c r="F490" i="3"/>
  <c r="G490" i="3"/>
  <c r="I490" i="3" l="1"/>
  <c r="W490" i="3" s="1"/>
  <c r="J490" i="3"/>
  <c r="M490" i="3"/>
  <c r="N490" i="3" s="1"/>
  <c r="P491" i="3"/>
  <c r="Q491" i="3" s="1"/>
  <c r="R491" i="3" s="1"/>
  <c r="S491" i="3" s="1"/>
  <c r="Z491" i="3"/>
  <c r="AD491" i="3"/>
  <c r="AC491" i="3"/>
  <c r="AA491" i="3"/>
  <c r="T491" i="3" l="1"/>
  <c r="L490" i="3"/>
  <c r="AH491" i="3" l="1"/>
  <c r="U490" i="3"/>
  <c r="D491" i="3" s="1"/>
  <c r="AG491" i="3"/>
  <c r="Y489" i="3"/>
  <c r="E491" i="3" l="1"/>
  <c r="H491" i="3" s="1"/>
  <c r="K491" i="3" s="1"/>
  <c r="AE491" i="3" s="1"/>
  <c r="G491" i="3"/>
  <c r="F491" i="3" l="1"/>
  <c r="I491" i="3"/>
  <c r="J491" i="3"/>
  <c r="M491" i="3"/>
  <c r="N491" i="3" s="1"/>
  <c r="V491" i="3"/>
  <c r="A492" i="3"/>
  <c r="B492" i="3" s="1"/>
  <c r="W491" i="3" l="1"/>
  <c r="L491" i="3"/>
  <c r="AC492" i="3"/>
  <c r="AA492" i="3"/>
  <c r="P492" i="3"/>
  <c r="Q492" i="3" s="1"/>
  <c r="R492" i="3" s="1"/>
  <c r="S492" i="3" s="1"/>
  <c r="Z492" i="3"/>
  <c r="AD492" i="3"/>
  <c r="T492" i="3" l="1"/>
  <c r="U491" i="3"/>
  <c r="Y490" i="3"/>
  <c r="D492" i="3" l="1"/>
  <c r="G492" i="3" s="1"/>
  <c r="AH492" i="3"/>
  <c r="AG492" i="3"/>
  <c r="E492" i="3"/>
  <c r="H492" i="3" s="1"/>
  <c r="F492" i="3" l="1"/>
  <c r="I492" i="3"/>
  <c r="J492" i="3"/>
  <c r="M492" i="3"/>
  <c r="N492" i="3" s="1"/>
  <c r="K492" i="3"/>
  <c r="AE492" i="3" s="1"/>
  <c r="L492" i="3" l="1"/>
  <c r="V492" i="3"/>
  <c r="W492" i="3" s="1"/>
  <c r="A493" i="3"/>
  <c r="B493" i="3" s="1"/>
  <c r="U492" i="3" l="1"/>
  <c r="Y491" i="3"/>
  <c r="P493" i="3"/>
  <c r="Q493" i="3" s="1"/>
  <c r="R493" i="3" s="1"/>
  <c r="S493" i="3" s="1"/>
  <c r="AC493" i="3"/>
  <c r="AA493" i="3"/>
  <c r="Z493" i="3"/>
  <c r="AD493" i="3"/>
  <c r="T493" i="3" l="1"/>
  <c r="AH493" i="3" s="1"/>
  <c r="AG493" i="3" l="1"/>
  <c r="E493" i="3"/>
  <c r="H493" i="3" s="1"/>
  <c r="K493" i="3" s="1"/>
  <c r="AE493" i="3" s="1"/>
  <c r="D493" i="3"/>
  <c r="F493" i="3" l="1"/>
  <c r="G493" i="3"/>
  <c r="J493" i="3" s="1"/>
  <c r="V493" i="3"/>
  <c r="A494" i="3"/>
  <c r="B494" i="3" s="1"/>
  <c r="M493" i="3" l="1"/>
  <c r="N493" i="3" s="1"/>
  <c r="I493" i="3"/>
  <c r="W493" i="3" s="1"/>
  <c r="L493" i="3"/>
  <c r="P494" i="3"/>
  <c r="Q494" i="3" s="1"/>
  <c r="R494" i="3" s="1"/>
  <c r="S494" i="3" s="1"/>
  <c r="AC494" i="3"/>
  <c r="Z494" i="3"/>
  <c r="AA494" i="3"/>
  <c r="T494" i="3" l="1"/>
  <c r="AH494" i="3" s="1"/>
  <c r="U493" i="3"/>
  <c r="Y492" i="3"/>
  <c r="E494" i="3" l="1"/>
  <c r="H494" i="3" s="1"/>
  <c r="K494" i="3" s="1"/>
  <c r="AE494" i="3" s="1"/>
  <c r="D494" i="3"/>
  <c r="AG494" i="3"/>
  <c r="F494" i="3" l="1"/>
  <c r="G494" i="3"/>
  <c r="V494" i="3"/>
  <c r="A495" i="3"/>
  <c r="B495" i="3" s="1"/>
  <c r="Z495" i="3" l="1"/>
  <c r="P495" i="3"/>
  <c r="Q495" i="3" s="1"/>
  <c r="R495" i="3" s="1"/>
  <c r="S495" i="3" s="1"/>
  <c r="AA495" i="3"/>
  <c r="AC495" i="3"/>
  <c r="I494" i="3"/>
  <c r="W494" i="3" s="1"/>
  <c r="J494" i="3"/>
  <c r="AD494" i="3" s="1"/>
  <c r="M494" i="3"/>
  <c r="N494" i="3" s="1"/>
  <c r="L494" i="3" l="1"/>
  <c r="T495" i="3"/>
  <c r="AG495" i="3" l="1"/>
  <c r="U494" i="3"/>
  <c r="D495" i="3" s="1"/>
  <c r="AH495" i="3"/>
  <c r="Y493" i="3"/>
  <c r="E495" i="3" l="1"/>
  <c r="H495" i="3" s="1"/>
  <c r="K495" i="3" s="1"/>
  <c r="AE495" i="3" s="1"/>
  <c r="G495" i="3"/>
  <c r="F495" i="3" l="1"/>
  <c r="V495" i="3"/>
  <c r="A496" i="3"/>
  <c r="B496" i="3" s="1"/>
  <c r="I495" i="3"/>
  <c r="J495" i="3"/>
  <c r="AD495" i="3" s="1"/>
  <c r="M495" i="3"/>
  <c r="N495" i="3" s="1"/>
  <c r="W495" i="3" l="1"/>
  <c r="L495" i="3"/>
  <c r="AA496" i="3"/>
  <c r="P496" i="3"/>
  <c r="Q496" i="3" s="1"/>
  <c r="R496" i="3" s="1"/>
  <c r="S496" i="3" s="1"/>
  <c r="Z496" i="3"/>
  <c r="AC496" i="3"/>
  <c r="U495" i="3" l="1"/>
  <c r="Y494" i="3"/>
  <c r="T496" i="3"/>
  <c r="AH496" i="3" s="1"/>
  <c r="D496" i="3" l="1"/>
  <c r="G496" i="3" s="1"/>
  <c r="AG496" i="3"/>
  <c r="E496" i="3"/>
  <c r="H496" i="3" s="1"/>
  <c r="K496" i="3" s="1"/>
  <c r="AE496" i="3" s="1"/>
  <c r="F496" i="3" l="1"/>
  <c r="V496" i="3"/>
  <c r="A497" i="3"/>
  <c r="B497" i="3" s="1"/>
  <c r="I496" i="3"/>
  <c r="J496" i="3"/>
  <c r="AD496" i="3" s="1"/>
  <c r="M496" i="3"/>
  <c r="N496" i="3" s="1"/>
  <c r="W496" i="3" l="1"/>
  <c r="L496" i="3"/>
  <c r="P497" i="3"/>
  <c r="Q497" i="3" s="1"/>
  <c r="R497" i="3" s="1"/>
  <c r="S497" i="3" s="1"/>
  <c r="AC497" i="3"/>
  <c r="AA497" i="3"/>
  <c r="Z497" i="3"/>
  <c r="U496" i="3" l="1"/>
  <c r="Y495" i="3"/>
  <c r="T497" i="3"/>
  <c r="AG497" i="3" s="1"/>
  <c r="E497" i="3" l="1"/>
  <c r="H497" i="3" s="1"/>
  <c r="D497" i="3"/>
  <c r="AH497" i="3"/>
  <c r="F497" i="3" l="1"/>
  <c r="G497" i="3"/>
  <c r="K497" i="3"/>
  <c r="AE497" i="3" s="1"/>
  <c r="I497" i="3" l="1"/>
  <c r="J497" i="3"/>
  <c r="AD497" i="3" s="1"/>
  <c r="M497" i="3"/>
  <c r="N497" i="3" s="1"/>
  <c r="V497" i="3"/>
  <c r="A498" i="3"/>
  <c r="B498" i="3" s="1"/>
  <c r="W497" i="3" l="1"/>
  <c r="L497" i="3"/>
  <c r="Z498" i="3"/>
  <c r="AC498" i="3"/>
  <c r="AA498" i="3"/>
  <c r="P498" i="3"/>
  <c r="Q498" i="3" s="1"/>
  <c r="R498" i="3" s="1"/>
  <c r="S498" i="3" s="1"/>
  <c r="U497" i="3" l="1"/>
  <c r="Y496" i="3"/>
  <c r="T498" i="3"/>
  <c r="AH498" i="3" s="1"/>
  <c r="AG498" i="3" l="1"/>
  <c r="D498" i="3"/>
  <c r="E498" i="3"/>
  <c r="H498" i="3" s="1"/>
  <c r="F498" i="3" l="1"/>
  <c r="G498" i="3"/>
  <c r="K498" i="3"/>
  <c r="AE498" i="3" s="1"/>
  <c r="I498" i="3" l="1"/>
  <c r="J498" i="3"/>
  <c r="AD498" i="3" s="1"/>
  <c r="M498" i="3"/>
  <c r="N498" i="3" s="1"/>
  <c r="V498" i="3"/>
  <c r="A499" i="3"/>
  <c r="B499" i="3" s="1"/>
  <c r="W498" i="3" l="1"/>
  <c r="L498" i="3"/>
  <c r="AC499" i="3"/>
  <c r="P499" i="3"/>
  <c r="Q499" i="3" s="1"/>
  <c r="R499" i="3" s="1"/>
  <c r="S499" i="3" s="1"/>
  <c r="AA499" i="3"/>
  <c r="Z499" i="3"/>
  <c r="T499" i="3" l="1"/>
  <c r="U498" i="3"/>
  <c r="Y497" i="3"/>
  <c r="D499" i="3" l="1"/>
  <c r="G499" i="3" s="1"/>
  <c r="AH499" i="3"/>
  <c r="E499" i="3"/>
  <c r="H499" i="3" s="1"/>
  <c r="AG499" i="3"/>
  <c r="F499" i="3" l="1"/>
  <c r="I499" i="3"/>
  <c r="J499" i="3"/>
  <c r="AD499" i="3" s="1"/>
  <c r="M499" i="3"/>
  <c r="N499" i="3" s="1"/>
  <c r="K499" i="3"/>
  <c r="AE499" i="3" s="1"/>
  <c r="V499" i="3" l="1"/>
  <c r="W499" i="3" s="1"/>
  <c r="A500" i="3"/>
  <c r="B500" i="3" s="1"/>
  <c r="L499" i="3"/>
  <c r="U499" i="3" l="1"/>
  <c r="Y498" i="3"/>
  <c r="AA500" i="3"/>
  <c r="AC500" i="3"/>
  <c r="P500" i="3"/>
  <c r="Q500" i="3" s="1"/>
  <c r="R500" i="3" s="1"/>
  <c r="S500" i="3" s="1"/>
  <c r="Z500" i="3"/>
  <c r="T500" i="3" l="1"/>
  <c r="AH500" i="3" s="1"/>
  <c r="D500" i="3" l="1"/>
  <c r="AG500" i="3"/>
  <c r="E500" i="3"/>
  <c r="H500" i="3" s="1"/>
  <c r="F500" i="3" l="1"/>
  <c r="G500" i="3"/>
  <c r="K500" i="3"/>
  <c r="AE500" i="3" s="1"/>
  <c r="I500" i="3" l="1"/>
  <c r="J500" i="3"/>
  <c r="AD500" i="3" s="1"/>
  <c r="M500" i="3"/>
  <c r="N500" i="3" s="1"/>
  <c r="V500" i="3"/>
  <c r="A501" i="3"/>
  <c r="B501" i="3" s="1"/>
  <c r="W500" i="3" l="1"/>
  <c r="L500" i="3"/>
  <c r="P501" i="3"/>
  <c r="Q501" i="3" s="1"/>
  <c r="R501" i="3" s="1"/>
  <c r="S501" i="3" s="1"/>
  <c r="AC501" i="3"/>
  <c r="Z501" i="3"/>
  <c r="AA501" i="3"/>
  <c r="U500" i="3" l="1"/>
  <c r="Y499" i="3"/>
  <c r="T501" i="3"/>
  <c r="D501" i="3" l="1"/>
  <c r="G501" i="3" s="1"/>
  <c r="E501" i="3"/>
  <c r="H501" i="3" s="1"/>
  <c r="K501" i="3" s="1"/>
  <c r="AE501" i="3" s="1"/>
  <c r="AG501" i="3"/>
  <c r="AH501" i="3"/>
  <c r="F501" i="3" l="1"/>
  <c r="I501" i="3"/>
  <c r="J501" i="3"/>
  <c r="AD501" i="3" s="1"/>
  <c r="M501" i="3"/>
  <c r="N501" i="3" s="1"/>
  <c r="V501" i="3"/>
  <c r="A502" i="3"/>
  <c r="B502" i="3" s="1"/>
  <c r="L501" i="3" l="1"/>
  <c r="W501" i="3"/>
  <c r="Z502" i="3"/>
  <c r="AA502" i="3"/>
  <c r="AC502" i="3"/>
  <c r="P502" i="3"/>
  <c r="Q502" i="3" s="1"/>
  <c r="R502" i="3" s="1"/>
  <c r="S502" i="3" s="1"/>
  <c r="U501" i="3" l="1"/>
  <c r="Y500" i="3"/>
  <c r="T502" i="3"/>
  <c r="E502" i="3" l="1"/>
  <c r="H502" i="3" s="1"/>
  <c r="K502" i="3" s="1"/>
  <c r="AE502" i="3" s="1"/>
  <c r="AG502" i="3"/>
  <c r="D502" i="3"/>
  <c r="AH502" i="3"/>
  <c r="F502" i="3" l="1"/>
  <c r="G502" i="3"/>
  <c r="V502" i="3"/>
  <c r="A503" i="3"/>
  <c r="B503" i="3" s="1"/>
  <c r="I502" i="3" l="1"/>
  <c r="W502" i="3" s="1"/>
  <c r="J502" i="3"/>
  <c r="AD502" i="3" s="1"/>
  <c r="M502" i="3"/>
  <c r="N502" i="3" s="1"/>
  <c r="AA503" i="3"/>
  <c r="P503" i="3"/>
  <c r="Q503" i="3" s="1"/>
  <c r="R503" i="3" s="1"/>
  <c r="S503" i="3" s="1"/>
  <c r="AC503" i="3"/>
  <c r="Z503" i="3"/>
  <c r="T503" i="3" l="1"/>
  <c r="L502" i="3"/>
  <c r="AG503" i="3" l="1"/>
  <c r="AH503" i="3"/>
  <c r="U502" i="3"/>
  <c r="E503" i="3" s="1"/>
  <c r="H503" i="3" s="1"/>
  <c r="Y501" i="3"/>
  <c r="D503" i="3" l="1"/>
  <c r="G503" i="3" s="1"/>
  <c r="K503" i="3"/>
  <c r="AE503" i="3" s="1"/>
  <c r="F503" i="3" l="1"/>
  <c r="V503" i="3"/>
  <c r="A504" i="3"/>
  <c r="B504" i="3" s="1"/>
  <c r="I503" i="3"/>
  <c r="J503" i="3"/>
  <c r="AD503" i="3" s="1"/>
  <c r="M503" i="3"/>
  <c r="N503" i="3" s="1"/>
  <c r="W503" i="3" l="1"/>
  <c r="L503" i="3"/>
  <c r="P504" i="3"/>
  <c r="Q504" i="3" s="1"/>
  <c r="R504" i="3" s="1"/>
  <c r="S504" i="3" s="1"/>
  <c r="Z504" i="3"/>
  <c r="AA504" i="3"/>
  <c r="AC504" i="3"/>
  <c r="U503" i="3" l="1"/>
  <c r="Y502" i="3"/>
  <c r="T504" i="3"/>
  <c r="AG504" i="3" s="1"/>
  <c r="E504" i="3" l="1"/>
  <c r="H504" i="3" s="1"/>
  <c r="K504" i="3" s="1"/>
  <c r="AE504" i="3" s="1"/>
  <c r="D504" i="3"/>
  <c r="AH504" i="3"/>
  <c r="F504" i="3" l="1"/>
  <c r="G504" i="3"/>
  <c r="I504" i="3" s="1"/>
  <c r="V504" i="3"/>
  <c r="A505" i="3"/>
  <c r="B505" i="3" s="1"/>
  <c r="J504" i="3" l="1"/>
  <c r="W504" i="3"/>
  <c r="M504" i="3"/>
  <c r="N504" i="3" s="1"/>
  <c r="P505" i="3"/>
  <c r="Q505" i="3" s="1"/>
  <c r="R505" i="3" s="1"/>
  <c r="S505" i="3" s="1"/>
  <c r="AC505" i="3"/>
  <c r="Z505" i="3"/>
  <c r="AD505" i="3"/>
  <c r="AA505" i="3"/>
  <c r="L504" i="3" l="1"/>
  <c r="Y503" i="3" s="1"/>
  <c r="AD504" i="3"/>
  <c r="T505" i="3"/>
  <c r="AH505" i="3" l="1"/>
  <c r="U504" i="3"/>
  <c r="D505" i="3" s="1"/>
  <c r="G505" i="3" s="1"/>
  <c r="AG505" i="3"/>
  <c r="E505" i="3" l="1"/>
  <c r="H505" i="3" s="1"/>
  <c r="K505" i="3" s="1"/>
  <c r="AE505" i="3" s="1"/>
  <c r="J505" i="3"/>
  <c r="I505" i="3" l="1"/>
  <c r="F505" i="3"/>
  <c r="V505" i="3"/>
  <c r="M505" i="3"/>
  <c r="N505" i="3" s="1"/>
  <c r="A506" i="3"/>
  <c r="B506" i="3" s="1"/>
  <c r="P506" i="3" s="1"/>
  <c r="Q506" i="3" s="1"/>
  <c r="R506" i="3" s="1"/>
  <c r="S506" i="3" s="1"/>
  <c r="L505" i="3"/>
  <c r="W505" i="3" l="1"/>
  <c r="AA506" i="3"/>
  <c r="AD506" i="3"/>
  <c r="AC506" i="3"/>
  <c r="Z506" i="3"/>
  <c r="U505" i="3"/>
  <c r="Y504" i="3"/>
  <c r="T506" i="3"/>
  <c r="AG506" i="3" l="1"/>
  <c r="D506" i="3"/>
  <c r="G506" i="3" s="1"/>
  <c r="AH506" i="3"/>
  <c r="E506" i="3"/>
  <c r="H506" i="3" s="1"/>
  <c r="K506" i="3" s="1"/>
  <c r="AE506" i="3" s="1"/>
  <c r="F506" i="3" l="1"/>
  <c r="I506" i="3"/>
  <c r="J506" i="3"/>
  <c r="M506" i="3"/>
  <c r="N506" i="3" s="1"/>
  <c r="V506" i="3"/>
  <c r="A507" i="3"/>
  <c r="B507" i="3" s="1"/>
  <c r="W506" i="3" l="1"/>
  <c r="L506" i="3"/>
  <c r="AC507" i="3"/>
  <c r="P507" i="3"/>
  <c r="Q507" i="3" s="1"/>
  <c r="R507" i="3" s="1"/>
  <c r="S507" i="3" s="1"/>
  <c r="AA507" i="3"/>
  <c r="Z507" i="3"/>
  <c r="U506" i="3" l="1"/>
  <c r="Y505" i="3"/>
  <c r="T507" i="3"/>
  <c r="AH507" i="3" s="1"/>
  <c r="AG507" i="3" l="1"/>
  <c r="E507" i="3"/>
  <c r="H507" i="3" s="1"/>
  <c r="D507" i="3"/>
  <c r="K507" i="3" l="1"/>
  <c r="AE507" i="3" s="1"/>
  <c r="F507" i="3"/>
  <c r="G507" i="3"/>
  <c r="I507" i="3" l="1"/>
  <c r="J507" i="3"/>
  <c r="AD507" i="3" s="1"/>
  <c r="M507" i="3"/>
  <c r="N507" i="3" s="1"/>
  <c r="V507" i="3"/>
  <c r="A508" i="3"/>
  <c r="B508" i="3" s="1"/>
  <c r="W507" i="3" l="1"/>
  <c r="L507" i="3"/>
  <c r="P508" i="3"/>
  <c r="Q508" i="3" s="1"/>
  <c r="R508" i="3" s="1"/>
  <c r="S508" i="3" s="1"/>
  <c r="AA508" i="3"/>
  <c r="Z508" i="3"/>
  <c r="AC508" i="3"/>
  <c r="U507" i="3" l="1"/>
  <c r="Y506" i="3"/>
  <c r="T508" i="3"/>
  <c r="E508" i="3" l="1"/>
  <c r="H508" i="3" s="1"/>
  <c r="K508" i="3" s="1"/>
  <c r="AE508" i="3" s="1"/>
  <c r="AH508" i="3"/>
  <c r="D508" i="3"/>
  <c r="AG508" i="3"/>
  <c r="F508" i="3" l="1"/>
  <c r="G508" i="3"/>
  <c r="V508" i="3"/>
  <c r="A509" i="3"/>
  <c r="B509" i="3" s="1"/>
  <c r="AD509" i="3" l="1"/>
  <c r="AC509" i="3"/>
  <c r="Z509" i="3"/>
  <c r="AA509" i="3"/>
  <c r="P509" i="3"/>
  <c r="Q509" i="3" s="1"/>
  <c r="R509" i="3" s="1"/>
  <c r="S509" i="3" s="1"/>
  <c r="I508" i="3"/>
  <c r="W508" i="3" s="1"/>
  <c r="J508" i="3"/>
  <c r="AD508" i="3" s="1"/>
  <c r="M508" i="3"/>
  <c r="N508" i="3" s="1"/>
  <c r="L508" i="3" l="1"/>
  <c r="T509" i="3"/>
  <c r="AG509" i="3" l="1"/>
  <c r="AH509" i="3"/>
  <c r="U508" i="3"/>
  <c r="D509" i="3" s="1"/>
  <c r="Y507" i="3"/>
  <c r="G509" i="3" l="1"/>
  <c r="E509" i="3"/>
  <c r="H509" i="3" s="1"/>
  <c r="F509" i="3" l="1"/>
  <c r="I509" i="3"/>
  <c r="J509" i="3"/>
  <c r="M509" i="3"/>
  <c r="N509" i="3" s="1"/>
  <c r="K509" i="3"/>
  <c r="AE509" i="3" s="1"/>
  <c r="V509" i="3" l="1"/>
  <c r="W509" i="3" s="1"/>
  <c r="A510" i="3"/>
  <c r="B510" i="3" s="1"/>
  <c r="L509" i="3"/>
  <c r="U509" i="3" l="1"/>
  <c r="Y508" i="3"/>
  <c r="AC510" i="3"/>
  <c r="Z510" i="3"/>
  <c r="AA510" i="3"/>
  <c r="AD510" i="3"/>
  <c r="P510" i="3"/>
  <c r="Q510" i="3" s="1"/>
  <c r="R510" i="3" s="1"/>
  <c r="S510" i="3" s="1"/>
  <c r="T510" i="3" l="1"/>
  <c r="AH510" i="3" l="1"/>
  <c r="E510" i="3"/>
  <c r="H510" i="3" s="1"/>
  <c r="D510" i="3"/>
  <c r="AG510" i="3"/>
  <c r="F510" i="3" l="1"/>
  <c r="G510" i="3"/>
  <c r="K510" i="3"/>
  <c r="AE510" i="3" s="1"/>
  <c r="V510" i="3" l="1"/>
  <c r="A511" i="3"/>
  <c r="B511" i="3" s="1"/>
  <c r="I510" i="3"/>
  <c r="J510" i="3"/>
  <c r="M510" i="3"/>
  <c r="N510" i="3" s="1"/>
  <c r="L510" i="3" l="1"/>
  <c r="AA511" i="3"/>
  <c r="AC511" i="3"/>
  <c r="P511" i="3"/>
  <c r="Q511" i="3" s="1"/>
  <c r="R511" i="3" s="1"/>
  <c r="S511" i="3" s="1"/>
  <c r="Z511" i="3"/>
  <c r="AD511" i="3"/>
  <c r="W510" i="3"/>
  <c r="U510" i="3" l="1"/>
  <c r="Y509" i="3"/>
  <c r="T511" i="3"/>
  <c r="AG511" i="3" s="1"/>
  <c r="AH511" i="3" l="1"/>
  <c r="D511" i="3"/>
  <c r="E511" i="3"/>
  <c r="H511" i="3" s="1"/>
  <c r="F511" i="3" l="1"/>
  <c r="G511" i="3"/>
  <c r="K511" i="3"/>
  <c r="AE511" i="3" s="1"/>
  <c r="V511" i="3" l="1"/>
  <c r="A512" i="3"/>
  <c r="B512" i="3" s="1"/>
  <c r="I511" i="3"/>
  <c r="J511" i="3"/>
  <c r="M511" i="3"/>
  <c r="N511" i="3" s="1"/>
  <c r="W511" i="3" l="1"/>
  <c r="L511" i="3"/>
  <c r="AC512" i="3"/>
  <c r="Z512" i="3"/>
  <c r="AA512" i="3"/>
  <c r="P512" i="3"/>
  <c r="Q512" i="3" s="1"/>
  <c r="R512" i="3" s="1"/>
  <c r="S512" i="3" s="1"/>
  <c r="AD512" i="3"/>
  <c r="T512" i="3" l="1"/>
  <c r="U511" i="3"/>
  <c r="Y510" i="3"/>
  <c r="D512" i="3" l="1"/>
  <c r="G512" i="3" s="1"/>
  <c r="AH512" i="3"/>
  <c r="E512" i="3"/>
  <c r="H512" i="3" s="1"/>
  <c r="K512" i="3" s="1"/>
  <c r="AE512" i="3" s="1"/>
  <c r="AG512" i="3"/>
  <c r="F512" i="3" l="1"/>
  <c r="I512" i="3"/>
  <c r="J512" i="3"/>
  <c r="M512" i="3"/>
  <c r="N512" i="3" s="1"/>
  <c r="V512" i="3"/>
  <c r="A513" i="3"/>
  <c r="B513" i="3" s="1"/>
  <c r="W512" i="3" l="1"/>
  <c r="L512" i="3"/>
  <c r="AA513" i="3"/>
  <c r="P513" i="3"/>
  <c r="Q513" i="3" s="1"/>
  <c r="R513" i="3" s="1"/>
  <c r="S513" i="3" s="1"/>
  <c r="AC513" i="3"/>
  <c r="AD513" i="3"/>
  <c r="Z513" i="3"/>
  <c r="T513" i="3" l="1"/>
  <c r="AG513" i="3" s="1"/>
  <c r="U512" i="3"/>
  <c r="Y511" i="3"/>
  <c r="AH513" i="3" l="1"/>
  <c r="E513" i="3"/>
  <c r="H513" i="3" s="1"/>
  <c r="D513" i="3"/>
  <c r="F513" i="3" l="1"/>
  <c r="G513" i="3"/>
  <c r="K513" i="3"/>
  <c r="AE513" i="3" s="1"/>
  <c r="V513" i="3" l="1"/>
  <c r="A514" i="3"/>
  <c r="B514" i="3" s="1"/>
  <c r="I513" i="3"/>
  <c r="J513" i="3"/>
  <c r="M513" i="3"/>
  <c r="N513" i="3" s="1"/>
  <c r="L513" i="3" l="1"/>
  <c r="Z514" i="3"/>
  <c r="AA514" i="3"/>
  <c r="AC514" i="3"/>
  <c r="P514" i="3"/>
  <c r="Q514" i="3" s="1"/>
  <c r="R514" i="3" s="1"/>
  <c r="S514" i="3" s="1"/>
  <c r="W513" i="3"/>
  <c r="T514" i="3" l="1"/>
  <c r="AH514" i="3" s="1"/>
  <c r="U513" i="3"/>
  <c r="Y512" i="3"/>
  <c r="AG514" i="3" l="1"/>
  <c r="E514" i="3"/>
  <c r="H514" i="3" s="1"/>
  <c r="D514" i="3"/>
  <c r="K514" i="3" l="1"/>
  <c r="AE514" i="3" s="1"/>
  <c r="F514" i="3"/>
  <c r="G514" i="3"/>
  <c r="V514" i="3" l="1"/>
  <c r="A515" i="3"/>
  <c r="B515" i="3" s="1"/>
  <c r="I514" i="3"/>
  <c r="J514" i="3"/>
  <c r="AD514" i="3" s="1"/>
  <c r="M514" i="3"/>
  <c r="N514" i="3" s="1"/>
  <c r="W514" i="3" l="1"/>
  <c r="L514" i="3"/>
  <c r="P515" i="3"/>
  <c r="Q515" i="3" s="1"/>
  <c r="R515" i="3" s="1"/>
  <c r="S515" i="3" s="1"/>
  <c r="AC515" i="3"/>
  <c r="Z515" i="3"/>
  <c r="AA515" i="3"/>
  <c r="U514" i="3" l="1"/>
  <c r="Y513" i="3"/>
  <c r="T515" i="3"/>
  <c r="D515" i="3" l="1"/>
  <c r="G515" i="3" s="1"/>
  <c r="AG515" i="3"/>
  <c r="AH515" i="3"/>
  <c r="E515" i="3"/>
  <c r="H515" i="3" s="1"/>
  <c r="K515" i="3" l="1"/>
  <c r="AE515" i="3" s="1"/>
  <c r="I515" i="3"/>
  <c r="J515" i="3"/>
  <c r="AD515" i="3" s="1"/>
  <c r="M515" i="3"/>
  <c r="N515" i="3" s="1"/>
  <c r="F515" i="3"/>
  <c r="L515" i="3" l="1"/>
  <c r="V515" i="3"/>
  <c r="W515" i="3" s="1"/>
  <c r="A516" i="3"/>
  <c r="B516" i="3" s="1"/>
  <c r="U515" i="3" l="1"/>
  <c r="Y514" i="3"/>
  <c r="AA516" i="3"/>
  <c r="Z516" i="3"/>
  <c r="AC516" i="3"/>
  <c r="P516" i="3"/>
  <c r="Q516" i="3" s="1"/>
  <c r="R516" i="3" s="1"/>
  <c r="S516" i="3" s="1"/>
  <c r="T516" i="3" l="1"/>
  <c r="AG516" i="3" s="1"/>
  <c r="D516" i="3" l="1"/>
  <c r="AH516" i="3"/>
  <c r="E516" i="3"/>
  <c r="H516" i="3" s="1"/>
  <c r="F516" i="3" l="1"/>
  <c r="G516" i="3"/>
  <c r="K516" i="3"/>
  <c r="AE516" i="3" s="1"/>
  <c r="I516" i="3" l="1"/>
  <c r="J516" i="3"/>
  <c r="AD516" i="3" s="1"/>
  <c r="M516" i="3"/>
  <c r="N516" i="3" s="1"/>
  <c r="V516" i="3"/>
  <c r="A517" i="3"/>
  <c r="B517" i="3" s="1"/>
  <c r="W516" i="3" l="1"/>
  <c r="L516" i="3"/>
  <c r="AC517" i="3"/>
  <c r="P517" i="3"/>
  <c r="Q517" i="3" s="1"/>
  <c r="R517" i="3" s="1"/>
  <c r="S517" i="3" s="1"/>
  <c r="AA517" i="3"/>
  <c r="Z517" i="3"/>
  <c r="U516" i="3" l="1"/>
  <c r="Y515" i="3"/>
  <c r="T517" i="3"/>
  <c r="AG517" i="3" s="1"/>
  <c r="D517" i="3" l="1"/>
  <c r="G517" i="3" s="1"/>
  <c r="AH517" i="3"/>
  <c r="E517" i="3"/>
  <c r="H517" i="3" s="1"/>
  <c r="K517" i="3" s="1"/>
  <c r="AE517" i="3" s="1"/>
  <c r="F517" i="3" l="1"/>
  <c r="I517" i="3"/>
  <c r="J517" i="3"/>
  <c r="AD517" i="3" s="1"/>
  <c r="M517" i="3"/>
  <c r="N517" i="3" s="1"/>
  <c r="V517" i="3"/>
  <c r="A518" i="3"/>
  <c r="B518" i="3" s="1"/>
  <c r="W517" i="3" l="1"/>
  <c r="L517" i="3"/>
  <c r="AA518" i="3"/>
  <c r="AC518" i="3"/>
  <c r="Z518" i="3"/>
  <c r="P518" i="3"/>
  <c r="Q518" i="3" s="1"/>
  <c r="R518" i="3" s="1"/>
  <c r="S518" i="3" s="1"/>
  <c r="U517" i="3" l="1"/>
  <c r="Y516" i="3"/>
  <c r="T518" i="3"/>
  <c r="D518" i="3" l="1"/>
  <c r="G518" i="3" s="1"/>
  <c r="E518" i="3"/>
  <c r="H518" i="3" s="1"/>
  <c r="AH518" i="3"/>
  <c r="AG518" i="3"/>
  <c r="F518" i="3" l="1"/>
  <c r="I518" i="3"/>
  <c r="J518" i="3"/>
  <c r="AD518" i="3" s="1"/>
  <c r="M518" i="3"/>
  <c r="N518" i="3" s="1"/>
  <c r="K518" i="3"/>
  <c r="AE518" i="3" s="1"/>
  <c r="V518" i="3" l="1"/>
  <c r="W518" i="3" s="1"/>
  <c r="A519" i="3"/>
  <c r="B519" i="3" s="1"/>
  <c r="L518" i="3"/>
  <c r="U518" i="3" l="1"/>
  <c r="Y517" i="3"/>
  <c r="AA519" i="3"/>
  <c r="Z519" i="3"/>
  <c r="AC519" i="3"/>
  <c r="P519" i="3"/>
  <c r="Q519" i="3" s="1"/>
  <c r="R519" i="3" s="1"/>
  <c r="S519" i="3" s="1"/>
  <c r="T519" i="3" l="1"/>
  <c r="D519" i="3" s="1"/>
  <c r="AG519" i="3" l="1"/>
  <c r="G519" i="3"/>
  <c r="AH519" i="3"/>
  <c r="E519" i="3"/>
  <c r="H519" i="3" s="1"/>
  <c r="F519" i="3" l="1"/>
  <c r="I519" i="3"/>
  <c r="J519" i="3"/>
  <c r="AD519" i="3" s="1"/>
  <c r="M519" i="3"/>
  <c r="N519" i="3" s="1"/>
  <c r="K519" i="3"/>
  <c r="AE519" i="3" s="1"/>
  <c r="V519" i="3" l="1"/>
  <c r="W519" i="3" s="1"/>
  <c r="A520" i="3"/>
  <c r="B520" i="3" s="1"/>
  <c r="L519" i="3"/>
  <c r="U519" i="3" l="1"/>
  <c r="Y518" i="3"/>
  <c r="AA520" i="3"/>
  <c r="AC520" i="3"/>
  <c r="Z520" i="3"/>
  <c r="P520" i="3"/>
  <c r="Q520" i="3" s="1"/>
  <c r="R520" i="3" s="1"/>
  <c r="S520" i="3" s="1"/>
  <c r="T520" i="3" l="1"/>
  <c r="D520" i="3" s="1"/>
  <c r="AG520" i="3" l="1"/>
  <c r="E520" i="3"/>
  <c r="H520" i="3" s="1"/>
  <c r="K520" i="3" s="1"/>
  <c r="AE520" i="3" s="1"/>
  <c r="AH520" i="3"/>
  <c r="G520" i="3"/>
  <c r="F520" i="3" l="1"/>
  <c r="I520" i="3"/>
  <c r="J520" i="3"/>
  <c r="AD520" i="3" s="1"/>
  <c r="M520" i="3"/>
  <c r="N520" i="3" s="1"/>
  <c r="V520" i="3"/>
  <c r="A521" i="3"/>
  <c r="B521" i="3" s="1"/>
  <c r="W520" i="3" l="1"/>
  <c r="L520" i="3"/>
  <c r="P521" i="3"/>
  <c r="Q521" i="3" s="1"/>
  <c r="R521" i="3" s="1"/>
  <c r="S521" i="3" s="1"/>
  <c r="AC521" i="3"/>
  <c r="AA521" i="3"/>
  <c r="Z521" i="3"/>
  <c r="U520" i="3" l="1"/>
  <c r="Y519" i="3"/>
  <c r="T521" i="3"/>
  <c r="AH521" i="3" s="1"/>
  <c r="AG521" i="3" l="1"/>
  <c r="D521" i="3"/>
  <c r="E521" i="3"/>
  <c r="H521" i="3" s="1"/>
  <c r="K521" i="3" s="1"/>
  <c r="AE521" i="3" s="1"/>
  <c r="F521" i="3" l="1"/>
  <c r="G521" i="3"/>
  <c r="I521" i="3" s="1"/>
  <c r="V521" i="3"/>
  <c r="A522" i="3"/>
  <c r="B522" i="3" s="1"/>
  <c r="M521" i="3" l="1"/>
  <c r="N521" i="3" s="1"/>
  <c r="J521" i="3"/>
  <c r="W521" i="3"/>
  <c r="AC522" i="3"/>
  <c r="P522" i="3"/>
  <c r="Q522" i="3" s="1"/>
  <c r="R522" i="3" s="1"/>
  <c r="S522" i="3" s="1"/>
  <c r="AA522" i="3"/>
  <c r="Z522" i="3"/>
  <c r="L521" i="3" l="1"/>
  <c r="U521" i="3" s="1"/>
  <c r="AD521" i="3"/>
  <c r="T522" i="3"/>
  <c r="AG522" i="3" l="1"/>
  <c r="Y520" i="3"/>
  <c r="AH522" i="3"/>
  <c r="E522" i="3"/>
  <c r="H522" i="3" s="1"/>
  <c r="D522" i="3"/>
  <c r="K522" i="3" l="1"/>
  <c r="AE522" i="3" s="1"/>
  <c r="F522" i="3"/>
  <c r="G522" i="3"/>
  <c r="I522" i="3" l="1"/>
  <c r="J522" i="3"/>
  <c r="AD522" i="3" s="1"/>
  <c r="M522" i="3"/>
  <c r="N522" i="3" s="1"/>
  <c r="V522" i="3"/>
  <c r="A523" i="3"/>
  <c r="B523" i="3" s="1"/>
  <c r="W522" i="3" l="1"/>
  <c r="L522" i="3"/>
  <c r="AC523" i="3"/>
  <c r="Z523" i="3"/>
  <c r="AA523" i="3"/>
  <c r="P523" i="3"/>
  <c r="Q523" i="3" s="1"/>
  <c r="R523" i="3" s="1"/>
  <c r="S523" i="3" s="1"/>
  <c r="U522" i="3" l="1"/>
  <c r="Y521" i="3"/>
  <c r="T523" i="3"/>
  <c r="AG523" i="3" s="1"/>
  <c r="AH523" i="3" l="1"/>
  <c r="D523" i="3"/>
  <c r="G523" i="3" s="1"/>
  <c r="E523" i="3"/>
  <c r="H523" i="3" s="1"/>
  <c r="F523" i="3" l="1"/>
  <c r="I523" i="3"/>
  <c r="J523" i="3"/>
  <c r="AD523" i="3" s="1"/>
  <c r="M523" i="3"/>
  <c r="N523" i="3" s="1"/>
  <c r="K523" i="3"/>
  <c r="AE523" i="3" s="1"/>
  <c r="V523" i="3" l="1"/>
  <c r="W523" i="3" s="1"/>
  <c r="A524" i="3"/>
  <c r="B524" i="3" s="1"/>
  <c r="L523" i="3"/>
  <c r="U523" i="3" l="1"/>
  <c r="Y522" i="3"/>
  <c r="Z524" i="3"/>
  <c r="P524" i="3"/>
  <c r="Q524" i="3" s="1"/>
  <c r="R524" i="3" s="1"/>
  <c r="S524" i="3" s="1"/>
  <c r="AC524" i="3"/>
  <c r="AA524" i="3"/>
  <c r="T524" i="3" l="1"/>
  <c r="E524" i="3" s="1"/>
  <c r="H524" i="3" s="1"/>
  <c r="D524" i="3" l="1"/>
  <c r="G524" i="3" s="1"/>
  <c r="K524" i="3"/>
  <c r="AE524" i="3" s="1"/>
  <c r="AH524" i="3"/>
  <c r="AG524" i="3"/>
  <c r="F524" i="3" l="1"/>
  <c r="I524" i="3"/>
  <c r="J524" i="3"/>
  <c r="AD524" i="3" s="1"/>
  <c r="M524" i="3"/>
  <c r="N524" i="3" s="1"/>
  <c r="V524" i="3"/>
  <c r="A525" i="3"/>
  <c r="B525" i="3" s="1"/>
  <c r="W524" i="3" l="1"/>
  <c r="L524" i="3"/>
  <c r="AA525" i="3"/>
  <c r="AC525" i="3"/>
  <c r="AD525" i="3"/>
  <c r="Z525" i="3"/>
  <c r="P525" i="3"/>
  <c r="Q525" i="3" s="1"/>
  <c r="R525" i="3" s="1"/>
  <c r="S525" i="3" s="1"/>
  <c r="T525" i="3" l="1"/>
  <c r="AH525" i="3" s="1"/>
  <c r="U524" i="3"/>
  <c r="Y523" i="3"/>
  <c r="AG525" i="3" l="1"/>
  <c r="D525" i="3"/>
  <c r="E525" i="3"/>
  <c r="H525" i="3" s="1"/>
  <c r="F525" i="3" l="1"/>
  <c r="G525" i="3"/>
  <c r="K525" i="3"/>
  <c r="AE525" i="3" s="1"/>
  <c r="I525" i="3" l="1"/>
  <c r="J525" i="3"/>
  <c r="M525" i="3"/>
  <c r="N525" i="3" s="1"/>
  <c r="V525" i="3"/>
  <c r="A526" i="3"/>
  <c r="B526" i="3" s="1"/>
  <c r="L525" i="3" l="1"/>
  <c r="W525" i="3"/>
  <c r="AA526" i="3"/>
  <c r="P526" i="3"/>
  <c r="Q526" i="3" s="1"/>
  <c r="R526" i="3" s="1"/>
  <c r="S526" i="3" s="1"/>
  <c r="Z526" i="3"/>
  <c r="AD526" i="3"/>
  <c r="AC526" i="3"/>
  <c r="T526" i="3" l="1"/>
  <c r="U525" i="3"/>
  <c r="Y524" i="3"/>
  <c r="D526" i="3" l="1"/>
  <c r="G526" i="3" s="1"/>
  <c r="AH526" i="3"/>
  <c r="E526" i="3"/>
  <c r="H526" i="3" s="1"/>
  <c r="K526" i="3" s="1"/>
  <c r="AE526" i="3" s="1"/>
  <c r="AG526" i="3"/>
  <c r="F526" i="3" l="1"/>
  <c r="V526" i="3"/>
  <c r="A527" i="3"/>
  <c r="B527" i="3" s="1"/>
  <c r="I526" i="3"/>
  <c r="J526" i="3"/>
  <c r="M526" i="3"/>
  <c r="N526" i="3" s="1"/>
  <c r="W526" i="3" l="1"/>
  <c r="L526" i="3"/>
  <c r="Z527" i="3"/>
  <c r="AC527" i="3"/>
  <c r="P527" i="3"/>
  <c r="Q527" i="3" s="1"/>
  <c r="R527" i="3" s="1"/>
  <c r="S527" i="3" s="1"/>
  <c r="AA527" i="3"/>
  <c r="U526" i="3" l="1"/>
  <c r="Y525" i="3"/>
  <c r="T527" i="3"/>
  <c r="D527" i="3" l="1"/>
  <c r="G527" i="3" s="1"/>
  <c r="E527" i="3"/>
  <c r="H527" i="3" s="1"/>
  <c r="AG527" i="3"/>
  <c r="AH527" i="3"/>
  <c r="F527" i="3" l="1"/>
  <c r="I527" i="3"/>
  <c r="J527" i="3"/>
  <c r="AD527" i="3" s="1"/>
  <c r="M527" i="3"/>
  <c r="N527" i="3" s="1"/>
  <c r="K527" i="3"/>
  <c r="AE527" i="3" s="1"/>
  <c r="V527" i="3" l="1"/>
  <c r="W527" i="3" s="1"/>
  <c r="A528" i="3"/>
  <c r="B528" i="3" s="1"/>
  <c r="L527" i="3"/>
  <c r="U527" i="3" l="1"/>
  <c r="Y526" i="3"/>
  <c r="Z528" i="3"/>
  <c r="P528" i="3"/>
  <c r="Q528" i="3" s="1"/>
  <c r="R528" i="3" s="1"/>
  <c r="S528" i="3" s="1"/>
  <c r="AC528" i="3"/>
  <c r="AA528" i="3"/>
  <c r="T528" i="3" l="1"/>
  <c r="AH528" i="3" s="1"/>
  <c r="D528" i="3" l="1"/>
  <c r="E528" i="3"/>
  <c r="H528" i="3" s="1"/>
  <c r="K528" i="3" s="1"/>
  <c r="AE528" i="3" s="1"/>
  <c r="AG528" i="3"/>
  <c r="F528" i="3" l="1"/>
  <c r="G528" i="3"/>
  <c r="M528" i="3" s="1"/>
  <c r="N528" i="3" s="1"/>
  <c r="V528" i="3"/>
  <c r="A529" i="3"/>
  <c r="B529" i="3" s="1"/>
  <c r="I528" i="3" l="1"/>
  <c r="W528" i="3" s="1"/>
  <c r="J528" i="3"/>
  <c r="Z529" i="3"/>
  <c r="AC529" i="3"/>
  <c r="AD529" i="3"/>
  <c r="P529" i="3"/>
  <c r="Q529" i="3" s="1"/>
  <c r="R529" i="3" s="1"/>
  <c r="S529" i="3" s="1"/>
  <c r="AA529" i="3"/>
  <c r="L528" i="3" l="1"/>
  <c r="Y527" i="3" s="1"/>
  <c r="AD528" i="3"/>
  <c r="T529" i="3"/>
  <c r="AG529" i="3" l="1"/>
  <c r="U528" i="3"/>
  <c r="D529" i="3" s="1"/>
  <c r="G529" i="3" s="1"/>
  <c r="AH529" i="3"/>
  <c r="E529" i="3" l="1"/>
  <c r="H529" i="3" s="1"/>
  <c r="K529" i="3" s="1"/>
  <c r="AE529" i="3" s="1"/>
  <c r="J529" i="3"/>
  <c r="A530" i="3" l="1"/>
  <c r="B530" i="3" s="1"/>
  <c r="P530" i="3" s="1"/>
  <c r="Q530" i="3" s="1"/>
  <c r="R530" i="3" s="1"/>
  <c r="S530" i="3" s="1"/>
  <c r="V529" i="3"/>
  <c r="M529" i="3"/>
  <c r="N529" i="3" s="1"/>
  <c r="I529" i="3"/>
  <c r="F529" i="3"/>
  <c r="L529" i="3"/>
  <c r="AC530" i="3" l="1"/>
  <c r="AD530" i="3"/>
  <c r="Z530" i="3"/>
  <c r="AA530" i="3"/>
  <c r="W529" i="3"/>
  <c r="T530" i="3"/>
  <c r="U529" i="3"/>
  <c r="Y528" i="3"/>
  <c r="AG530" i="3" l="1"/>
  <c r="D530" i="3"/>
  <c r="G530" i="3" s="1"/>
  <c r="AH530" i="3"/>
  <c r="E530" i="3"/>
  <c r="H530" i="3" s="1"/>
  <c r="F530" i="3" l="1"/>
  <c r="I530" i="3"/>
  <c r="J530" i="3"/>
  <c r="M530" i="3"/>
  <c r="N530" i="3" s="1"/>
  <c r="K530" i="3"/>
  <c r="AE530" i="3" s="1"/>
  <c r="V530" i="3" l="1"/>
  <c r="W530" i="3" s="1"/>
  <c r="A531" i="3"/>
  <c r="B531" i="3" s="1"/>
  <c r="L530" i="3"/>
  <c r="U530" i="3" l="1"/>
  <c r="Y529" i="3"/>
  <c r="Z531" i="3"/>
  <c r="AD531" i="3"/>
  <c r="AC531" i="3"/>
  <c r="AA531" i="3"/>
  <c r="P531" i="3"/>
  <c r="Q531" i="3" s="1"/>
  <c r="R531" i="3" s="1"/>
  <c r="S531" i="3" s="1"/>
  <c r="T531" i="3" l="1"/>
  <c r="AG531" i="3" s="1"/>
  <c r="AH531" i="3" l="1"/>
  <c r="D531" i="3"/>
  <c r="E531" i="3"/>
  <c r="H531" i="3" s="1"/>
  <c r="K531" i="3" l="1"/>
  <c r="AE531" i="3" s="1"/>
  <c r="F531" i="3"/>
  <c r="G531" i="3"/>
  <c r="I531" i="3" l="1"/>
  <c r="J531" i="3"/>
  <c r="M531" i="3"/>
  <c r="N531" i="3" s="1"/>
  <c r="V531" i="3"/>
  <c r="A532" i="3"/>
  <c r="B532" i="3" s="1"/>
  <c r="W531" i="3" l="1"/>
  <c r="L531" i="3"/>
  <c r="AD532" i="3"/>
  <c r="AC532" i="3"/>
  <c r="Z532" i="3"/>
  <c r="P532" i="3"/>
  <c r="Q532" i="3" s="1"/>
  <c r="R532" i="3" s="1"/>
  <c r="S532" i="3" s="1"/>
  <c r="AA532" i="3"/>
  <c r="U531" i="3" l="1"/>
  <c r="Y530" i="3"/>
  <c r="T532" i="3"/>
  <c r="AH532" i="3" s="1"/>
  <c r="D532" i="3" l="1"/>
  <c r="G532" i="3" s="1"/>
  <c r="AG532" i="3"/>
  <c r="E532" i="3"/>
  <c r="H532" i="3" s="1"/>
  <c r="K532" i="3" s="1"/>
  <c r="AE532" i="3" s="1"/>
  <c r="F532" i="3" l="1"/>
  <c r="V532" i="3"/>
  <c r="A533" i="3"/>
  <c r="B533" i="3" s="1"/>
  <c r="I532" i="3"/>
  <c r="J532" i="3"/>
  <c r="M532" i="3"/>
  <c r="N532" i="3" s="1"/>
  <c r="W532" i="3" l="1"/>
  <c r="L532" i="3"/>
  <c r="P533" i="3"/>
  <c r="Q533" i="3" s="1"/>
  <c r="R533" i="3" s="1"/>
  <c r="S533" i="3" s="1"/>
  <c r="AD533" i="3"/>
  <c r="AA533" i="3"/>
  <c r="Z533" i="3"/>
  <c r="AC533" i="3"/>
  <c r="T533" i="3" l="1"/>
  <c r="U532" i="3"/>
  <c r="Y531" i="3"/>
  <c r="E533" i="3" l="1"/>
  <c r="H533" i="3" s="1"/>
  <c r="K533" i="3" s="1"/>
  <c r="AE533" i="3" s="1"/>
  <c r="AH533" i="3"/>
  <c r="AG533" i="3"/>
  <c r="D533" i="3"/>
  <c r="F533" i="3" l="1"/>
  <c r="G533" i="3"/>
  <c r="V533" i="3"/>
  <c r="A534" i="3"/>
  <c r="B534" i="3" s="1"/>
  <c r="Z534" i="3" l="1"/>
  <c r="AC534" i="3"/>
  <c r="AA534" i="3"/>
  <c r="P534" i="3"/>
  <c r="Q534" i="3" s="1"/>
  <c r="R534" i="3" s="1"/>
  <c r="S534" i="3" s="1"/>
  <c r="I533" i="3"/>
  <c r="W533" i="3" s="1"/>
  <c r="J533" i="3"/>
  <c r="M533" i="3"/>
  <c r="N533" i="3" s="1"/>
  <c r="L533" i="3" l="1"/>
  <c r="T534" i="3"/>
  <c r="U533" i="3" l="1"/>
  <c r="D534" i="3" s="1"/>
  <c r="AG534" i="3"/>
  <c r="AH534" i="3"/>
  <c r="Y532" i="3"/>
  <c r="E534" i="3" l="1"/>
  <c r="H534" i="3" s="1"/>
  <c r="K534" i="3" s="1"/>
  <c r="AE534" i="3" s="1"/>
  <c r="G534" i="3"/>
  <c r="F534" i="3" l="1"/>
  <c r="V534" i="3"/>
  <c r="A535" i="3"/>
  <c r="B535" i="3" s="1"/>
  <c r="I534" i="3"/>
  <c r="J534" i="3"/>
  <c r="AD534" i="3" s="1"/>
  <c r="M534" i="3"/>
  <c r="N534" i="3" s="1"/>
  <c r="W534" i="3" l="1"/>
  <c r="L534" i="3"/>
  <c r="AA535" i="3"/>
  <c r="AC535" i="3"/>
  <c r="AD535" i="3"/>
  <c r="Z535" i="3"/>
  <c r="P535" i="3"/>
  <c r="Q535" i="3" s="1"/>
  <c r="R535" i="3" s="1"/>
  <c r="S535" i="3" s="1"/>
  <c r="T535" i="3" l="1"/>
  <c r="U534" i="3"/>
  <c r="Y533" i="3"/>
  <c r="D535" i="3" l="1"/>
  <c r="G535" i="3" s="1"/>
  <c r="E535" i="3"/>
  <c r="H535" i="3" s="1"/>
  <c r="K535" i="3" s="1"/>
  <c r="AE535" i="3" s="1"/>
  <c r="AG535" i="3"/>
  <c r="AH535" i="3"/>
  <c r="F535" i="3" l="1"/>
  <c r="V535" i="3"/>
  <c r="A536" i="3"/>
  <c r="B536" i="3" s="1"/>
  <c r="I535" i="3"/>
  <c r="J535" i="3"/>
  <c r="M535" i="3"/>
  <c r="N535" i="3" s="1"/>
  <c r="W535" i="3" l="1"/>
  <c r="L535" i="3"/>
  <c r="AC536" i="3"/>
  <c r="AA536" i="3"/>
  <c r="Z536" i="3"/>
  <c r="P536" i="3"/>
  <c r="Q536" i="3" s="1"/>
  <c r="R536" i="3" s="1"/>
  <c r="S536" i="3" s="1"/>
  <c r="AD536" i="3"/>
  <c r="U535" i="3" l="1"/>
  <c r="Y534" i="3"/>
  <c r="T536" i="3"/>
  <c r="AH536" i="3" s="1"/>
  <c r="AG536" i="3" l="1"/>
  <c r="E536" i="3"/>
  <c r="H536" i="3" s="1"/>
  <c r="D536" i="3"/>
  <c r="K536" i="3" l="1"/>
  <c r="AE536" i="3" s="1"/>
  <c r="F536" i="3"/>
  <c r="G536" i="3"/>
  <c r="I536" i="3" l="1"/>
  <c r="J536" i="3"/>
  <c r="M536" i="3"/>
  <c r="N536" i="3" s="1"/>
  <c r="V536" i="3"/>
  <c r="A537" i="3"/>
  <c r="B537" i="3" s="1"/>
  <c r="W536" i="3" l="1"/>
  <c r="L536" i="3"/>
  <c r="AC537" i="3"/>
  <c r="P537" i="3"/>
  <c r="Q537" i="3" s="1"/>
  <c r="R537" i="3" s="1"/>
  <c r="S537" i="3" s="1"/>
  <c r="Z537" i="3"/>
  <c r="AA537" i="3"/>
  <c r="U536" i="3" l="1"/>
  <c r="Y535" i="3"/>
  <c r="T537" i="3"/>
  <c r="AH537" i="3" s="1"/>
  <c r="AG537" i="3" l="1"/>
  <c r="E537" i="3"/>
  <c r="H537" i="3" s="1"/>
  <c r="D537" i="3"/>
  <c r="K537" i="3" l="1"/>
  <c r="AE537" i="3" s="1"/>
  <c r="F537" i="3"/>
  <c r="G537" i="3"/>
  <c r="I537" i="3" l="1"/>
  <c r="J537" i="3"/>
  <c r="AD537" i="3" s="1"/>
  <c r="M537" i="3"/>
  <c r="N537" i="3" s="1"/>
  <c r="V537" i="3"/>
  <c r="A538" i="3"/>
  <c r="B538" i="3" s="1"/>
  <c r="W537" i="3" l="1"/>
  <c r="L537" i="3"/>
  <c r="AA538" i="3"/>
  <c r="AC538" i="3"/>
  <c r="Z538" i="3"/>
  <c r="P538" i="3"/>
  <c r="Q538" i="3" s="1"/>
  <c r="R538" i="3" s="1"/>
  <c r="S538" i="3" s="1"/>
  <c r="T538" i="3" l="1"/>
  <c r="U537" i="3"/>
  <c r="Y536" i="3"/>
  <c r="D538" i="3" l="1"/>
  <c r="G538" i="3" s="1"/>
  <c r="AH538" i="3"/>
  <c r="AG538" i="3"/>
  <c r="E538" i="3"/>
  <c r="H538" i="3" s="1"/>
  <c r="F538" i="3" l="1"/>
  <c r="I538" i="3"/>
  <c r="J538" i="3"/>
  <c r="AD538" i="3" s="1"/>
  <c r="M538" i="3"/>
  <c r="N538" i="3" s="1"/>
  <c r="K538" i="3"/>
  <c r="AE538" i="3" s="1"/>
  <c r="V538" i="3" l="1"/>
  <c r="W538" i="3" s="1"/>
  <c r="A539" i="3"/>
  <c r="B539" i="3" s="1"/>
  <c r="L538" i="3"/>
  <c r="U538" i="3" l="1"/>
  <c r="Y537" i="3"/>
  <c r="Z539" i="3"/>
  <c r="P539" i="3"/>
  <c r="Q539" i="3" s="1"/>
  <c r="R539" i="3" s="1"/>
  <c r="S539" i="3" s="1"/>
  <c r="AD539" i="3"/>
  <c r="AA539" i="3"/>
  <c r="AC539" i="3"/>
  <c r="T539" i="3" l="1"/>
  <c r="AH539" i="3" s="1"/>
  <c r="AG539" i="3" l="1"/>
  <c r="E539" i="3"/>
  <c r="H539" i="3" s="1"/>
  <c r="K539" i="3" s="1"/>
  <c r="AE539" i="3" s="1"/>
  <c r="D539" i="3"/>
  <c r="G539" i="3" s="1"/>
  <c r="F539" i="3" l="1"/>
  <c r="V539" i="3"/>
  <c r="A540" i="3"/>
  <c r="B540" i="3" s="1"/>
  <c r="I539" i="3"/>
  <c r="J539" i="3"/>
  <c r="M539" i="3"/>
  <c r="N539" i="3" s="1"/>
  <c r="W539" i="3" l="1"/>
  <c r="L539" i="3"/>
  <c r="AA540" i="3"/>
  <c r="AC540" i="3"/>
  <c r="Z540" i="3"/>
  <c r="AD540" i="3"/>
  <c r="P540" i="3"/>
  <c r="Q540" i="3" s="1"/>
  <c r="R540" i="3" s="1"/>
  <c r="S540" i="3" s="1"/>
  <c r="U539" i="3" l="1"/>
  <c r="Y538" i="3"/>
  <c r="T540" i="3"/>
  <c r="AG540" i="3" s="1"/>
  <c r="E540" i="3" l="1"/>
  <c r="H540" i="3" s="1"/>
  <c r="D540" i="3"/>
  <c r="AH540" i="3"/>
  <c r="K540" i="3" l="1"/>
  <c r="AE540" i="3" s="1"/>
  <c r="F540" i="3"/>
  <c r="G540" i="3"/>
  <c r="V540" i="3" l="1"/>
  <c r="A541" i="3"/>
  <c r="B541" i="3" s="1"/>
  <c r="I540" i="3"/>
  <c r="J540" i="3"/>
  <c r="M540" i="3"/>
  <c r="N540" i="3" s="1"/>
  <c r="W540" i="3" l="1"/>
  <c r="L540" i="3"/>
  <c r="P541" i="3"/>
  <c r="Q541" i="3" s="1"/>
  <c r="R541" i="3" s="1"/>
  <c r="S541" i="3" s="1"/>
  <c r="AA541" i="3"/>
  <c r="AD541" i="3"/>
  <c r="Z541" i="3"/>
  <c r="AC541" i="3"/>
  <c r="U540" i="3" l="1"/>
  <c r="Y539" i="3"/>
  <c r="T541" i="3"/>
  <c r="AG541" i="3" s="1"/>
  <c r="AH541" i="3" l="1"/>
  <c r="E541" i="3"/>
  <c r="H541" i="3" s="1"/>
  <c r="D541" i="3"/>
  <c r="K541" i="3" l="1"/>
  <c r="AE541" i="3" s="1"/>
  <c r="F541" i="3"/>
  <c r="G541" i="3"/>
  <c r="I541" i="3" l="1"/>
  <c r="J541" i="3"/>
  <c r="M541" i="3"/>
  <c r="N541" i="3" s="1"/>
  <c r="V541" i="3"/>
  <c r="A542" i="3"/>
  <c r="B542" i="3" s="1"/>
  <c r="W541" i="3" l="1"/>
  <c r="L541" i="3"/>
  <c r="AC542" i="3"/>
  <c r="P542" i="3"/>
  <c r="Q542" i="3" s="1"/>
  <c r="R542" i="3" s="1"/>
  <c r="S542" i="3" s="1"/>
  <c r="AA542" i="3"/>
  <c r="Z542" i="3"/>
  <c r="AD542" i="3"/>
  <c r="T542" i="3" l="1"/>
  <c r="AH542" i="3" s="1"/>
  <c r="U541" i="3"/>
  <c r="Y540" i="3"/>
  <c r="E542" i="3" l="1"/>
  <c r="H542" i="3" s="1"/>
  <c r="K542" i="3" s="1"/>
  <c r="AE542" i="3" s="1"/>
  <c r="AG542" i="3"/>
  <c r="D542" i="3"/>
  <c r="F542" i="3" l="1"/>
  <c r="G542" i="3"/>
  <c r="V542" i="3"/>
  <c r="A543" i="3"/>
  <c r="B543" i="3" s="1"/>
  <c r="P543" i="3" l="1"/>
  <c r="Q543" i="3" s="1"/>
  <c r="R543" i="3" s="1"/>
  <c r="S543" i="3" s="1"/>
  <c r="AD543" i="3"/>
  <c r="Z543" i="3"/>
  <c r="AA543" i="3"/>
  <c r="AC543" i="3"/>
  <c r="I542" i="3"/>
  <c r="W542" i="3" s="1"/>
  <c r="J542" i="3"/>
  <c r="M542" i="3"/>
  <c r="N542" i="3" s="1"/>
  <c r="T543" i="3" l="1"/>
  <c r="L542" i="3"/>
  <c r="AH543" i="3" l="1"/>
  <c r="U542" i="3"/>
  <c r="E543" i="3" s="1"/>
  <c r="H543" i="3" s="1"/>
  <c r="AG543" i="3"/>
  <c r="Y541" i="3"/>
  <c r="D543" i="3" l="1"/>
  <c r="G543" i="3" s="1"/>
  <c r="K543" i="3"/>
  <c r="AE543" i="3" s="1"/>
  <c r="F543" i="3" l="1"/>
  <c r="I543" i="3"/>
  <c r="J543" i="3"/>
  <c r="M543" i="3"/>
  <c r="N543" i="3" s="1"/>
  <c r="V543" i="3"/>
  <c r="A544" i="3"/>
  <c r="B544" i="3" s="1"/>
  <c r="W543" i="3" l="1"/>
  <c r="L543" i="3"/>
  <c r="P544" i="3"/>
  <c r="Q544" i="3" s="1"/>
  <c r="R544" i="3" s="1"/>
  <c r="S544" i="3" s="1"/>
  <c r="Z544" i="3"/>
  <c r="AC544" i="3"/>
  <c r="AA544" i="3"/>
  <c r="U543" i="3" l="1"/>
  <c r="Y542" i="3"/>
  <c r="T544" i="3"/>
  <c r="AG544" i="3" s="1"/>
  <c r="E544" i="3" l="1"/>
  <c r="H544" i="3" s="1"/>
  <c r="D544" i="3"/>
  <c r="AH544" i="3"/>
  <c r="K544" i="3" l="1"/>
  <c r="AE544" i="3" s="1"/>
  <c r="F544" i="3"/>
  <c r="G544" i="3"/>
  <c r="I544" i="3" l="1"/>
  <c r="J544" i="3"/>
  <c r="AD544" i="3" s="1"/>
  <c r="M544" i="3"/>
  <c r="N544" i="3" s="1"/>
  <c r="V544" i="3"/>
  <c r="A545" i="3"/>
  <c r="B545" i="3" s="1"/>
  <c r="W544" i="3" l="1"/>
  <c r="L544" i="3"/>
  <c r="Z545" i="3"/>
  <c r="AA545" i="3"/>
  <c r="AC545" i="3"/>
  <c r="P545" i="3"/>
  <c r="Q545" i="3" s="1"/>
  <c r="R545" i="3" s="1"/>
  <c r="S545" i="3" s="1"/>
  <c r="U544" i="3" l="1"/>
  <c r="Y543" i="3"/>
  <c r="T545" i="3"/>
  <c r="AH545" i="3" s="1"/>
  <c r="E545" i="3" l="1"/>
  <c r="H545" i="3" s="1"/>
  <c r="K545" i="3" s="1"/>
  <c r="AE545" i="3" s="1"/>
  <c r="D545" i="3"/>
  <c r="AG545" i="3"/>
  <c r="V545" i="3" l="1"/>
  <c r="A546" i="3"/>
  <c r="B546" i="3" s="1"/>
  <c r="F545" i="3"/>
  <c r="G545" i="3"/>
  <c r="I545" i="3" l="1"/>
  <c r="W545" i="3" s="1"/>
  <c r="J545" i="3"/>
  <c r="AD545" i="3" s="1"/>
  <c r="M545" i="3"/>
  <c r="N545" i="3" s="1"/>
  <c r="AC546" i="3"/>
  <c r="P546" i="3"/>
  <c r="Q546" i="3" s="1"/>
  <c r="R546" i="3" s="1"/>
  <c r="S546" i="3" s="1"/>
  <c r="Z546" i="3"/>
  <c r="AA546" i="3"/>
  <c r="T546" i="3" l="1"/>
  <c r="L545" i="3"/>
  <c r="U545" i="3" l="1"/>
  <c r="D546" i="3" s="1"/>
  <c r="AG546" i="3"/>
  <c r="AH546" i="3"/>
  <c r="Y544" i="3"/>
  <c r="E546" i="3" l="1"/>
  <c r="H546" i="3" s="1"/>
  <c r="K546" i="3" s="1"/>
  <c r="AE546" i="3" s="1"/>
  <c r="G546" i="3"/>
  <c r="F546" i="3" l="1"/>
  <c r="V546" i="3"/>
  <c r="A547" i="3"/>
  <c r="B547" i="3" s="1"/>
  <c r="I546" i="3"/>
  <c r="J546" i="3"/>
  <c r="AD546" i="3" s="1"/>
  <c r="M546" i="3"/>
  <c r="N546" i="3" s="1"/>
  <c r="W546" i="3" l="1"/>
  <c r="L546" i="3"/>
  <c r="AC547" i="3"/>
  <c r="P547" i="3"/>
  <c r="Q547" i="3" s="1"/>
  <c r="R547" i="3" s="1"/>
  <c r="S547" i="3" s="1"/>
  <c r="AA547" i="3"/>
  <c r="Z547" i="3"/>
  <c r="U546" i="3" l="1"/>
  <c r="Y545" i="3"/>
  <c r="T547" i="3"/>
  <c r="AG547" i="3" s="1"/>
  <c r="E547" i="3" l="1"/>
  <c r="H547" i="3" s="1"/>
  <c r="K547" i="3" s="1"/>
  <c r="AE547" i="3" s="1"/>
  <c r="D547" i="3"/>
  <c r="G547" i="3" s="1"/>
  <c r="AH547" i="3"/>
  <c r="F547" i="3" l="1"/>
  <c r="I547" i="3"/>
  <c r="J547" i="3"/>
  <c r="AD547" i="3" s="1"/>
  <c r="M547" i="3"/>
  <c r="N547" i="3" s="1"/>
  <c r="V547" i="3"/>
  <c r="A548" i="3"/>
  <c r="B548" i="3" s="1"/>
  <c r="W547" i="3" l="1"/>
  <c r="L547" i="3"/>
  <c r="Z548" i="3"/>
  <c r="AA548" i="3"/>
  <c r="P548" i="3"/>
  <c r="Q548" i="3" s="1"/>
  <c r="R548" i="3" s="1"/>
  <c r="S548" i="3" s="1"/>
  <c r="AC548" i="3"/>
  <c r="U547" i="3" l="1"/>
  <c r="Y546" i="3"/>
  <c r="T548" i="3"/>
  <c r="E548" i="3" l="1"/>
  <c r="H548" i="3" s="1"/>
  <c r="K548" i="3" s="1"/>
  <c r="AE548" i="3" s="1"/>
  <c r="D548" i="3"/>
  <c r="AG548" i="3"/>
  <c r="AH548" i="3"/>
  <c r="V548" i="3" l="1"/>
  <c r="A549" i="3"/>
  <c r="B549" i="3" s="1"/>
  <c r="F548" i="3"/>
  <c r="G548" i="3"/>
  <c r="I548" i="3" l="1"/>
  <c r="W548" i="3" s="1"/>
  <c r="J548" i="3"/>
  <c r="AD548" i="3" s="1"/>
  <c r="M548" i="3"/>
  <c r="N548" i="3" s="1"/>
  <c r="P549" i="3"/>
  <c r="Q549" i="3" s="1"/>
  <c r="R549" i="3" s="1"/>
  <c r="S549" i="3" s="1"/>
  <c r="AC549" i="3"/>
  <c r="AA549" i="3"/>
  <c r="Z549" i="3"/>
  <c r="T549" i="3" l="1"/>
  <c r="L548" i="3"/>
  <c r="AH549" i="3" l="1"/>
  <c r="U548" i="3"/>
  <c r="E549" i="3" s="1"/>
  <c r="H549" i="3" s="1"/>
  <c r="AG549" i="3"/>
  <c r="Y547" i="3"/>
  <c r="K549" i="3" l="1"/>
  <c r="AE549" i="3" s="1"/>
  <c r="D549" i="3"/>
  <c r="V549" i="3" l="1"/>
  <c r="A550" i="3"/>
  <c r="B550" i="3" s="1"/>
  <c r="F549" i="3"/>
  <c r="G549" i="3"/>
  <c r="I549" i="3" l="1"/>
  <c r="W549" i="3" s="1"/>
  <c r="J549" i="3"/>
  <c r="AD549" i="3" s="1"/>
  <c r="M549" i="3"/>
  <c r="N549" i="3" s="1"/>
  <c r="P550" i="3"/>
  <c r="Q550" i="3" s="1"/>
  <c r="R550" i="3" s="1"/>
  <c r="S550" i="3" s="1"/>
  <c r="AA550" i="3"/>
  <c r="AC550" i="3"/>
  <c r="Z550" i="3"/>
  <c r="T550" i="3" l="1"/>
  <c r="L549" i="3"/>
  <c r="U549" i="3" l="1"/>
  <c r="D550" i="3" s="1"/>
  <c r="AH550" i="3"/>
  <c r="AG550" i="3"/>
  <c r="Y548" i="3"/>
  <c r="E550" i="3" l="1"/>
  <c r="H550" i="3" s="1"/>
  <c r="K550" i="3" s="1"/>
  <c r="AE550" i="3" s="1"/>
  <c r="G550" i="3"/>
  <c r="F550" i="3" l="1"/>
  <c r="I550" i="3"/>
  <c r="J550" i="3"/>
  <c r="AD550" i="3" s="1"/>
  <c r="M550" i="3"/>
  <c r="N550" i="3" s="1"/>
  <c r="V550" i="3"/>
  <c r="A551" i="3"/>
  <c r="B551" i="3" s="1"/>
  <c r="W550" i="3" l="1"/>
  <c r="L550" i="3"/>
  <c r="P551" i="3"/>
  <c r="Q551" i="3" s="1"/>
  <c r="R551" i="3" s="1"/>
  <c r="S551" i="3" s="1"/>
  <c r="AC551" i="3"/>
  <c r="AA551" i="3"/>
  <c r="Z551" i="3"/>
  <c r="T551" i="3" l="1"/>
  <c r="AG551" i="3" s="1"/>
  <c r="U550" i="3"/>
  <c r="Y549" i="3"/>
  <c r="D551" i="3" l="1"/>
  <c r="G551" i="3" s="1"/>
  <c r="AH551" i="3"/>
  <c r="E551" i="3"/>
  <c r="H551" i="3" s="1"/>
  <c r="F551" i="3" l="1"/>
  <c r="I551" i="3"/>
  <c r="J551" i="3"/>
  <c r="AD551" i="3" s="1"/>
  <c r="M551" i="3"/>
  <c r="N551" i="3" s="1"/>
  <c r="K551" i="3"/>
  <c r="AE551" i="3" s="1"/>
  <c r="V551" i="3" l="1"/>
  <c r="W551" i="3" s="1"/>
  <c r="A552" i="3"/>
  <c r="B552" i="3" s="1"/>
  <c r="L551" i="3"/>
  <c r="U551" i="3" l="1"/>
  <c r="Y550" i="3"/>
  <c r="AA552" i="3"/>
  <c r="P552" i="3"/>
  <c r="Q552" i="3" s="1"/>
  <c r="R552" i="3" s="1"/>
  <c r="S552" i="3" s="1"/>
  <c r="AC552" i="3"/>
  <c r="Z552" i="3"/>
  <c r="T552" i="3" l="1"/>
  <c r="D552" i="3" s="1"/>
  <c r="AG552" i="3" l="1"/>
  <c r="AH552" i="3"/>
  <c r="E552" i="3"/>
  <c r="H552" i="3" s="1"/>
  <c r="K552" i="3" s="1"/>
  <c r="AE552" i="3" s="1"/>
  <c r="G552" i="3"/>
  <c r="F552" i="3" l="1"/>
  <c r="I552" i="3"/>
  <c r="J552" i="3"/>
  <c r="AD552" i="3" s="1"/>
  <c r="M552" i="3"/>
  <c r="N552" i="3" s="1"/>
  <c r="V552" i="3"/>
  <c r="A553" i="3"/>
  <c r="B553" i="3" s="1"/>
  <c r="W552" i="3" l="1"/>
  <c r="L552" i="3"/>
  <c r="P553" i="3"/>
  <c r="Q553" i="3" s="1"/>
  <c r="R553" i="3" s="1"/>
  <c r="S553" i="3" s="1"/>
  <c r="Z553" i="3"/>
  <c r="AC553" i="3"/>
  <c r="AA553" i="3"/>
  <c r="T553" i="3" l="1"/>
  <c r="U552" i="3"/>
  <c r="Y551" i="3"/>
  <c r="D553" i="3" l="1"/>
  <c r="G553" i="3" s="1"/>
  <c r="AH553" i="3"/>
  <c r="AG553" i="3"/>
  <c r="E553" i="3"/>
  <c r="H553" i="3" s="1"/>
  <c r="K553" i="3" l="1"/>
  <c r="AE553" i="3" s="1"/>
  <c r="F553" i="3"/>
  <c r="I553" i="3"/>
  <c r="J553" i="3"/>
  <c r="AD553" i="3" s="1"/>
  <c r="M553" i="3"/>
  <c r="N553" i="3" s="1"/>
  <c r="V553" i="3" l="1"/>
  <c r="W553" i="3" s="1"/>
  <c r="A554" i="3"/>
  <c r="B554" i="3" s="1"/>
  <c r="L553" i="3"/>
  <c r="U553" i="3" l="1"/>
  <c r="Y552" i="3"/>
  <c r="AA554" i="3"/>
  <c r="AC554" i="3"/>
  <c r="P554" i="3"/>
  <c r="Q554" i="3" s="1"/>
  <c r="R554" i="3" s="1"/>
  <c r="S554" i="3" s="1"/>
  <c r="Z554" i="3"/>
  <c r="T554" i="3" l="1"/>
  <c r="AH554" i="3" s="1"/>
  <c r="E554" i="3" l="1"/>
  <c r="H554" i="3" s="1"/>
  <c r="K554" i="3" s="1"/>
  <c r="AE554" i="3" s="1"/>
  <c r="AG554" i="3"/>
  <c r="D554" i="3"/>
  <c r="V554" i="3" l="1"/>
  <c r="A555" i="3"/>
  <c r="B555" i="3" s="1"/>
  <c r="F554" i="3"/>
  <c r="G554" i="3"/>
  <c r="I554" i="3" l="1"/>
  <c r="W554" i="3" s="1"/>
  <c r="J554" i="3"/>
  <c r="AD554" i="3" s="1"/>
  <c r="M554" i="3"/>
  <c r="N554" i="3" s="1"/>
  <c r="AA555" i="3"/>
  <c r="Z555" i="3"/>
  <c r="AC555" i="3"/>
  <c r="P555" i="3"/>
  <c r="Q555" i="3" s="1"/>
  <c r="R555" i="3" s="1"/>
  <c r="S555" i="3" s="1"/>
  <c r="L554" i="3" l="1"/>
  <c r="T555" i="3"/>
  <c r="U554" i="3" l="1"/>
  <c r="E555" i="3" s="1"/>
  <c r="H555" i="3" s="1"/>
  <c r="AG555" i="3"/>
  <c r="AH555" i="3"/>
  <c r="Y553" i="3"/>
  <c r="K555" i="3" l="1"/>
  <c r="AE555" i="3" s="1"/>
  <c r="D555" i="3"/>
  <c r="F555" i="3" l="1"/>
  <c r="G555" i="3"/>
  <c r="V555" i="3"/>
  <c r="A556" i="3"/>
  <c r="B556" i="3" s="1"/>
  <c r="P556" i="3" l="1"/>
  <c r="Q556" i="3" s="1"/>
  <c r="R556" i="3" s="1"/>
  <c r="S556" i="3" s="1"/>
  <c r="AA556" i="3"/>
  <c r="Z556" i="3"/>
  <c r="AC556" i="3"/>
  <c r="I555" i="3"/>
  <c r="W555" i="3" s="1"/>
  <c r="J555" i="3"/>
  <c r="AD555" i="3" s="1"/>
  <c r="M555" i="3"/>
  <c r="N555" i="3" s="1"/>
  <c r="T556" i="3" l="1"/>
  <c r="L555" i="3"/>
  <c r="AH556" i="3" l="1"/>
  <c r="U555" i="3"/>
  <c r="D556" i="3" s="1"/>
  <c r="AG556" i="3"/>
  <c r="Y554" i="3"/>
  <c r="E556" i="3" l="1"/>
  <c r="H556" i="3" s="1"/>
  <c r="K556" i="3" s="1"/>
  <c r="AE556" i="3" s="1"/>
  <c r="G556" i="3"/>
  <c r="F556" i="3" l="1"/>
  <c r="I556" i="3"/>
  <c r="J556" i="3"/>
  <c r="AD556" i="3" s="1"/>
  <c r="M556" i="3"/>
  <c r="N556" i="3" s="1"/>
  <c r="V556" i="3"/>
  <c r="A557" i="3"/>
  <c r="B557" i="3" s="1"/>
  <c r="W556" i="3" l="1"/>
  <c r="L556" i="3"/>
  <c r="P557" i="3"/>
  <c r="Q557" i="3" s="1"/>
  <c r="R557" i="3" s="1"/>
  <c r="S557" i="3" s="1"/>
  <c r="AA557" i="3"/>
  <c r="AC557" i="3"/>
  <c r="Z557" i="3"/>
  <c r="U556" i="3" l="1"/>
  <c r="Y555" i="3"/>
  <c r="T557" i="3"/>
  <c r="AH557" i="3" s="1"/>
  <c r="D557" i="3" l="1"/>
  <c r="G557" i="3" s="1"/>
  <c r="AG557" i="3"/>
  <c r="E557" i="3"/>
  <c r="H557" i="3" s="1"/>
  <c r="K557" i="3" s="1"/>
  <c r="AE557" i="3" s="1"/>
  <c r="F557" i="3" l="1"/>
  <c r="I557" i="3"/>
  <c r="J557" i="3"/>
  <c r="AD557" i="3" s="1"/>
  <c r="M557" i="3"/>
  <c r="N557" i="3" s="1"/>
  <c r="V557" i="3"/>
  <c r="A558" i="3"/>
  <c r="B558" i="3" s="1"/>
  <c r="W557" i="3" l="1"/>
  <c r="L557" i="3"/>
  <c r="AA558" i="3"/>
  <c r="P558" i="3"/>
  <c r="Q558" i="3" s="1"/>
  <c r="R558" i="3" s="1"/>
  <c r="S558" i="3" s="1"/>
  <c r="Z558" i="3"/>
  <c r="AC558" i="3"/>
  <c r="T558" i="3" l="1"/>
  <c r="AG558" i="3" s="1"/>
  <c r="U557" i="3"/>
  <c r="Y556" i="3"/>
  <c r="E558" i="3" l="1"/>
  <c r="H558" i="3" s="1"/>
  <c r="AH558" i="3"/>
  <c r="D558" i="3"/>
  <c r="F558" i="3" l="1"/>
  <c r="G558" i="3"/>
  <c r="K558" i="3"/>
  <c r="AE558" i="3" s="1"/>
  <c r="I558" i="3" l="1"/>
  <c r="J558" i="3"/>
  <c r="AD558" i="3" s="1"/>
  <c r="M558" i="3"/>
  <c r="N558" i="3" s="1"/>
  <c r="V558" i="3"/>
  <c r="A559" i="3"/>
  <c r="B559" i="3" s="1"/>
  <c r="W558" i="3" l="1"/>
  <c r="L558" i="3"/>
  <c r="AC559" i="3"/>
  <c r="P559" i="3"/>
  <c r="Q559" i="3" s="1"/>
  <c r="R559" i="3" s="1"/>
  <c r="S559" i="3" s="1"/>
  <c r="AA559" i="3"/>
  <c r="Z559" i="3"/>
  <c r="T559" i="3" l="1"/>
  <c r="U558" i="3"/>
  <c r="Y557" i="3"/>
  <c r="E559" i="3" l="1"/>
  <c r="H559" i="3" s="1"/>
  <c r="K559" i="3" s="1"/>
  <c r="AE559" i="3" s="1"/>
  <c r="AH559" i="3"/>
  <c r="AG559" i="3"/>
  <c r="D559" i="3"/>
  <c r="V559" i="3" l="1"/>
  <c r="A560" i="3"/>
  <c r="B560" i="3" s="1"/>
  <c r="F559" i="3"/>
  <c r="G559" i="3"/>
  <c r="I559" i="3" l="1"/>
  <c r="W559" i="3" s="1"/>
  <c r="J559" i="3"/>
  <c r="AD559" i="3" s="1"/>
  <c r="M559" i="3"/>
  <c r="N559" i="3" s="1"/>
  <c r="Z560" i="3"/>
  <c r="AC560" i="3"/>
  <c r="AA560" i="3"/>
  <c r="P560" i="3"/>
  <c r="Q560" i="3" s="1"/>
  <c r="R560" i="3" s="1"/>
  <c r="S560" i="3" s="1"/>
  <c r="T560" i="3" l="1"/>
  <c r="L559" i="3"/>
  <c r="AG560" i="3" l="1"/>
  <c r="U559" i="3"/>
  <c r="D560" i="3" s="1"/>
  <c r="AH560" i="3"/>
  <c r="Y558" i="3"/>
  <c r="E560" i="3" l="1"/>
  <c r="H560" i="3" s="1"/>
  <c r="K560" i="3" s="1"/>
  <c r="AE560" i="3" s="1"/>
  <c r="G560" i="3"/>
  <c r="F560" i="3" l="1"/>
  <c r="V560" i="3"/>
  <c r="A561" i="3"/>
  <c r="B561" i="3" s="1"/>
  <c r="I560" i="3"/>
  <c r="J560" i="3"/>
  <c r="AD560" i="3" s="1"/>
  <c r="M560" i="3"/>
  <c r="N560" i="3" s="1"/>
  <c r="W560" i="3" l="1"/>
  <c r="L560" i="3"/>
  <c r="AA561" i="3"/>
  <c r="P561" i="3"/>
  <c r="Q561" i="3" s="1"/>
  <c r="R561" i="3" s="1"/>
  <c r="S561" i="3" s="1"/>
  <c r="Z561" i="3"/>
  <c r="AC561" i="3"/>
  <c r="U560" i="3" l="1"/>
  <c r="Y559" i="3"/>
  <c r="T561" i="3"/>
  <c r="E561" i="3" l="1"/>
  <c r="H561" i="3" s="1"/>
  <c r="K561" i="3" s="1"/>
  <c r="AE561" i="3" s="1"/>
  <c r="D561" i="3"/>
  <c r="AH561" i="3"/>
  <c r="AG561" i="3"/>
  <c r="F561" i="3" l="1"/>
  <c r="G561" i="3"/>
  <c r="M561" i="3" s="1"/>
  <c r="N561" i="3" s="1"/>
  <c r="V561" i="3"/>
  <c r="A562" i="3"/>
  <c r="B562" i="3" s="1"/>
  <c r="I561" i="3" l="1"/>
  <c r="W561" i="3" s="1"/>
  <c r="J561" i="3"/>
  <c r="Z562" i="3"/>
  <c r="AA562" i="3"/>
  <c r="P562" i="3"/>
  <c r="Q562" i="3" s="1"/>
  <c r="R562" i="3" s="1"/>
  <c r="S562" i="3" s="1"/>
  <c r="AC562" i="3"/>
  <c r="L561" i="3" l="1"/>
  <c r="U561" i="3" s="1"/>
  <c r="AD561" i="3"/>
  <c r="T562" i="3"/>
  <c r="AH562" i="3" l="1"/>
  <c r="Y560" i="3"/>
  <c r="AG562" i="3"/>
  <c r="E562" i="3"/>
  <c r="H562" i="3" s="1"/>
  <c r="K562" i="3" s="1"/>
  <c r="AE562" i="3" s="1"/>
  <c r="D562" i="3"/>
  <c r="F562" i="3" l="1"/>
  <c r="G562" i="3"/>
  <c r="J562" i="3" s="1"/>
  <c r="AD562" i="3" s="1"/>
  <c r="V562" i="3"/>
  <c r="A563" i="3"/>
  <c r="B563" i="3" s="1"/>
  <c r="M562" i="3" l="1"/>
  <c r="N562" i="3" s="1"/>
  <c r="I562" i="3"/>
  <c r="W562" i="3" s="1"/>
  <c r="L562" i="3"/>
  <c r="Z563" i="3"/>
  <c r="P563" i="3"/>
  <c r="Q563" i="3" s="1"/>
  <c r="R563" i="3" s="1"/>
  <c r="S563" i="3" s="1"/>
  <c r="AC563" i="3"/>
  <c r="AA563" i="3"/>
  <c r="U562" i="3" l="1"/>
  <c r="Y561" i="3"/>
  <c r="T563" i="3"/>
  <c r="AH563" i="3" s="1"/>
  <c r="AG563" i="3" l="1"/>
  <c r="D563" i="3"/>
  <c r="E563" i="3"/>
  <c r="H563" i="3" s="1"/>
  <c r="K563" i="3" s="1"/>
  <c r="AE563" i="3" s="1"/>
  <c r="F563" i="3" l="1"/>
  <c r="G563" i="3"/>
  <c r="M563" i="3" s="1"/>
  <c r="N563" i="3" s="1"/>
  <c r="V563" i="3"/>
  <c r="A564" i="3"/>
  <c r="B564" i="3" s="1"/>
  <c r="I563" i="3" l="1"/>
  <c r="W563" i="3" s="1"/>
  <c r="J563" i="3"/>
  <c r="Z564" i="3"/>
  <c r="P564" i="3"/>
  <c r="Q564" i="3" s="1"/>
  <c r="R564" i="3" s="1"/>
  <c r="S564" i="3" s="1"/>
  <c r="AC564" i="3"/>
  <c r="AA564" i="3"/>
  <c r="L563" i="3" l="1"/>
  <c r="U563" i="3" s="1"/>
  <c r="AD563" i="3"/>
  <c r="T564" i="3"/>
  <c r="AH564" i="3" l="1"/>
  <c r="Y562" i="3"/>
  <c r="D564" i="3"/>
  <c r="E564" i="3"/>
  <c r="H564" i="3" s="1"/>
  <c r="AG564" i="3"/>
  <c r="K564" i="3" l="1"/>
  <c r="AE564" i="3" s="1"/>
  <c r="F564" i="3"/>
  <c r="G564" i="3"/>
  <c r="V564" i="3" l="1"/>
  <c r="A565" i="3"/>
  <c r="B565" i="3" s="1"/>
  <c r="I564" i="3"/>
  <c r="J564" i="3"/>
  <c r="AD564" i="3" s="1"/>
  <c r="M564" i="3"/>
  <c r="N564" i="3" s="1"/>
  <c r="W564" i="3" l="1"/>
  <c r="L564" i="3"/>
  <c r="Z565" i="3"/>
  <c r="AC565" i="3"/>
  <c r="P565" i="3"/>
  <c r="Q565" i="3" s="1"/>
  <c r="R565" i="3" s="1"/>
  <c r="S565" i="3" s="1"/>
  <c r="AA565" i="3"/>
  <c r="U564" i="3" l="1"/>
  <c r="Y563" i="3"/>
  <c r="T565" i="3"/>
  <c r="E565" i="3" l="1"/>
  <c r="H565" i="3" s="1"/>
  <c r="K565" i="3" s="1"/>
  <c r="AE565" i="3" s="1"/>
  <c r="D565" i="3"/>
  <c r="AG565" i="3"/>
  <c r="AH565" i="3"/>
  <c r="V565" i="3" l="1"/>
  <c r="A566" i="3"/>
  <c r="B566" i="3" s="1"/>
  <c r="F565" i="3"/>
  <c r="G565" i="3"/>
  <c r="I565" i="3" l="1"/>
  <c r="W565" i="3" s="1"/>
  <c r="J565" i="3"/>
  <c r="AD565" i="3" s="1"/>
  <c r="M565" i="3"/>
  <c r="N565" i="3" s="1"/>
  <c r="Z566" i="3"/>
  <c r="AA566" i="3"/>
  <c r="P566" i="3"/>
  <c r="Q566" i="3" s="1"/>
  <c r="R566" i="3" s="1"/>
  <c r="S566" i="3" s="1"/>
  <c r="AC566" i="3"/>
  <c r="L565" i="3" l="1"/>
  <c r="T566" i="3"/>
  <c r="AG566" i="3" l="1"/>
  <c r="AH566" i="3"/>
  <c r="U565" i="3"/>
  <c r="D566" i="3" s="1"/>
  <c r="Y564" i="3"/>
  <c r="G566" i="3" l="1"/>
  <c r="E566" i="3"/>
  <c r="H566" i="3" s="1"/>
  <c r="F566" i="3" l="1"/>
  <c r="I566" i="3"/>
  <c r="J566" i="3"/>
  <c r="AD566" i="3" s="1"/>
  <c r="M566" i="3"/>
  <c r="N566" i="3" s="1"/>
  <c r="K566" i="3"/>
  <c r="AE566" i="3" s="1"/>
  <c r="V566" i="3" l="1"/>
  <c r="W566" i="3" s="1"/>
  <c r="A567" i="3"/>
  <c r="B567" i="3" s="1"/>
  <c r="L566" i="3"/>
  <c r="U566" i="3" l="1"/>
  <c r="Y565" i="3"/>
  <c r="P567" i="3"/>
  <c r="Q567" i="3" s="1"/>
  <c r="R567" i="3" s="1"/>
  <c r="S567" i="3" s="1"/>
  <c r="AA567" i="3"/>
  <c r="Z567" i="3"/>
  <c r="AC567" i="3"/>
  <c r="T567" i="3" l="1"/>
  <c r="AG567" i="3" s="1"/>
  <c r="AH567" i="3" l="1"/>
  <c r="E567" i="3"/>
  <c r="H567" i="3" s="1"/>
  <c r="K567" i="3" s="1"/>
  <c r="AE567" i="3" s="1"/>
  <c r="D567" i="3"/>
  <c r="G567" i="3" s="1"/>
  <c r="F567" i="3" l="1"/>
  <c r="I567" i="3"/>
  <c r="J567" i="3"/>
  <c r="AD567" i="3" s="1"/>
  <c r="M567" i="3"/>
  <c r="N567" i="3" s="1"/>
  <c r="V567" i="3"/>
  <c r="A568" i="3"/>
  <c r="B568" i="3" s="1"/>
  <c r="W567" i="3" l="1"/>
  <c r="L567" i="3"/>
  <c r="AC568" i="3"/>
  <c r="P568" i="3"/>
  <c r="Q568" i="3" s="1"/>
  <c r="R568" i="3" s="1"/>
  <c r="S568" i="3" s="1"/>
  <c r="AA568" i="3"/>
  <c r="Z568" i="3"/>
  <c r="U567" i="3" l="1"/>
  <c r="Y566" i="3"/>
  <c r="T568" i="3"/>
  <c r="AG568" i="3" s="1"/>
  <c r="D568" i="3" l="1"/>
  <c r="G568" i="3" s="1"/>
  <c r="E568" i="3"/>
  <c r="H568" i="3" s="1"/>
  <c r="K568" i="3" s="1"/>
  <c r="AE568" i="3" s="1"/>
  <c r="AH568" i="3"/>
  <c r="F568" i="3" l="1"/>
  <c r="V568" i="3"/>
  <c r="A569" i="3"/>
  <c r="B569" i="3" s="1"/>
  <c r="I568" i="3"/>
  <c r="J568" i="3"/>
  <c r="AD568" i="3" s="1"/>
  <c r="M568" i="3"/>
  <c r="N568" i="3" s="1"/>
  <c r="L568" i="3" l="1"/>
  <c r="W568" i="3"/>
  <c r="AA569" i="3"/>
  <c r="P569" i="3"/>
  <c r="Q569" i="3" s="1"/>
  <c r="R569" i="3" s="1"/>
  <c r="S569" i="3" s="1"/>
  <c r="AC569" i="3"/>
  <c r="Z569" i="3"/>
  <c r="T569" i="3" l="1"/>
  <c r="AH569" i="3" s="1"/>
  <c r="U568" i="3"/>
  <c r="Y567" i="3"/>
  <c r="D569" i="3" l="1"/>
  <c r="G569" i="3" s="1"/>
  <c r="AG569" i="3"/>
  <c r="E569" i="3"/>
  <c r="H569" i="3" s="1"/>
  <c r="F569" i="3" l="1"/>
  <c r="I569" i="3"/>
  <c r="J569" i="3"/>
  <c r="AD569" i="3" s="1"/>
  <c r="M569" i="3"/>
  <c r="N569" i="3" s="1"/>
  <c r="K569" i="3"/>
  <c r="AE569" i="3" s="1"/>
  <c r="L569" i="3" l="1"/>
  <c r="V569" i="3"/>
  <c r="W569" i="3" s="1"/>
  <c r="A570" i="3"/>
  <c r="B570" i="3" s="1"/>
  <c r="AC570" i="3" l="1"/>
  <c r="P570" i="3"/>
  <c r="Q570" i="3" s="1"/>
  <c r="R570" i="3" s="1"/>
  <c r="S570" i="3" s="1"/>
  <c r="Z570" i="3"/>
  <c r="AA570" i="3"/>
  <c r="U569" i="3"/>
  <c r="Y568" i="3"/>
  <c r="T570" i="3" l="1"/>
  <c r="D570" i="3" l="1"/>
  <c r="E570" i="3"/>
  <c r="H570" i="3" s="1"/>
  <c r="AG570" i="3"/>
  <c r="AH570" i="3"/>
  <c r="F570" i="3" l="1"/>
  <c r="G570" i="3"/>
  <c r="K570" i="3"/>
  <c r="AE570" i="3" s="1"/>
  <c r="V570" i="3" l="1"/>
  <c r="A571" i="3"/>
  <c r="B571" i="3" s="1"/>
  <c r="I570" i="3"/>
  <c r="J570" i="3"/>
  <c r="AD570" i="3" s="1"/>
  <c r="M570" i="3"/>
  <c r="N570" i="3" s="1"/>
  <c r="W570" i="3" l="1"/>
  <c r="L570" i="3"/>
  <c r="P571" i="3"/>
  <c r="Q571" i="3" s="1"/>
  <c r="R571" i="3" s="1"/>
  <c r="S571" i="3" s="1"/>
  <c r="AA571" i="3"/>
  <c r="Z571" i="3"/>
  <c r="AC571" i="3"/>
  <c r="U570" i="3" l="1"/>
  <c r="Y569" i="3"/>
  <c r="T571" i="3"/>
  <c r="D571" i="3" l="1"/>
  <c r="G571" i="3" s="1"/>
  <c r="AG571" i="3"/>
  <c r="AH571" i="3"/>
  <c r="E571" i="3"/>
  <c r="H571" i="3" s="1"/>
  <c r="K571" i="3" s="1"/>
  <c r="AE571" i="3" s="1"/>
  <c r="F571" i="3" l="1"/>
  <c r="V571" i="3"/>
  <c r="A572" i="3"/>
  <c r="B572" i="3" s="1"/>
  <c r="I571" i="3"/>
  <c r="J571" i="3"/>
  <c r="AD571" i="3" s="1"/>
  <c r="M571" i="3"/>
  <c r="N571" i="3" s="1"/>
  <c r="W571" i="3" l="1"/>
  <c r="L571" i="3"/>
  <c r="AC572" i="3"/>
  <c r="P572" i="3"/>
  <c r="Q572" i="3" s="1"/>
  <c r="R572" i="3" s="1"/>
  <c r="S572" i="3" s="1"/>
  <c r="AA572" i="3"/>
  <c r="Z572" i="3"/>
  <c r="T572" i="3" l="1"/>
  <c r="AH572" i="3" s="1"/>
  <c r="U571" i="3"/>
  <c r="Y570" i="3"/>
  <c r="E572" i="3" l="1"/>
  <c r="H572" i="3" s="1"/>
  <c r="AG572" i="3"/>
  <c r="D572" i="3"/>
  <c r="F572" i="3" l="1"/>
  <c r="G572" i="3"/>
  <c r="K572" i="3"/>
  <c r="AE572" i="3" s="1"/>
  <c r="V572" i="3" l="1"/>
  <c r="A573" i="3"/>
  <c r="B573" i="3" s="1"/>
  <c r="I572" i="3"/>
  <c r="J572" i="3"/>
  <c r="AD572" i="3" s="1"/>
  <c r="M572" i="3"/>
  <c r="N572" i="3" s="1"/>
  <c r="W572" i="3" l="1"/>
  <c r="L572" i="3"/>
  <c r="P573" i="3"/>
  <c r="Q573" i="3" s="1"/>
  <c r="R573" i="3" s="1"/>
  <c r="S573" i="3" s="1"/>
  <c r="Z573" i="3"/>
  <c r="AC573" i="3"/>
  <c r="AA573" i="3"/>
  <c r="U572" i="3" l="1"/>
  <c r="Y571" i="3"/>
  <c r="T573" i="3"/>
  <c r="E573" i="3" l="1"/>
  <c r="H573" i="3" s="1"/>
  <c r="K573" i="3" s="1"/>
  <c r="AE573" i="3" s="1"/>
  <c r="D573" i="3"/>
  <c r="AH573" i="3"/>
  <c r="AG573" i="3"/>
  <c r="F573" i="3" l="1"/>
  <c r="G573" i="3"/>
  <c r="I573" i="3" s="1"/>
  <c r="V573" i="3"/>
  <c r="A574" i="3"/>
  <c r="B574" i="3" s="1"/>
  <c r="J573" i="3" l="1"/>
  <c r="M573" i="3"/>
  <c r="N573" i="3" s="1"/>
  <c r="W573" i="3"/>
  <c r="AA574" i="3"/>
  <c r="Z574" i="3"/>
  <c r="P574" i="3"/>
  <c r="Q574" i="3" s="1"/>
  <c r="R574" i="3" s="1"/>
  <c r="S574" i="3" s="1"/>
  <c r="AC574" i="3"/>
  <c r="L573" i="3" l="1"/>
  <c r="U573" i="3" s="1"/>
  <c r="AD573" i="3"/>
  <c r="T574" i="3"/>
  <c r="AH574" i="3" l="1"/>
  <c r="Y572" i="3"/>
  <c r="D574" i="3"/>
  <c r="G574" i="3" s="1"/>
  <c r="AG574" i="3"/>
  <c r="E574" i="3"/>
  <c r="H574" i="3" s="1"/>
  <c r="K574" i="3" l="1"/>
  <c r="AE574" i="3" s="1"/>
  <c r="I574" i="3"/>
  <c r="J574" i="3"/>
  <c r="AD574" i="3" s="1"/>
  <c r="M574" i="3"/>
  <c r="N574" i="3" s="1"/>
  <c r="F574" i="3"/>
  <c r="V574" i="3" l="1"/>
  <c r="W574" i="3" s="1"/>
  <c r="A575" i="3"/>
  <c r="B575" i="3" s="1"/>
  <c r="L574" i="3"/>
  <c r="U574" i="3" l="1"/>
  <c r="Y573" i="3"/>
  <c r="P575" i="3"/>
  <c r="Q575" i="3" s="1"/>
  <c r="R575" i="3" s="1"/>
  <c r="S575" i="3" s="1"/>
  <c r="Z575" i="3"/>
  <c r="AC575" i="3"/>
  <c r="AA575" i="3"/>
  <c r="T575" i="3" l="1"/>
  <c r="AH575" i="3" s="1"/>
  <c r="AG575" i="3" l="1"/>
  <c r="E575" i="3"/>
  <c r="H575" i="3" s="1"/>
  <c r="D575" i="3"/>
  <c r="K575" i="3" l="1"/>
  <c r="AE575" i="3" s="1"/>
  <c r="F575" i="3"/>
  <c r="G575" i="3"/>
  <c r="V575" i="3" l="1"/>
  <c r="A576" i="3"/>
  <c r="B576" i="3" s="1"/>
  <c r="I575" i="3"/>
  <c r="J575" i="3"/>
  <c r="AD575" i="3" s="1"/>
  <c r="M575" i="3"/>
  <c r="N575" i="3" s="1"/>
  <c r="W575" i="3" l="1"/>
  <c r="L575" i="3"/>
  <c r="AA576" i="3"/>
  <c r="P576" i="3"/>
  <c r="Q576" i="3" s="1"/>
  <c r="R576" i="3" s="1"/>
  <c r="S576" i="3" s="1"/>
  <c r="Z576" i="3"/>
  <c r="AC576" i="3"/>
  <c r="U575" i="3" l="1"/>
  <c r="Y574" i="3"/>
  <c r="T576" i="3"/>
  <c r="E576" i="3" l="1"/>
  <c r="H576" i="3" s="1"/>
  <c r="K576" i="3" s="1"/>
  <c r="AE576" i="3" s="1"/>
  <c r="AH576" i="3"/>
  <c r="D576" i="3"/>
  <c r="G576" i="3" s="1"/>
  <c r="AG576" i="3"/>
  <c r="F576" i="3" l="1"/>
  <c r="V576" i="3"/>
  <c r="A577" i="3"/>
  <c r="B577" i="3" s="1"/>
  <c r="I576" i="3"/>
  <c r="J576" i="3"/>
  <c r="AD576" i="3" s="1"/>
  <c r="M576" i="3"/>
  <c r="N576" i="3" s="1"/>
  <c r="W576" i="3" l="1"/>
  <c r="L576" i="3"/>
  <c r="P577" i="3"/>
  <c r="Q577" i="3" s="1"/>
  <c r="R577" i="3" s="1"/>
  <c r="S577" i="3" s="1"/>
  <c r="AC577" i="3"/>
  <c r="AA577" i="3"/>
  <c r="Z577" i="3"/>
  <c r="U576" i="3" l="1"/>
  <c r="Y575" i="3"/>
  <c r="T577" i="3"/>
  <c r="AH577" i="3" s="1"/>
  <c r="E577" i="3" l="1"/>
  <c r="H577" i="3" s="1"/>
  <c r="K577" i="3" s="1"/>
  <c r="AE577" i="3" s="1"/>
  <c r="AG577" i="3"/>
  <c r="D577" i="3"/>
  <c r="F577" i="3" l="1"/>
  <c r="G577" i="3"/>
  <c r="J577" i="3" s="1"/>
  <c r="AD577" i="3" s="1"/>
  <c r="V577" i="3"/>
  <c r="A578" i="3"/>
  <c r="B578" i="3" s="1"/>
  <c r="M577" i="3" l="1"/>
  <c r="N577" i="3" s="1"/>
  <c r="I577" i="3"/>
  <c r="W577" i="3" s="1"/>
  <c r="L577" i="3"/>
  <c r="AC578" i="3"/>
  <c r="P578" i="3"/>
  <c r="Q578" i="3" s="1"/>
  <c r="R578" i="3" s="1"/>
  <c r="S578" i="3" s="1"/>
  <c r="Z578" i="3"/>
  <c r="AA578" i="3"/>
  <c r="U577" i="3" l="1"/>
  <c r="Y576" i="3"/>
  <c r="T578" i="3"/>
  <c r="AG578" i="3" s="1"/>
  <c r="D578" i="3" l="1"/>
  <c r="G578" i="3" s="1"/>
  <c r="AH578" i="3"/>
  <c r="E578" i="3"/>
  <c r="H578" i="3" s="1"/>
  <c r="K578" i="3" s="1"/>
  <c r="AE578" i="3" s="1"/>
  <c r="F578" i="3" l="1"/>
  <c r="I578" i="3"/>
  <c r="J578" i="3"/>
  <c r="AD578" i="3" s="1"/>
  <c r="M578" i="3"/>
  <c r="N578" i="3" s="1"/>
  <c r="V578" i="3"/>
  <c r="A579" i="3"/>
  <c r="B579" i="3" s="1"/>
  <c r="W578" i="3" l="1"/>
  <c r="L578" i="3"/>
  <c r="AC579" i="3"/>
  <c r="Z579" i="3"/>
  <c r="P579" i="3"/>
  <c r="Q579" i="3" s="1"/>
  <c r="R579" i="3" s="1"/>
  <c r="S579" i="3" s="1"/>
  <c r="AA579" i="3"/>
  <c r="U578" i="3" l="1"/>
  <c r="Y577" i="3"/>
  <c r="T579" i="3"/>
  <c r="AG579" i="3" s="1"/>
  <c r="E579" i="3" l="1"/>
  <c r="H579" i="3" s="1"/>
  <c r="K579" i="3" s="1"/>
  <c r="AE579" i="3" s="1"/>
  <c r="AH579" i="3"/>
  <c r="D579" i="3"/>
  <c r="F579" i="3" l="1"/>
  <c r="G579" i="3"/>
  <c r="M579" i="3" s="1"/>
  <c r="N579" i="3" s="1"/>
  <c r="V579" i="3"/>
  <c r="A580" i="3"/>
  <c r="B580" i="3" s="1"/>
  <c r="I579" i="3" l="1"/>
  <c r="W579" i="3" s="1"/>
  <c r="J579" i="3"/>
  <c r="P580" i="3"/>
  <c r="Q580" i="3" s="1"/>
  <c r="R580" i="3" s="1"/>
  <c r="S580" i="3" s="1"/>
  <c r="AA580" i="3"/>
  <c r="AC580" i="3"/>
  <c r="Z580" i="3"/>
  <c r="L579" i="3" l="1"/>
  <c r="Y578" i="3" s="1"/>
  <c r="AD579" i="3"/>
  <c r="T580" i="3"/>
  <c r="AH580" i="3" l="1"/>
  <c r="U579" i="3"/>
  <c r="E580" i="3" s="1"/>
  <c r="H580" i="3" s="1"/>
  <c r="AG580" i="3"/>
  <c r="D580" i="3" l="1"/>
  <c r="G580" i="3" s="1"/>
  <c r="K580" i="3"/>
  <c r="AE580" i="3" s="1"/>
  <c r="F580" i="3" l="1"/>
  <c r="I580" i="3"/>
  <c r="J580" i="3"/>
  <c r="AD580" i="3" s="1"/>
  <c r="M580" i="3"/>
  <c r="N580" i="3" s="1"/>
  <c r="V580" i="3"/>
  <c r="A581" i="3"/>
  <c r="B581" i="3" s="1"/>
  <c r="W580" i="3" l="1"/>
  <c r="P581" i="3"/>
  <c r="Q581" i="3" s="1"/>
  <c r="R581" i="3" s="1"/>
  <c r="S581" i="3" s="1"/>
  <c r="Z581" i="3"/>
  <c r="AA581" i="3"/>
  <c r="AC581" i="3"/>
  <c r="L580" i="3"/>
  <c r="T581" i="3" l="1"/>
  <c r="AH581" i="3" s="1"/>
  <c r="U580" i="3"/>
  <c r="Y579" i="3"/>
  <c r="D581" i="3" l="1"/>
  <c r="G581" i="3" s="1"/>
  <c r="AG581" i="3"/>
  <c r="E581" i="3"/>
  <c r="H581" i="3" s="1"/>
  <c r="I581" i="3" l="1"/>
  <c r="J581" i="3"/>
  <c r="AD581" i="3" s="1"/>
  <c r="M581" i="3"/>
  <c r="N581" i="3" s="1"/>
  <c r="F581" i="3"/>
  <c r="K581" i="3"/>
  <c r="AE581" i="3" s="1"/>
  <c r="L581" i="3" l="1"/>
  <c r="V581" i="3"/>
  <c r="W581" i="3" s="1"/>
  <c r="A582" i="3"/>
  <c r="B582" i="3" s="1"/>
  <c r="P582" i="3" l="1"/>
  <c r="Q582" i="3" s="1"/>
  <c r="R582" i="3" s="1"/>
  <c r="S582" i="3" s="1"/>
  <c r="Z582" i="3"/>
  <c r="AC582" i="3"/>
  <c r="AA582" i="3"/>
  <c r="U581" i="3"/>
  <c r="Y580" i="3"/>
  <c r="T582" i="3" l="1"/>
  <c r="AH582" i="3" s="1"/>
  <c r="E582" i="3" l="1"/>
  <c r="H582" i="3" s="1"/>
  <c r="K582" i="3" s="1"/>
  <c r="AE582" i="3" s="1"/>
  <c r="AG582" i="3"/>
  <c r="D582" i="3"/>
  <c r="V582" i="3" l="1"/>
  <c r="A583" i="3"/>
  <c r="B583" i="3" s="1"/>
  <c r="F582" i="3"/>
  <c r="G582" i="3"/>
  <c r="I582" i="3" l="1"/>
  <c r="W582" i="3" s="1"/>
  <c r="J582" i="3"/>
  <c r="AD582" i="3" s="1"/>
  <c r="M582" i="3"/>
  <c r="N582" i="3" s="1"/>
  <c r="AA583" i="3"/>
  <c r="Z583" i="3"/>
  <c r="P583" i="3"/>
  <c r="Q583" i="3" s="1"/>
  <c r="R583" i="3" s="1"/>
  <c r="S583" i="3" s="1"/>
  <c r="AC583" i="3"/>
  <c r="T583" i="3" l="1"/>
  <c r="L582" i="3"/>
  <c r="U582" i="3" l="1"/>
  <c r="E583" i="3" s="1"/>
  <c r="H583" i="3" s="1"/>
  <c r="AG583" i="3"/>
  <c r="AH583" i="3"/>
  <c r="Y581" i="3"/>
  <c r="D583" i="3" l="1"/>
  <c r="G583" i="3" s="1"/>
  <c r="K583" i="3"/>
  <c r="AE583" i="3" s="1"/>
  <c r="F583" i="3" l="1"/>
  <c r="V583" i="3"/>
  <c r="A584" i="3"/>
  <c r="B584" i="3" s="1"/>
  <c r="I583" i="3"/>
  <c r="J583" i="3"/>
  <c r="AD583" i="3" s="1"/>
  <c r="M583" i="3"/>
  <c r="N583" i="3" s="1"/>
  <c r="W583" i="3" l="1"/>
  <c r="L583" i="3"/>
  <c r="AC584" i="3"/>
  <c r="P584" i="3"/>
  <c r="Q584" i="3" s="1"/>
  <c r="R584" i="3" s="1"/>
  <c r="S584" i="3" s="1"/>
  <c r="AA584" i="3"/>
  <c r="Z584" i="3"/>
  <c r="U583" i="3" l="1"/>
  <c r="Y582" i="3"/>
  <c r="T584" i="3"/>
  <c r="AG584" i="3" s="1"/>
  <c r="E584" i="3" l="1"/>
  <c r="H584" i="3" s="1"/>
  <c r="K584" i="3" s="1"/>
  <c r="AE584" i="3" s="1"/>
  <c r="AH584" i="3"/>
  <c r="D584" i="3"/>
  <c r="V584" i="3" l="1"/>
  <c r="A585" i="3"/>
  <c r="B585" i="3" s="1"/>
  <c r="F584" i="3"/>
  <c r="G584" i="3"/>
  <c r="Z585" i="3" l="1"/>
  <c r="AA585" i="3"/>
  <c r="P585" i="3"/>
  <c r="Q585" i="3" s="1"/>
  <c r="R585" i="3" s="1"/>
  <c r="S585" i="3" s="1"/>
  <c r="AD585" i="3"/>
  <c r="AC585" i="3"/>
  <c r="I584" i="3"/>
  <c r="W584" i="3" s="1"/>
  <c r="J584" i="3"/>
  <c r="AD584" i="3" s="1"/>
  <c r="M584" i="3"/>
  <c r="N584" i="3" s="1"/>
  <c r="T585" i="3" l="1"/>
  <c r="L584" i="3"/>
  <c r="AG585" i="3" l="1"/>
  <c r="U584" i="3"/>
  <c r="D585" i="3" s="1"/>
  <c r="AH585" i="3"/>
  <c r="Y583" i="3"/>
  <c r="G585" i="3" l="1"/>
  <c r="E585" i="3"/>
  <c r="H585" i="3" s="1"/>
  <c r="F585" i="3" l="1"/>
  <c r="I585" i="3"/>
  <c r="J585" i="3"/>
  <c r="M585" i="3"/>
  <c r="N585" i="3" s="1"/>
  <c r="K585" i="3"/>
  <c r="AE585" i="3" s="1"/>
  <c r="V585" i="3" l="1"/>
  <c r="W585" i="3" s="1"/>
  <c r="A586" i="3"/>
  <c r="B586" i="3" s="1"/>
  <c r="L585" i="3"/>
  <c r="U585" i="3" l="1"/>
  <c r="Y584" i="3"/>
  <c r="P586" i="3"/>
  <c r="Q586" i="3" s="1"/>
  <c r="R586" i="3" s="1"/>
  <c r="S586" i="3" s="1"/>
  <c r="AA586" i="3"/>
  <c r="Z586" i="3"/>
  <c r="AD586" i="3"/>
  <c r="AC586" i="3"/>
  <c r="T586" i="3" l="1"/>
  <c r="E586" i="3" s="1"/>
  <c r="H586" i="3" s="1"/>
  <c r="AH586" i="3" l="1"/>
  <c r="K586" i="3"/>
  <c r="AE586" i="3" s="1"/>
  <c r="AG586" i="3"/>
  <c r="D586" i="3"/>
  <c r="F586" i="3" l="1"/>
  <c r="G586" i="3"/>
  <c r="V586" i="3"/>
  <c r="A587" i="3"/>
  <c r="B587" i="3" s="1"/>
  <c r="AA587" i="3" l="1"/>
  <c r="Z587" i="3"/>
  <c r="AC587" i="3"/>
  <c r="P587" i="3"/>
  <c r="Q587" i="3" s="1"/>
  <c r="R587" i="3" s="1"/>
  <c r="S587" i="3" s="1"/>
  <c r="I586" i="3"/>
  <c r="W586" i="3" s="1"/>
  <c r="J586" i="3"/>
  <c r="M586" i="3"/>
  <c r="N586" i="3" s="1"/>
  <c r="T587" i="3" l="1"/>
  <c r="L586" i="3"/>
  <c r="AH587" i="3" l="1"/>
  <c r="U586" i="3"/>
  <c r="D587" i="3" s="1"/>
  <c r="AG587" i="3"/>
  <c r="Y585" i="3"/>
  <c r="G587" i="3" l="1"/>
  <c r="E587" i="3"/>
  <c r="H587" i="3" s="1"/>
  <c r="F587" i="3" l="1"/>
  <c r="K587" i="3"/>
  <c r="AE587" i="3" s="1"/>
  <c r="I587" i="3"/>
  <c r="J587" i="3"/>
  <c r="AD587" i="3" s="1"/>
  <c r="M587" i="3"/>
  <c r="N587" i="3" s="1"/>
  <c r="L587" i="3" l="1"/>
  <c r="V587" i="3"/>
  <c r="W587" i="3" s="1"/>
  <c r="A588" i="3"/>
  <c r="B588" i="3" s="1"/>
  <c r="U587" i="3" l="1"/>
  <c r="Y586" i="3"/>
  <c r="P588" i="3"/>
  <c r="Q588" i="3" s="1"/>
  <c r="R588" i="3" s="1"/>
  <c r="S588" i="3" s="1"/>
  <c r="Z588" i="3"/>
  <c r="AC588" i="3"/>
  <c r="AA588" i="3"/>
  <c r="T588" i="3" l="1"/>
  <c r="AH588" i="3" s="1"/>
  <c r="E588" i="3" l="1"/>
  <c r="H588" i="3" s="1"/>
  <c r="K588" i="3" s="1"/>
  <c r="AE588" i="3" s="1"/>
  <c r="AG588" i="3"/>
  <c r="D588" i="3"/>
  <c r="G588" i="3" s="1"/>
  <c r="F588" i="3" l="1"/>
  <c r="I588" i="3"/>
  <c r="J588" i="3"/>
  <c r="AD588" i="3" s="1"/>
  <c r="M588" i="3"/>
  <c r="N588" i="3" s="1"/>
  <c r="V588" i="3"/>
  <c r="A589" i="3"/>
  <c r="B589" i="3" s="1"/>
  <c r="W588" i="3" l="1"/>
  <c r="L588" i="3"/>
  <c r="AA589" i="3"/>
  <c r="Z589" i="3"/>
  <c r="AC589" i="3"/>
  <c r="P589" i="3"/>
  <c r="Q589" i="3" s="1"/>
  <c r="R589" i="3" s="1"/>
  <c r="S589" i="3" s="1"/>
  <c r="AD589" i="3"/>
  <c r="T589" i="3" l="1"/>
  <c r="AG589" i="3" s="1"/>
  <c r="U588" i="3"/>
  <c r="Y587" i="3"/>
  <c r="AH589" i="3" l="1"/>
  <c r="D589" i="3"/>
  <c r="E589" i="3"/>
  <c r="H589" i="3" s="1"/>
  <c r="F589" i="3" l="1"/>
  <c r="G589" i="3"/>
  <c r="K589" i="3"/>
  <c r="AE589" i="3" s="1"/>
  <c r="I589" i="3" l="1"/>
  <c r="J589" i="3"/>
  <c r="M589" i="3"/>
  <c r="N589" i="3" s="1"/>
  <c r="V589" i="3"/>
  <c r="A590" i="3"/>
  <c r="B590" i="3" s="1"/>
  <c r="W589" i="3" l="1"/>
  <c r="L589" i="3"/>
  <c r="P590" i="3"/>
  <c r="Q590" i="3" s="1"/>
  <c r="R590" i="3" s="1"/>
  <c r="S590" i="3" s="1"/>
  <c r="AC590" i="3"/>
  <c r="AA590" i="3"/>
  <c r="Z590" i="3"/>
  <c r="AD590" i="3"/>
  <c r="U589" i="3" l="1"/>
  <c r="Y588" i="3"/>
  <c r="T590" i="3"/>
  <c r="AH590" i="3" s="1"/>
  <c r="D590" i="3" l="1"/>
  <c r="G590" i="3" s="1"/>
  <c r="E590" i="3"/>
  <c r="H590" i="3" s="1"/>
  <c r="K590" i="3" s="1"/>
  <c r="AE590" i="3" s="1"/>
  <c r="AG590" i="3"/>
  <c r="F590" i="3" l="1"/>
  <c r="V590" i="3"/>
  <c r="A591" i="3"/>
  <c r="B591" i="3" s="1"/>
  <c r="I590" i="3"/>
  <c r="J590" i="3"/>
  <c r="M590" i="3"/>
  <c r="N590" i="3" s="1"/>
  <c r="W590" i="3" l="1"/>
  <c r="L590" i="3"/>
  <c r="AC591" i="3"/>
  <c r="P591" i="3"/>
  <c r="Q591" i="3" s="1"/>
  <c r="R591" i="3" s="1"/>
  <c r="S591" i="3" s="1"/>
  <c r="Z591" i="3"/>
  <c r="AA591" i="3"/>
  <c r="AD591" i="3"/>
  <c r="U590" i="3" l="1"/>
  <c r="Y589" i="3"/>
  <c r="T591" i="3"/>
  <c r="AG591" i="3" s="1"/>
  <c r="D591" i="3" l="1"/>
  <c r="G591" i="3" s="1"/>
  <c r="E591" i="3"/>
  <c r="H591" i="3" s="1"/>
  <c r="K591" i="3" s="1"/>
  <c r="AE591" i="3" s="1"/>
  <c r="AH591" i="3"/>
  <c r="F591" i="3" l="1"/>
  <c r="I591" i="3"/>
  <c r="J591" i="3"/>
  <c r="M591" i="3"/>
  <c r="N591" i="3" s="1"/>
  <c r="V591" i="3"/>
  <c r="A592" i="3"/>
  <c r="B592" i="3" s="1"/>
  <c r="W591" i="3" l="1"/>
  <c r="L591" i="3"/>
  <c r="AA592" i="3"/>
  <c r="AC592" i="3"/>
  <c r="Z592" i="3"/>
  <c r="AD592" i="3"/>
  <c r="P592" i="3"/>
  <c r="Q592" i="3" s="1"/>
  <c r="R592" i="3" s="1"/>
  <c r="S592" i="3" s="1"/>
  <c r="U591" i="3" l="1"/>
  <c r="Y590" i="3"/>
  <c r="T592" i="3"/>
  <c r="D592" i="3" l="1"/>
  <c r="G592" i="3" s="1"/>
  <c r="AH592" i="3"/>
  <c r="AG592" i="3"/>
  <c r="E592" i="3"/>
  <c r="H592" i="3" s="1"/>
  <c r="K592" i="3" s="1"/>
  <c r="AE592" i="3" s="1"/>
  <c r="F592" i="3" l="1"/>
  <c r="I592" i="3"/>
  <c r="J592" i="3"/>
  <c r="M592" i="3"/>
  <c r="N592" i="3" s="1"/>
  <c r="V592" i="3"/>
  <c r="A593" i="3"/>
  <c r="B593" i="3" s="1"/>
  <c r="W592" i="3" l="1"/>
  <c r="L592" i="3"/>
  <c r="Z593" i="3"/>
  <c r="P593" i="3"/>
  <c r="Q593" i="3" s="1"/>
  <c r="R593" i="3" s="1"/>
  <c r="S593" i="3" s="1"/>
  <c r="AD593" i="3"/>
  <c r="AA593" i="3"/>
  <c r="AC593" i="3"/>
  <c r="U592" i="3" l="1"/>
  <c r="Y591" i="3"/>
  <c r="T593" i="3"/>
  <c r="E593" i="3" l="1"/>
  <c r="H593" i="3" s="1"/>
  <c r="K593" i="3" s="1"/>
  <c r="AE593" i="3" s="1"/>
  <c r="D593" i="3"/>
  <c r="G593" i="3" s="1"/>
  <c r="AH593" i="3"/>
  <c r="AG593" i="3"/>
  <c r="F593" i="3" l="1"/>
  <c r="I593" i="3"/>
  <c r="J593" i="3"/>
  <c r="M593" i="3"/>
  <c r="N593" i="3" s="1"/>
  <c r="V593" i="3"/>
  <c r="A594" i="3"/>
  <c r="B594" i="3" s="1"/>
  <c r="W593" i="3" l="1"/>
  <c r="L593" i="3"/>
  <c r="Z594" i="3"/>
  <c r="AA594" i="3"/>
  <c r="P594" i="3"/>
  <c r="Q594" i="3" s="1"/>
  <c r="R594" i="3" s="1"/>
  <c r="S594" i="3" s="1"/>
  <c r="AC594" i="3"/>
  <c r="U593" i="3" l="1"/>
  <c r="Y592" i="3"/>
  <c r="T594" i="3"/>
  <c r="AG594" i="3" s="1"/>
  <c r="AH594" i="3" l="1"/>
  <c r="E594" i="3"/>
  <c r="H594" i="3" s="1"/>
  <c r="K594" i="3" s="1"/>
  <c r="AE594" i="3" s="1"/>
  <c r="D594" i="3"/>
  <c r="V594" i="3" l="1"/>
  <c r="A595" i="3"/>
  <c r="B595" i="3" s="1"/>
  <c r="F594" i="3"/>
  <c r="G594" i="3"/>
  <c r="I594" i="3" l="1"/>
  <c r="W594" i="3" s="1"/>
  <c r="J594" i="3"/>
  <c r="AD594" i="3" s="1"/>
  <c r="M594" i="3"/>
  <c r="N594" i="3" s="1"/>
  <c r="AC595" i="3"/>
  <c r="AA595" i="3"/>
  <c r="P595" i="3"/>
  <c r="Q595" i="3" s="1"/>
  <c r="R595" i="3" s="1"/>
  <c r="S595" i="3" s="1"/>
  <c r="Z595" i="3"/>
  <c r="T595" i="3" l="1"/>
  <c r="L594" i="3"/>
  <c r="AH595" i="3" l="1"/>
  <c r="U594" i="3"/>
  <c r="E595" i="3" s="1"/>
  <c r="H595" i="3" s="1"/>
  <c r="AG595" i="3"/>
  <c r="Y593" i="3"/>
  <c r="D595" i="3" l="1"/>
  <c r="G595" i="3" s="1"/>
  <c r="K595" i="3"/>
  <c r="AE595" i="3" s="1"/>
  <c r="F595" i="3" l="1"/>
  <c r="V595" i="3"/>
  <c r="A596" i="3"/>
  <c r="B596" i="3" s="1"/>
  <c r="I595" i="3"/>
  <c r="J595" i="3"/>
  <c r="AD595" i="3" s="1"/>
  <c r="M595" i="3"/>
  <c r="N595" i="3" s="1"/>
  <c r="W595" i="3" l="1"/>
  <c r="L595" i="3"/>
  <c r="P596" i="3"/>
  <c r="Q596" i="3" s="1"/>
  <c r="R596" i="3" s="1"/>
  <c r="S596" i="3" s="1"/>
  <c r="AA596" i="3"/>
  <c r="AC596" i="3"/>
  <c r="Z596" i="3"/>
  <c r="T596" i="3" l="1"/>
  <c r="AG596" i="3" s="1"/>
  <c r="U595" i="3"/>
  <c r="Y594" i="3"/>
  <c r="D596" i="3" l="1"/>
  <c r="E596" i="3"/>
  <c r="H596" i="3" s="1"/>
  <c r="AH596" i="3"/>
  <c r="F596" i="3" l="1"/>
  <c r="G596" i="3"/>
  <c r="K596" i="3"/>
  <c r="AE596" i="3" s="1"/>
  <c r="V596" i="3" l="1"/>
  <c r="A597" i="3"/>
  <c r="B597" i="3" s="1"/>
  <c r="I596" i="3"/>
  <c r="J596" i="3"/>
  <c r="AD596" i="3" s="1"/>
  <c r="M596" i="3"/>
  <c r="N596" i="3" s="1"/>
  <c r="W596" i="3" l="1"/>
  <c r="L596" i="3"/>
  <c r="Z597" i="3"/>
  <c r="P597" i="3"/>
  <c r="Q597" i="3" s="1"/>
  <c r="R597" i="3" s="1"/>
  <c r="S597" i="3" s="1"/>
  <c r="AA597" i="3"/>
  <c r="AC597" i="3"/>
  <c r="U596" i="3" l="1"/>
  <c r="Y595" i="3"/>
  <c r="T597" i="3"/>
  <c r="E597" i="3" l="1"/>
  <c r="H597" i="3" s="1"/>
  <c r="K597" i="3" s="1"/>
  <c r="AE597" i="3" s="1"/>
  <c r="AH597" i="3"/>
  <c r="AG597" i="3"/>
  <c r="D597" i="3"/>
  <c r="G597" i="3" s="1"/>
  <c r="F597" i="3" l="1"/>
  <c r="I597" i="3"/>
  <c r="J597" i="3"/>
  <c r="AD597" i="3" s="1"/>
  <c r="M597" i="3"/>
  <c r="N597" i="3" s="1"/>
  <c r="V597" i="3"/>
  <c r="A598" i="3"/>
  <c r="B598" i="3" s="1"/>
  <c r="W597" i="3" l="1"/>
  <c r="L597" i="3"/>
  <c r="AC598" i="3"/>
  <c r="P598" i="3"/>
  <c r="Q598" i="3" s="1"/>
  <c r="R598" i="3" s="1"/>
  <c r="S598" i="3" s="1"/>
  <c r="Z598" i="3"/>
  <c r="AA598" i="3"/>
  <c r="U597" i="3" l="1"/>
  <c r="Y596" i="3"/>
  <c r="T598" i="3"/>
  <c r="AG598" i="3" s="1"/>
  <c r="AH598" i="3" l="1"/>
  <c r="E598" i="3"/>
  <c r="H598" i="3" s="1"/>
  <c r="K598" i="3" s="1"/>
  <c r="AE598" i="3" s="1"/>
  <c r="D598" i="3"/>
  <c r="V598" i="3" l="1"/>
  <c r="A599" i="3"/>
  <c r="B599" i="3" s="1"/>
  <c r="F598" i="3"/>
  <c r="G598" i="3"/>
  <c r="I598" i="3" l="1"/>
  <c r="W598" i="3" s="1"/>
  <c r="J598" i="3"/>
  <c r="AD598" i="3" s="1"/>
  <c r="M598" i="3"/>
  <c r="N598" i="3" s="1"/>
  <c r="AC599" i="3"/>
  <c r="AA599" i="3"/>
  <c r="P599" i="3"/>
  <c r="Q599" i="3" s="1"/>
  <c r="R599" i="3" s="1"/>
  <c r="S599" i="3" s="1"/>
  <c r="Z599" i="3"/>
  <c r="T599" i="3" l="1"/>
  <c r="L598" i="3"/>
  <c r="U598" i="3" l="1"/>
  <c r="D599" i="3" s="1"/>
  <c r="AG599" i="3"/>
  <c r="AH599" i="3"/>
  <c r="Y597" i="3"/>
  <c r="G599" i="3" l="1"/>
  <c r="E599" i="3"/>
  <c r="H599" i="3" s="1"/>
  <c r="I599" i="3" l="1"/>
  <c r="J599" i="3"/>
  <c r="AD599" i="3" s="1"/>
  <c r="M599" i="3"/>
  <c r="N599" i="3" s="1"/>
  <c r="K599" i="3"/>
  <c r="AE599" i="3" s="1"/>
  <c r="F599" i="3"/>
  <c r="V599" i="3" l="1"/>
  <c r="W599" i="3" s="1"/>
  <c r="A600" i="3"/>
  <c r="B600" i="3" s="1"/>
  <c r="L599" i="3"/>
  <c r="U599" i="3" l="1"/>
  <c r="Y598" i="3"/>
  <c r="AC600" i="3"/>
  <c r="P600" i="3"/>
  <c r="Q600" i="3" s="1"/>
  <c r="R600" i="3" s="1"/>
  <c r="S600" i="3" s="1"/>
  <c r="Z600" i="3"/>
  <c r="AA600" i="3"/>
  <c r="T600" i="3" l="1"/>
  <c r="E600" i="3" s="1"/>
  <c r="H600" i="3" s="1"/>
  <c r="AH600" i="3" l="1"/>
  <c r="K600" i="3"/>
  <c r="AE600" i="3" s="1"/>
  <c r="AG600" i="3"/>
  <c r="D600" i="3"/>
  <c r="V600" i="3" l="1"/>
  <c r="A601" i="3"/>
  <c r="B601" i="3" s="1"/>
  <c r="F600" i="3"/>
  <c r="G600" i="3"/>
  <c r="I600" i="3" l="1"/>
  <c r="W600" i="3" s="1"/>
  <c r="J600" i="3"/>
  <c r="AD600" i="3" s="1"/>
  <c r="M600" i="3"/>
  <c r="N600" i="3" s="1"/>
  <c r="P601" i="3"/>
  <c r="Q601" i="3" s="1"/>
  <c r="R601" i="3" s="1"/>
  <c r="S601" i="3" s="1"/>
  <c r="AA601" i="3"/>
  <c r="AC601" i="3"/>
  <c r="Z601" i="3"/>
  <c r="T601" i="3" l="1"/>
  <c r="L600" i="3"/>
  <c r="AH601" i="3" l="1"/>
  <c r="U600" i="3"/>
  <c r="D601" i="3" s="1"/>
  <c r="AG601" i="3"/>
  <c r="Y599" i="3"/>
  <c r="E601" i="3" l="1"/>
  <c r="H601" i="3" s="1"/>
  <c r="K601" i="3" s="1"/>
  <c r="AE601" i="3" s="1"/>
  <c r="G601" i="3"/>
  <c r="F601" i="3" l="1"/>
  <c r="I601" i="3"/>
  <c r="J601" i="3"/>
  <c r="AD601" i="3" s="1"/>
  <c r="M601" i="3"/>
  <c r="N601" i="3" s="1"/>
  <c r="V601" i="3"/>
  <c r="A602" i="3"/>
  <c r="B602" i="3" s="1"/>
  <c r="W601" i="3" l="1"/>
  <c r="L601" i="3"/>
  <c r="P602" i="3"/>
  <c r="Q602" i="3" s="1"/>
  <c r="R602" i="3" s="1"/>
  <c r="S602" i="3" s="1"/>
  <c r="Z602" i="3"/>
  <c r="AC602" i="3"/>
  <c r="AA602" i="3"/>
  <c r="U601" i="3" l="1"/>
  <c r="Y600" i="3"/>
  <c r="T602" i="3"/>
  <c r="AG602" i="3" s="1"/>
  <c r="D602" i="3" l="1"/>
  <c r="E602" i="3"/>
  <c r="H602" i="3" s="1"/>
  <c r="AH602" i="3"/>
  <c r="K602" i="3" l="1"/>
  <c r="AE602" i="3" s="1"/>
  <c r="F602" i="3"/>
  <c r="G602" i="3"/>
  <c r="I602" i="3" l="1"/>
  <c r="J602" i="3"/>
  <c r="AD602" i="3" s="1"/>
  <c r="M602" i="3"/>
  <c r="N602" i="3" s="1"/>
  <c r="V602" i="3"/>
  <c r="A603" i="3"/>
  <c r="B603" i="3" s="1"/>
  <c r="W602" i="3" l="1"/>
  <c r="L602" i="3"/>
  <c r="AA603" i="3"/>
  <c r="AC603" i="3"/>
  <c r="Z603" i="3"/>
  <c r="P603" i="3"/>
  <c r="Q603" i="3" s="1"/>
  <c r="R603" i="3" s="1"/>
  <c r="S603" i="3" s="1"/>
  <c r="U602" i="3" l="1"/>
  <c r="Y601" i="3"/>
  <c r="T603" i="3"/>
  <c r="AG603" i="3" s="1"/>
  <c r="AH603" i="3" l="1"/>
  <c r="D603" i="3"/>
  <c r="G603" i="3" s="1"/>
  <c r="E603" i="3"/>
  <c r="H603" i="3" s="1"/>
  <c r="K603" i="3" s="1"/>
  <c r="AE603" i="3" s="1"/>
  <c r="F603" i="3" l="1"/>
  <c r="I603" i="3"/>
  <c r="J603" i="3"/>
  <c r="AD603" i="3" s="1"/>
  <c r="M603" i="3"/>
  <c r="N603" i="3" s="1"/>
  <c r="V603" i="3"/>
  <c r="A604" i="3"/>
  <c r="B604" i="3" s="1"/>
  <c r="W603" i="3" l="1"/>
  <c r="L603" i="3"/>
  <c r="AC604" i="3"/>
  <c r="Z604" i="3"/>
  <c r="AA604" i="3"/>
  <c r="P604" i="3"/>
  <c r="Q604" i="3" s="1"/>
  <c r="R604" i="3" s="1"/>
  <c r="S604" i="3" s="1"/>
  <c r="U603" i="3" l="1"/>
  <c r="Y602" i="3"/>
  <c r="T604" i="3"/>
  <c r="AH604" i="3" s="1"/>
  <c r="D604" i="3" l="1"/>
  <c r="E604" i="3"/>
  <c r="H604" i="3" s="1"/>
  <c r="AG604" i="3"/>
  <c r="F604" i="3" l="1"/>
  <c r="G604" i="3"/>
  <c r="K604" i="3"/>
  <c r="AE604" i="3" s="1"/>
  <c r="V604" i="3" l="1"/>
  <c r="A605" i="3"/>
  <c r="B605" i="3" s="1"/>
  <c r="I604" i="3"/>
  <c r="J604" i="3"/>
  <c r="AD604" i="3" s="1"/>
  <c r="M604" i="3"/>
  <c r="N604" i="3" s="1"/>
  <c r="W604" i="3" l="1"/>
  <c r="L604" i="3"/>
  <c r="P605" i="3"/>
  <c r="Q605" i="3" s="1"/>
  <c r="R605" i="3" s="1"/>
  <c r="S605" i="3" s="1"/>
  <c r="Z605" i="3"/>
  <c r="AA605" i="3"/>
  <c r="AD605" i="3"/>
  <c r="AC605" i="3"/>
  <c r="U604" i="3" l="1"/>
  <c r="Y603" i="3"/>
  <c r="T605" i="3"/>
  <c r="AG605" i="3" s="1"/>
  <c r="AH605" i="3" l="1"/>
  <c r="D605" i="3"/>
  <c r="E605" i="3"/>
  <c r="H605" i="3" s="1"/>
  <c r="K605" i="3" s="1"/>
  <c r="AE605" i="3" s="1"/>
  <c r="F605" i="3" l="1"/>
  <c r="G605" i="3"/>
  <c r="M605" i="3" s="1"/>
  <c r="N605" i="3" s="1"/>
  <c r="V605" i="3"/>
  <c r="A606" i="3"/>
  <c r="B606" i="3" s="1"/>
  <c r="I605" i="3" l="1"/>
  <c r="W605" i="3" s="1"/>
  <c r="J605" i="3"/>
  <c r="L605" i="3" s="1"/>
  <c r="P606" i="3"/>
  <c r="Q606" i="3" s="1"/>
  <c r="R606" i="3" s="1"/>
  <c r="S606" i="3" s="1"/>
  <c r="AC606" i="3"/>
  <c r="AD606" i="3"/>
  <c r="AA606" i="3"/>
  <c r="Z606" i="3"/>
  <c r="U605" i="3" l="1"/>
  <c r="Y604" i="3"/>
  <c r="T606" i="3"/>
  <c r="AG606" i="3" s="1"/>
  <c r="E606" i="3" l="1"/>
  <c r="H606" i="3" s="1"/>
  <c r="AH606" i="3"/>
  <c r="D606" i="3"/>
  <c r="F606" i="3" l="1"/>
  <c r="G606" i="3"/>
  <c r="K606" i="3"/>
  <c r="AE606" i="3" s="1"/>
  <c r="I606" i="3" l="1"/>
  <c r="J606" i="3"/>
  <c r="M606" i="3"/>
  <c r="N606" i="3" s="1"/>
  <c r="V606" i="3"/>
  <c r="A607" i="3"/>
  <c r="B607" i="3" s="1"/>
  <c r="W606" i="3" l="1"/>
  <c r="L606" i="3"/>
  <c r="Z607" i="3"/>
  <c r="AC607" i="3"/>
  <c r="P607" i="3"/>
  <c r="Q607" i="3" s="1"/>
  <c r="R607" i="3" s="1"/>
  <c r="S607" i="3" s="1"/>
  <c r="AA607" i="3"/>
  <c r="U606" i="3" l="1"/>
  <c r="Y605" i="3"/>
  <c r="T607" i="3"/>
  <c r="AH607" i="3" s="1"/>
  <c r="E607" i="3" l="1"/>
  <c r="H607" i="3" s="1"/>
  <c r="K607" i="3" s="1"/>
  <c r="AE607" i="3" s="1"/>
  <c r="D607" i="3"/>
  <c r="AG607" i="3"/>
  <c r="V607" i="3" l="1"/>
  <c r="A608" i="3"/>
  <c r="B608" i="3" s="1"/>
  <c r="F607" i="3"/>
  <c r="G607" i="3"/>
  <c r="I607" i="3" l="1"/>
  <c r="W607" i="3" s="1"/>
  <c r="J607" i="3"/>
  <c r="AD607" i="3" s="1"/>
  <c r="M607" i="3"/>
  <c r="N607" i="3" s="1"/>
  <c r="AA608" i="3"/>
  <c r="P608" i="3"/>
  <c r="Q608" i="3" s="1"/>
  <c r="R608" i="3" s="1"/>
  <c r="S608" i="3" s="1"/>
  <c r="Z608" i="3"/>
  <c r="AC608" i="3"/>
  <c r="T608" i="3" l="1"/>
  <c r="L607" i="3"/>
  <c r="AH608" i="3" l="1"/>
  <c r="AG608" i="3"/>
  <c r="U607" i="3"/>
  <c r="E608" i="3" s="1"/>
  <c r="H608" i="3" s="1"/>
  <c r="Y606" i="3"/>
  <c r="D608" i="3" l="1"/>
  <c r="G608" i="3" s="1"/>
  <c r="K608" i="3"/>
  <c r="AE608" i="3" s="1"/>
  <c r="F608" i="3" l="1"/>
  <c r="I608" i="3"/>
  <c r="J608" i="3"/>
  <c r="AD608" i="3" s="1"/>
  <c r="M608" i="3"/>
  <c r="N608" i="3" s="1"/>
  <c r="V608" i="3"/>
  <c r="A609" i="3"/>
  <c r="B609" i="3" s="1"/>
  <c r="L608" i="3" l="1"/>
  <c r="W608" i="3"/>
  <c r="Z609" i="3"/>
  <c r="P609" i="3"/>
  <c r="Q609" i="3" s="1"/>
  <c r="R609" i="3" s="1"/>
  <c r="S609" i="3" s="1"/>
  <c r="AC609" i="3"/>
  <c r="AA609" i="3"/>
  <c r="AD609" i="3"/>
  <c r="U608" i="3" l="1"/>
  <c r="Y607" i="3"/>
  <c r="T609" i="3"/>
  <c r="AG609" i="3" s="1"/>
  <c r="E609" i="3" l="1"/>
  <c r="H609" i="3" s="1"/>
  <c r="D609" i="3"/>
  <c r="AH609" i="3"/>
  <c r="K609" i="3" l="1"/>
  <c r="AE609" i="3" s="1"/>
  <c r="F609" i="3"/>
  <c r="G609" i="3"/>
  <c r="I609" i="3" l="1"/>
  <c r="J609" i="3"/>
  <c r="M609" i="3"/>
  <c r="N609" i="3" s="1"/>
  <c r="V609" i="3"/>
  <c r="A610" i="3"/>
  <c r="B610" i="3" s="1"/>
  <c r="L609" i="3" l="1"/>
  <c r="W609" i="3"/>
  <c r="AA610" i="3"/>
  <c r="P610" i="3"/>
  <c r="Q610" i="3" s="1"/>
  <c r="R610" i="3" s="1"/>
  <c r="S610" i="3" s="1"/>
  <c r="Z610" i="3"/>
  <c r="AC610" i="3"/>
  <c r="AD610" i="3"/>
  <c r="U609" i="3" l="1"/>
  <c r="Y608" i="3"/>
  <c r="T610" i="3"/>
  <c r="AG610" i="3" s="1"/>
  <c r="AH610" i="3" l="1"/>
  <c r="D610" i="3"/>
  <c r="G610" i="3" s="1"/>
  <c r="E610" i="3"/>
  <c r="H610" i="3" s="1"/>
  <c r="K610" i="3" s="1"/>
  <c r="AE610" i="3" s="1"/>
  <c r="F610" i="3" l="1"/>
  <c r="I610" i="3"/>
  <c r="J610" i="3"/>
  <c r="M610" i="3"/>
  <c r="N610" i="3" s="1"/>
  <c r="V610" i="3"/>
  <c r="A611" i="3"/>
  <c r="B611" i="3" s="1"/>
  <c r="W610" i="3" l="1"/>
  <c r="L610" i="3"/>
  <c r="AA611" i="3"/>
  <c r="P611" i="3"/>
  <c r="Q611" i="3" s="1"/>
  <c r="R611" i="3" s="1"/>
  <c r="S611" i="3" s="1"/>
  <c r="AC611" i="3"/>
  <c r="AD611" i="3"/>
  <c r="Z611" i="3"/>
  <c r="T611" i="3" l="1"/>
  <c r="U610" i="3"/>
  <c r="Y609" i="3"/>
  <c r="E611" i="3" l="1"/>
  <c r="H611" i="3" s="1"/>
  <c r="K611" i="3" s="1"/>
  <c r="AE611" i="3" s="1"/>
  <c r="AH611" i="3"/>
  <c r="AG611" i="3"/>
  <c r="D611" i="3"/>
  <c r="V611" i="3" l="1"/>
  <c r="A612" i="3"/>
  <c r="B612" i="3" s="1"/>
  <c r="F611" i="3"/>
  <c r="G611" i="3"/>
  <c r="I611" i="3" l="1"/>
  <c r="W611" i="3" s="1"/>
  <c r="J611" i="3"/>
  <c r="M611" i="3"/>
  <c r="N611" i="3" s="1"/>
  <c r="Z612" i="3"/>
  <c r="P612" i="3"/>
  <c r="Q612" i="3" s="1"/>
  <c r="R612" i="3" s="1"/>
  <c r="S612" i="3" s="1"/>
  <c r="AD612" i="3"/>
  <c r="AC612" i="3"/>
  <c r="AA612" i="3"/>
  <c r="T612" i="3" l="1"/>
  <c r="L611" i="3"/>
  <c r="U611" i="3" l="1"/>
  <c r="E612" i="3" s="1"/>
  <c r="H612" i="3" s="1"/>
  <c r="AH612" i="3"/>
  <c r="AG612" i="3"/>
  <c r="Y610" i="3"/>
  <c r="D612" i="3" l="1"/>
  <c r="G612" i="3" s="1"/>
  <c r="K612" i="3"/>
  <c r="AE612" i="3" s="1"/>
  <c r="F612" i="3" l="1"/>
  <c r="V612" i="3"/>
  <c r="A613" i="3"/>
  <c r="B613" i="3" s="1"/>
  <c r="I612" i="3"/>
  <c r="J612" i="3"/>
  <c r="M612" i="3"/>
  <c r="N612" i="3" s="1"/>
  <c r="W612" i="3" l="1"/>
  <c r="L612" i="3"/>
  <c r="P613" i="3"/>
  <c r="Q613" i="3" s="1"/>
  <c r="R613" i="3" s="1"/>
  <c r="S613" i="3" s="1"/>
  <c r="AD613" i="3"/>
  <c r="AA613" i="3"/>
  <c r="Z613" i="3"/>
  <c r="AC613" i="3"/>
  <c r="U612" i="3" l="1"/>
  <c r="Y611" i="3"/>
  <c r="T613" i="3"/>
  <c r="AG613" i="3" s="1"/>
  <c r="D613" i="3" l="1"/>
  <c r="AH613" i="3"/>
  <c r="E613" i="3"/>
  <c r="H613" i="3" s="1"/>
  <c r="F613" i="3" l="1"/>
  <c r="G613" i="3"/>
  <c r="K613" i="3"/>
  <c r="AE613" i="3" s="1"/>
  <c r="V613" i="3" l="1"/>
  <c r="A614" i="3"/>
  <c r="B614" i="3" s="1"/>
  <c r="I613" i="3"/>
  <c r="J613" i="3"/>
  <c r="M613" i="3"/>
  <c r="N613" i="3" s="1"/>
  <c r="W613" i="3" l="1"/>
  <c r="L613" i="3"/>
  <c r="AC614" i="3"/>
  <c r="AA614" i="3"/>
  <c r="Z614" i="3"/>
  <c r="P614" i="3"/>
  <c r="Q614" i="3" s="1"/>
  <c r="R614" i="3" s="1"/>
  <c r="S614" i="3" s="1"/>
  <c r="U613" i="3" l="1"/>
  <c r="Y612" i="3"/>
  <c r="T614" i="3"/>
  <c r="AG614" i="3" s="1"/>
  <c r="D614" i="3" l="1"/>
  <c r="G614" i="3" s="1"/>
  <c r="E614" i="3"/>
  <c r="H614" i="3" s="1"/>
  <c r="K614" i="3" s="1"/>
  <c r="AE614" i="3" s="1"/>
  <c r="AH614" i="3"/>
  <c r="F614" i="3" l="1"/>
  <c r="I614" i="3"/>
  <c r="J614" i="3"/>
  <c r="AD614" i="3" s="1"/>
  <c r="M614" i="3"/>
  <c r="N614" i="3" s="1"/>
  <c r="V614" i="3"/>
  <c r="A615" i="3"/>
  <c r="B615" i="3" s="1"/>
  <c r="L614" i="3" l="1"/>
  <c r="W614" i="3"/>
  <c r="P615" i="3"/>
  <c r="Q615" i="3" s="1"/>
  <c r="R615" i="3" s="1"/>
  <c r="S615" i="3" s="1"/>
  <c r="AC615" i="3"/>
  <c r="Z615" i="3"/>
  <c r="AA615" i="3"/>
  <c r="AD615" i="3"/>
  <c r="U614" i="3" l="1"/>
  <c r="Y613" i="3"/>
  <c r="T615" i="3"/>
  <c r="AH615" i="3" s="1"/>
  <c r="E615" i="3" l="1"/>
  <c r="H615" i="3" s="1"/>
  <c r="K615" i="3" s="1"/>
  <c r="AE615" i="3" s="1"/>
  <c r="AG615" i="3"/>
  <c r="D615" i="3"/>
  <c r="F615" i="3" l="1"/>
  <c r="G615" i="3"/>
  <c r="V615" i="3"/>
  <c r="A616" i="3"/>
  <c r="B616" i="3" s="1"/>
  <c r="AD616" i="3" l="1"/>
  <c r="P616" i="3"/>
  <c r="Q616" i="3" s="1"/>
  <c r="R616" i="3" s="1"/>
  <c r="S616" i="3" s="1"/>
  <c r="Z616" i="3"/>
  <c r="AC616" i="3"/>
  <c r="AA616" i="3"/>
  <c r="I615" i="3"/>
  <c r="W615" i="3" s="1"/>
  <c r="J615" i="3"/>
  <c r="M615" i="3"/>
  <c r="N615" i="3" s="1"/>
  <c r="L615" i="3" l="1"/>
  <c r="T616" i="3"/>
  <c r="U615" i="3" l="1"/>
  <c r="D616" i="3" s="1"/>
  <c r="AH616" i="3"/>
  <c r="AG616" i="3"/>
  <c r="Y614" i="3"/>
  <c r="E616" i="3" l="1"/>
  <c r="H616" i="3" s="1"/>
  <c r="K616" i="3" s="1"/>
  <c r="AE616" i="3" s="1"/>
  <c r="G616" i="3"/>
  <c r="F616" i="3" l="1"/>
  <c r="I616" i="3"/>
  <c r="J616" i="3"/>
  <c r="M616" i="3"/>
  <c r="N616" i="3" s="1"/>
  <c r="V616" i="3"/>
  <c r="A617" i="3"/>
  <c r="B617" i="3" s="1"/>
  <c r="W616" i="3" l="1"/>
  <c r="L616" i="3"/>
  <c r="Z617" i="3"/>
  <c r="AC617" i="3"/>
  <c r="P617" i="3"/>
  <c r="Q617" i="3" s="1"/>
  <c r="R617" i="3" s="1"/>
  <c r="S617" i="3" s="1"/>
  <c r="AA617" i="3"/>
  <c r="U616" i="3" l="1"/>
  <c r="Y615" i="3"/>
  <c r="T617" i="3"/>
  <c r="AG617" i="3" s="1"/>
  <c r="D617" i="3" l="1"/>
  <c r="G617" i="3" s="1"/>
  <c r="E617" i="3"/>
  <c r="H617" i="3" s="1"/>
  <c r="K617" i="3" s="1"/>
  <c r="AE617" i="3" s="1"/>
  <c r="AH617" i="3"/>
  <c r="F617" i="3" l="1"/>
  <c r="I617" i="3"/>
  <c r="J617" i="3"/>
  <c r="AD617" i="3" s="1"/>
  <c r="M617" i="3"/>
  <c r="N617" i="3" s="1"/>
  <c r="V617" i="3"/>
  <c r="A618" i="3"/>
  <c r="B618" i="3" s="1"/>
  <c r="W617" i="3" l="1"/>
  <c r="L617" i="3"/>
  <c r="P618" i="3"/>
  <c r="Q618" i="3" s="1"/>
  <c r="R618" i="3" s="1"/>
  <c r="S618" i="3" s="1"/>
  <c r="Z618" i="3"/>
  <c r="AC618" i="3"/>
  <c r="AA618" i="3"/>
  <c r="U617" i="3" l="1"/>
  <c r="Y616" i="3"/>
  <c r="T618" i="3"/>
  <c r="E618" i="3" l="1"/>
  <c r="H618" i="3" s="1"/>
  <c r="K618" i="3" s="1"/>
  <c r="AE618" i="3" s="1"/>
  <c r="AG618" i="3"/>
  <c r="D618" i="3"/>
  <c r="AH618" i="3"/>
  <c r="F618" i="3" l="1"/>
  <c r="G618" i="3"/>
  <c r="V618" i="3"/>
  <c r="A619" i="3"/>
  <c r="B619" i="3" s="1"/>
  <c r="P619" i="3" l="1"/>
  <c r="Q619" i="3" s="1"/>
  <c r="R619" i="3" s="1"/>
  <c r="S619" i="3" s="1"/>
  <c r="AD619" i="3"/>
  <c r="AA619" i="3"/>
  <c r="AC619" i="3"/>
  <c r="Z619" i="3"/>
  <c r="I618" i="3"/>
  <c r="W618" i="3" s="1"/>
  <c r="J618" i="3"/>
  <c r="AD618" i="3" s="1"/>
  <c r="M618" i="3"/>
  <c r="N618" i="3" s="1"/>
  <c r="T619" i="3" l="1"/>
  <c r="L618" i="3"/>
  <c r="AH619" i="3" l="1"/>
  <c r="AG619" i="3"/>
  <c r="U618" i="3"/>
  <c r="D619" i="3" s="1"/>
  <c r="Y617" i="3"/>
  <c r="E619" i="3" l="1"/>
  <c r="H619" i="3" s="1"/>
  <c r="K619" i="3" s="1"/>
  <c r="AE619" i="3" s="1"/>
  <c r="G619" i="3"/>
  <c r="F619" i="3" l="1"/>
  <c r="I619" i="3"/>
  <c r="J619" i="3"/>
  <c r="M619" i="3"/>
  <c r="N619" i="3" s="1"/>
  <c r="V619" i="3"/>
  <c r="A620" i="3"/>
  <c r="B620" i="3" s="1"/>
  <c r="W619" i="3" l="1"/>
  <c r="L619" i="3"/>
  <c r="AC620" i="3"/>
  <c r="AD620" i="3"/>
  <c r="P620" i="3"/>
  <c r="Q620" i="3" s="1"/>
  <c r="R620" i="3" s="1"/>
  <c r="S620" i="3" s="1"/>
  <c r="AA620" i="3"/>
  <c r="Z620" i="3"/>
  <c r="T620" i="3" l="1"/>
  <c r="AH620" i="3" s="1"/>
  <c r="U619" i="3"/>
  <c r="Y618" i="3"/>
  <c r="E620" i="3" l="1"/>
  <c r="H620" i="3" s="1"/>
  <c r="K620" i="3" s="1"/>
  <c r="AE620" i="3" s="1"/>
  <c r="D620" i="3"/>
  <c r="G620" i="3" s="1"/>
  <c r="AG620" i="3"/>
  <c r="F620" i="3" l="1"/>
  <c r="I620" i="3"/>
  <c r="J620" i="3"/>
  <c r="M620" i="3"/>
  <c r="N620" i="3" s="1"/>
  <c r="V620" i="3"/>
  <c r="A621" i="3"/>
  <c r="B621" i="3" s="1"/>
  <c r="W620" i="3" l="1"/>
  <c r="L620" i="3"/>
  <c r="AD621" i="3"/>
  <c r="AC621" i="3"/>
  <c r="AA621" i="3"/>
  <c r="P621" i="3"/>
  <c r="Q621" i="3" s="1"/>
  <c r="R621" i="3" s="1"/>
  <c r="S621" i="3" s="1"/>
  <c r="Z621" i="3"/>
  <c r="U620" i="3" l="1"/>
  <c r="Y619" i="3"/>
  <c r="T621" i="3"/>
  <c r="D621" i="3" l="1"/>
  <c r="G621" i="3" s="1"/>
  <c r="AH621" i="3"/>
  <c r="E621" i="3"/>
  <c r="H621" i="3" s="1"/>
  <c r="AG621" i="3"/>
  <c r="F621" i="3" l="1"/>
  <c r="I621" i="3"/>
  <c r="J621" i="3"/>
  <c r="M621" i="3"/>
  <c r="N621" i="3" s="1"/>
  <c r="K621" i="3"/>
  <c r="AE621" i="3" s="1"/>
  <c r="V621" i="3" l="1"/>
  <c r="W621" i="3" s="1"/>
  <c r="A622" i="3"/>
  <c r="B622" i="3" s="1"/>
  <c r="L621" i="3"/>
  <c r="U621" i="3" l="1"/>
  <c r="Y620" i="3"/>
  <c r="AA622" i="3"/>
  <c r="AC622" i="3"/>
  <c r="P622" i="3"/>
  <c r="Q622" i="3" s="1"/>
  <c r="R622" i="3" s="1"/>
  <c r="S622" i="3" s="1"/>
  <c r="Z622" i="3"/>
  <c r="AD622" i="3"/>
  <c r="T622" i="3" l="1"/>
  <c r="AG622" i="3" s="1"/>
  <c r="D622" i="3" l="1"/>
  <c r="E622" i="3"/>
  <c r="H622" i="3" s="1"/>
  <c r="K622" i="3" s="1"/>
  <c r="AE622" i="3" s="1"/>
  <c r="AH622" i="3"/>
  <c r="F622" i="3" l="1"/>
  <c r="G622" i="3"/>
  <c r="I622" i="3" s="1"/>
  <c r="V622" i="3"/>
  <c r="A623" i="3"/>
  <c r="B623" i="3" s="1"/>
  <c r="M622" i="3" l="1"/>
  <c r="N622" i="3" s="1"/>
  <c r="J622" i="3"/>
  <c r="L622" i="3" s="1"/>
  <c r="W622" i="3"/>
  <c r="P623" i="3"/>
  <c r="Q623" i="3" s="1"/>
  <c r="R623" i="3" s="1"/>
  <c r="S623" i="3" s="1"/>
  <c r="Z623" i="3"/>
  <c r="AD623" i="3"/>
  <c r="AA623" i="3"/>
  <c r="AC623" i="3"/>
  <c r="U622" i="3" l="1"/>
  <c r="Y621" i="3"/>
  <c r="T623" i="3"/>
  <c r="D623" i="3" l="1"/>
  <c r="G623" i="3" s="1"/>
  <c r="AH623" i="3"/>
  <c r="AG623" i="3"/>
  <c r="E623" i="3"/>
  <c r="H623" i="3" s="1"/>
  <c r="K623" i="3" l="1"/>
  <c r="AE623" i="3" s="1"/>
  <c r="I623" i="3"/>
  <c r="J623" i="3"/>
  <c r="M623" i="3"/>
  <c r="N623" i="3" s="1"/>
  <c r="F623" i="3"/>
  <c r="L623" i="3" l="1"/>
  <c r="V623" i="3"/>
  <c r="W623" i="3" s="1"/>
  <c r="A624" i="3"/>
  <c r="B624" i="3" s="1"/>
  <c r="U623" i="3" l="1"/>
  <c r="Y622" i="3"/>
  <c r="AA624" i="3"/>
  <c r="Z624" i="3"/>
  <c r="AC624" i="3"/>
  <c r="P624" i="3"/>
  <c r="Q624" i="3" s="1"/>
  <c r="R624" i="3" s="1"/>
  <c r="S624" i="3" s="1"/>
  <c r="T624" i="3" l="1"/>
  <c r="D624" i="3" s="1"/>
  <c r="AG624" i="3" l="1"/>
  <c r="AH624" i="3"/>
  <c r="E624" i="3"/>
  <c r="H624" i="3" s="1"/>
  <c r="K624" i="3" s="1"/>
  <c r="AE624" i="3" s="1"/>
  <c r="G624" i="3"/>
  <c r="F624" i="3" l="1"/>
  <c r="I624" i="3"/>
  <c r="J624" i="3"/>
  <c r="AD624" i="3" s="1"/>
  <c r="M624" i="3"/>
  <c r="N624" i="3" s="1"/>
  <c r="V624" i="3"/>
  <c r="A625" i="3"/>
  <c r="B625" i="3" s="1"/>
  <c r="W624" i="3" l="1"/>
  <c r="L624" i="3"/>
  <c r="P625" i="3"/>
  <c r="Q625" i="3" s="1"/>
  <c r="R625" i="3" s="1"/>
  <c r="S625" i="3" s="1"/>
  <c r="AD625" i="3"/>
  <c r="AA625" i="3"/>
  <c r="Z625" i="3"/>
  <c r="AC625" i="3"/>
  <c r="U624" i="3" l="1"/>
  <c r="Y623" i="3"/>
  <c r="T625" i="3"/>
  <c r="D625" i="3" l="1"/>
  <c r="G625" i="3" s="1"/>
  <c r="E625" i="3"/>
  <c r="H625" i="3" s="1"/>
  <c r="AH625" i="3"/>
  <c r="AG625" i="3"/>
  <c r="F625" i="3" l="1"/>
  <c r="I625" i="3"/>
  <c r="J625" i="3"/>
  <c r="M625" i="3"/>
  <c r="N625" i="3" s="1"/>
  <c r="K625" i="3"/>
  <c r="AE625" i="3" s="1"/>
  <c r="V625" i="3" l="1"/>
  <c r="W625" i="3" s="1"/>
  <c r="A626" i="3"/>
  <c r="B626" i="3" s="1"/>
  <c r="L625" i="3"/>
  <c r="U625" i="3" l="1"/>
  <c r="Y624" i="3"/>
  <c r="AD626" i="3"/>
  <c r="Z626" i="3"/>
  <c r="AC626" i="3"/>
  <c r="P626" i="3"/>
  <c r="Q626" i="3" s="1"/>
  <c r="R626" i="3" s="1"/>
  <c r="S626" i="3" s="1"/>
  <c r="AA626" i="3"/>
  <c r="T626" i="3" l="1"/>
  <c r="E626" i="3" s="1"/>
  <c r="H626" i="3" s="1"/>
  <c r="AG626" i="3" l="1"/>
  <c r="K626" i="3"/>
  <c r="AE626" i="3" s="1"/>
  <c r="D626" i="3"/>
  <c r="AH626" i="3"/>
  <c r="V626" i="3" l="1"/>
  <c r="A627" i="3"/>
  <c r="B627" i="3" s="1"/>
  <c r="F626" i="3"/>
  <c r="G626" i="3"/>
  <c r="I626" i="3" l="1"/>
  <c r="W626" i="3" s="1"/>
  <c r="J626" i="3"/>
  <c r="M626" i="3"/>
  <c r="N626" i="3" s="1"/>
  <c r="Z627" i="3"/>
  <c r="P627" i="3"/>
  <c r="Q627" i="3" s="1"/>
  <c r="R627" i="3" s="1"/>
  <c r="S627" i="3" s="1"/>
  <c r="AC627" i="3"/>
  <c r="AA627" i="3"/>
  <c r="L626" i="3" l="1"/>
  <c r="T627" i="3"/>
  <c r="AG627" i="3" l="1"/>
  <c r="U626" i="3"/>
  <c r="D627" i="3" s="1"/>
  <c r="AH627" i="3"/>
  <c r="Y625" i="3"/>
  <c r="G627" i="3" l="1"/>
  <c r="E627" i="3"/>
  <c r="H627" i="3" s="1"/>
  <c r="K627" i="3" l="1"/>
  <c r="AE627" i="3" s="1"/>
  <c r="I627" i="3"/>
  <c r="J627" i="3"/>
  <c r="AD627" i="3" s="1"/>
  <c r="M627" i="3"/>
  <c r="N627" i="3" s="1"/>
  <c r="F627" i="3"/>
  <c r="L627" i="3" l="1"/>
  <c r="V627" i="3"/>
  <c r="W627" i="3" s="1"/>
  <c r="A628" i="3"/>
  <c r="B628" i="3" s="1"/>
  <c r="Z628" i="3" l="1"/>
  <c r="AA628" i="3"/>
  <c r="P628" i="3"/>
  <c r="Q628" i="3" s="1"/>
  <c r="R628" i="3" s="1"/>
  <c r="S628" i="3" s="1"/>
  <c r="AC628" i="3"/>
  <c r="U627" i="3"/>
  <c r="Y626" i="3"/>
  <c r="T628" i="3" l="1"/>
  <c r="D628" i="3" l="1"/>
  <c r="E628" i="3"/>
  <c r="H628" i="3" s="1"/>
  <c r="AG628" i="3"/>
  <c r="AH628" i="3"/>
  <c r="F628" i="3" l="1"/>
  <c r="G628" i="3"/>
  <c r="K628" i="3"/>
  <c r="AE628" i="3" s="1"/>
  <c r="I628" i="3" l="1"/>
  <c r="J628" i="3"/>
  <c r="AD628" i="3" s="1"/>
  <c r="M628" i="3"/>
  <c r="N628" i="3" s="1"/>
  <c r="V628" i="3"/>
  <c r="A629" i="3"/>
  <c r="B629" i="3" s="1"/>
  <c r="W628" i="3" l="1"/>
  <c r="L628" i="3"/>
  <c r="AC629" i="3"/>
  <c r="AA629" i="3"/>
  <c r="P629" i="3"/>
  <c r="Q629" i="3" s="1"/>
  <c r="R629" i="3" s="1"/>
  <c r="S629" i="3" s="1"/>
  <c r="AD629" i="3"/>
  <c r="Z629" i="3"/>
  <c r="T629" i="3" l="1"/>
  <c r="U628" i="3"/>
  <c r="Y627" i="3"/>
  <c r="E629" i="3" l="1"/>
  <c r="H629" i="3" s="1"/>
  <c r="K629" i="3" s="1"/>
  <c r="AE629" i="3" s="1"/>
  <c r="AH629" i="3"/>
  <c r="AG629" i="3"/>
  <c r="D629" i="3"/>
  <c r="F629" i="3" l="1"/>
  <c r="G629" i="3"/>
  <c r="V629" i="3"/>
  <c r="A630" i="3"/>
  <c r="B630" i="3" s="1"/>
  <c r="I629" i="3" l="1"/>
  <c r="W629" i="3" s="1"/>
  <c r="J629" i="3"/>
  <c r="M629" i="3"/>
  <c r="N629" i="3" s="1"/>
  <c r="AD630" i="3"/>
  <c r="P630" i="3"/>
  <c r="Q630" i="3" s="1"/>
  <c r="R630" i="3" s="1"/>
  <c r="S630" i="3" s="1"/>
  <c r="AC630" i="3"/>
  <c r="AA630" i="3"/>
  <c r="Z630" i="3"/>
  <c r="T630" i="3" l="1"/>
  <c r="L629" i="3"/>
  <c r="U629" i="3" l="1"/>
  <c r="D630" i="3" s="1"/>
  <c r="AH630" i="3"/>
  <c r="AG630" i="3"/>
  <c r="Y628" i="3"/>
  <c r="G630" i="3" l="1"/>
  <c r="E630" i="3"/>
  <c r="H630" i="3" s="1"/>
  <c r="F630" i="3" l="1"/>
  <c r="K630" i="3"/>
  <c r="AE630" i="3" s="1"/>
  <c r="I630" i="3"/>
  <c r="J630" i="3"/>
  <c r="M630" i="3"/>
  <c r="N630" i="3" s="1"/>
  <c r="V630" i="3" l="1"/>
  <c r="W630" i="3" s="1"/>
  <c r="A631" i="3"/>
  <c r="B631" i="3" s="1"/>
  <c r="L630" i="3"/>
  <c r="U630" i="3" l="1"/>
  <c r="Y629" i="3"/>
  <c r="AD631" i="3"/>
  <c r="P631" i="3"/>
  <c r="Q631" i="3" s="1"/>
  <c r="R631" i="3" s="1"/>
  <c r="S631" i="3" s="1"/>
  <c r="AC631" i="3"/>
  <c r="AA631" i="3"/>
  <c r="Z631" i="3"/>
  <c r="T631" i="3" l="1"/>
  <c r="D631" i="3" s="1"/>
  <c r="AH631" i="3" l="1"/>
  <c r="E631" i="3"/>
  <c r="H631" i="3" s="1"/>
  <c r="K631" i="3" s="1"/>
  <c r="AE631" i="3" s="1"/>
  <c r="G631" i="3"/>
  <c r="AG631" i="3"/>
  <c r="F631" i="3" l="1"/>
  <c r="I631" i="3"/>
  <c r="J631" i="3"/>
  <c r="M631" i="3"/>
  <c r="N631" i="3" s="1"/>
  <c r="V631" i="3"/>
  <c r="A632" i="3"/>
  <c r="B632" i="3" s="1"/>
  <c r="L631" i="3" l="1"/>
  <c r="W631" i="3"/>
  <c r="AC632" i="3"/>
  <c r="AA632" i="3"/>
  <c r="Z632" i="3"/>
  <c r="P632" i="3"/>
  <c r="Q632" i="3" s="1"/>
  <c r="R632" i="3" s="1"/>
  <c r="S632" i="3" s="1"/>
  <c r="AD632" i="3"/>
  <c r="T632" i="3" l="1"/>
  <c r="U631" i="3"/>
  <c r="Y630" i="3"/>
  <c r="D632" i="3" l="1"/>
  <c r="G632" i="3" s="1"/>
  <c r="E632" i="3"/>
  <c r="H632" i="3" s="1"/>
  <c r="K632" i="3" s="1"/>
  <c r="AE632" i="3" s="1"/>
  <c r="AG632" i="3"/>
  <c r="AH632" i="3"/>
  <c r="F632" i="3" l="1"/>
  <c r="I632" i="3"/>
  <c r="J632" i="3"/>
  <c r="M632" i="3"/>
  <c r="N632" i="3" s="1"/>
  <c r="V632" i="3"/>
  <c r="A633" i="3"/>
  <c r="B633" i="3" s="1"/>
  <c r="W632" i="3" l="1"/>
  <c r="L632" i="3"/>
  <c r="AD633" i="3"/>
  <c r="Z633" i="3"/>
  <c r="AC633" i="3"/>
  <c r="P633" i="3"/>
  <c r="Q633" i="3" s="1"/>
  <c r="R633" i="3" s="1"/>
  <c r="S633" i="3" s="1"/>
  <c r="AA633" i="3"/>
  <c r="U632" i="3" l="1"/>
  <c r="Y631" i="3"/>
  <c r="T633" i="3"/>
  <c r="AG633" i="3" s="1"/>
  <c r="D633" i="3" l="1"/>
  <c r="G633" i="3" s="1"/>
  <c r="E633" i="3"/>
  <c r="H633" i="3" s="1"/>
  <c r="K633" i="3" s="1"/>
  <c r="AE633" i="3" s="1"/>
  <c r="AH633" i="3"/>
  <c r="F633" i="3" l="1"/>
  <c r="V633" i="3"/>
  <c r="A634" i="3"/>
  <c r="B634" i="3" s="1"/>
  <c r="I633" i="3"/>
  <c r="J633" i="3"/>
  <c r="M633" i="3"/>
  <c r="N633" i="3" s="1"/>
  <c r="L633" i="3" l="1"/>
  <c r="W633" i="3"/>
  <c r="P634" i="3"/>
  <c r="Q634" i="3" s="1"/>
  <c r="R634" i="3" s="1"/>
  <c r="S634" i="3" s="1"/>
  <c r="AA634" i="3"/>
  <c r="AC634" i="3"/>
  <c r="Z634" i="3"/>
  <c r="U633" i="3" l="1"/>
  <c r="Y632" i="3"/>
  <c r="T634" i="3"/>
  <c r="AH634" i="3" s="1"/>
  <c r="E634" i="3" l="1"/>
  <c r="H634" i="3" s="1"/>
  <c r="K634" i="3" s="1"/>
  <c r="AE634" i="3" s="1"/>
  <c r="AG634" i="3"/>
  <c r="D634" i="3"/>
  <c r="F634" i="3" l="1"/>
  <c r="G634" i="3"/>
  <c r="V634" i="3"/>
  <c r="A635" i="3"/>
  <c r="B635" i="3" s="1"/>
  <c r="Z635" i="3" l="1"/>
  <c r="AA635" i="3"/>
  <c r="P635" i="3"/>
  <c r="Q635" i="3" s="1"/>
  <c r="R635" i="3" s="1"/>
  <c r="S635" i="3" s="1"/>
  <c r="AD635" i="3"/>
  <c r="AC635" i="3"/>
  <c r="I634" i="3"/>
  <c r="W634" i="3" s="1"/>
  <c r="J634" i="3"/>
  <c r="AD634" i="3" s="1"/>
  <c r="M634" i="3"/>
  <c r="N634" i="3" s="1"/>
  <c r="T635" i="3" l="1"/>
  <c r="L634" i="3"/>
  <c r="AH635" i="3" l="1"/>
  <c r="U634" i="3"/>
  <c r="D635" i="3" s="1"/>
  <c r="AG635" i="3"/>
  <c r="Y633" i="3"/>
  <c r="E635" i="3" l="1"/>
  <c r="H635" i="3" s="1"/>
  <c r="K635" i="3" s="1"/>
  <c r="AE635" i="3" s="1"/>
  <c r="G635" i="3"/>
  <c r="F635" i="3" l="1"/>
  <c r="I635" i="3"/>
  <c r="J635" i="3"/>
  <c r="M635" i="3"/>
  <c r="N635" i="3" s="1"/>
  <c r="V635" i="3"/>
  <c r="A636" i="3"/>
  <c r="B636" i="3" s="1"/>
  <c r="W635" i="3" l="1"/>
  <c r="L635" i="3"/>
  <c r="AC636" i="3"/>
  <c r="AD636" i="3"/>
  <c r="AA636" i="3"/>
  <c r="P636" i="3"/>
  <c r="Q636" i="3" s="1"/>
  <c r="R636" i="3" s="1"/>
  <c r="S636" i="3" s="1"/>
  <c r="Z636" i="3"/>
  <c r="U635" i="3" l="1"/>
  <c r="Y634" i="3"/>
  <c r="T636" i="3"/>
  <c r="AG636" i="3" s="1"/>
  <c r="AH636" i="3" l="1"/>
  <c r="D636" i="3"/>
  <c r="E636" i="3"/>
  <c r="H636" i="3" s="1"/>
  <c r="F636" i="3" l="1"/>
  <c r="G636" i="3"/>
  <c r="K636" i="3"/>
  <c r="AE636" i="3" s="1"/>
  <c r="I636" i="3" l="1"/>
  <c r="J636" i="3"/>
  <c r="M636" i="3"/>
  <c r="N636" i="3" s="1"/>
  <c r="V636" i="3"/>
  <c r="A637" i="3"/>
  <c r="B637" i="3" s="1"/>
  <c r="W636" i="3" l="1"/>
  <c r="L636" i="3"/>
  <c r="Z637" i="3"/>
  <c r="P637" i="3"/>
  <c r="Q637" i="3" s="1"/>
  <c r="R637" i="3" s="1"/>
  <c r="S637" i="3" s="1"/>
  <c r="AC637" i="3"/>
  <c r="AA637" i="3"/>
  <c r="U636" i="3" l="1"/>
  <c r="Y635" i="3"/>
  <c r="T637" i="3"/>
  <c r="AG637" i="3" s="1"/>
  <c r="D637" i="3" l="1"/>
  <c r="AH637" i="3"/>
  <c r="E637" i="3"/>
  <c r="H637" i="3" s="1"/>
  <c r="F637" i="3" l="1"/>
  <c r="G637" i="3"/>
  <c r="K637" i="3"/>
  <c r="AE637" i="3" s="1"/>
  <c r="I637" i="3" l="1"/>
  <c r="J637" i="3"/>
  <c r="AD637" i="3" s="1"/>
  <c r="M637" i="3"/>
  <c r="N637" i="3" s="1"/>
  <c r="V637" i="3"/>
  <c r="A638" i="3"/>
  <c r="B638" i="3" s="1"/>
  <c r="W637" i="3" l="1"/>
  <c r="L637" i="3"/>
  <c r="P638" i="3"/>
  <c r="Q638" i="3" s="1"/>
  <c r="R638" i="3" s="1"/>
  <c r="S638" i="3" s="1"/>
  <c r="AC638" i="3"/>
  <c r="AA638" i="3"/>
  <c r="Z638" i="3"/>
  <c r="T638" i="3" l="1"/>
  <c r="AG638" i="3" s="1"/>
  <c r="U637" i="3"/>
  <c r="Y636" i="3"/>
  <c r="D638" i="3" l="1"/>
  <c r="G638" i="3" s="1"/>
  <c r="E638" i="3"/>
  <c r="H638" i="3" s="1"/>
  <c r="AH638" i="3"/>
  <c r="F638" i="3" l="1"/>
  <c r="I638" i="3"/>
  <c r="J638" i="3"/>
  <c r="AD638" i="3" s="1"/>
  <c r="M638" i="3"/>
  <c r="N638" i="3" s="1"/>
  <c r="K638" i="3"/>
  <c r="AE638" i="3" s="1"/>
  <c r="V638" i="3" l="1"/>
  <c r="W638" i="3" s="1"/>
  <c r="A639" i="3"/>
  <c r="B639" i="3" s="1"/>
  <c r="L638" i="3"/>
  <c r="U638" i="3" l="1"/>
  <c r="Y637" i="3"/>
  <c r="AC639" i="3"/>
  <c r="P639" i="3"/>
  <c r="Q639" i="3" s="1"/>
  <c r="R639" i="3" s="1"/>
  <c r="S639" i="3" s="1"/>
  <c r="AA639" i="3"/>
  <c r="AD639" i="3"/>
  <c r="Z639" i="3"/>
  <c r="T639" i="3" l="1"/>
  <c r="D639" i="3" s="1"/>
  <c r="AG639" i="3" l="1"/>
  <c r="E639" i="3"/>
  <c r="H639" i="3" s="1"/>
  <c r="K639" i="3" s="1"/>
  <c r="AE639" i="3" s="1"/>
  <c r="AH639" i="3"/>
  <c r="G639" i="3"/>
  <c r="F639" i="3" l="1"/>
  <c r="V639" i="3"/>
  <c r="A640" i="3"/>
  <c r="B640" i="3" s="1"/>
  <c r="I639" i="3"/>
  <c r="J639" i="3"/>
  <c r="M639" i="3"/>
  <c r="N639" i="3" s="1"/>
  <c r="W639" i="3" l="1"/>
  <c r="L639" i="3"/>
  <c r="AD640" i="3"/>
  <c r="P640" i="3"/>
  <c r="Q640" i="3" s="1"/>
  <c r="R640" i="3" s="1"/>
  <c r="S640" i="3" s="1"/>
  <c r="AA640" i="3"/>
  <c r="AC640" i="3"/>
  <c r="Z640" i="3"/>
  <c r="U639" i="3" l="1"/>
  <c r="Y638" i="3"/>
  <c r="T640" i="3"/>
  <c r="E640" i="3" l="1"/>
  <c r="H640" i="3" s="1"/>
  <c r="K640" i="3" s="1"/>
  <c r="AE640" i="3" s="1"/>
  <c r="D640" i="3"/>
  <c r="AG640" i="3"/>
  <c r="AH640" i="3"/>
  <c r="F640" i="3" l="1"/>
  <c r="G640" i="3"/>
  <c r="V640" i="3"/>
  <c r="A641" i="3"/>
  <c r="B641" i="3" s="1"/>
  <c r="AC641" i="3" l="1"/>
  <c r="AA641" i="3"/>
  <c r="AD641" i="3"/>
  <c r="Z641" i="3"/>
  <c r="P641" i="3"/>
  <c r="Q641" i="3" s="1"/>
  <c r="R641" i="3" s="1"/>
  <c r="S641" i="3" s="1"/>
  <c r="I640" i="3"/>
  <c r="W640" i="3" s="1"/>
  <c r="J640" i="3"/>
  <c r="M640" i="3"/>
  <c r="N640" i="3" s="1"/>
  <c r="L640" i="3" l="1"/>
  <c r="T641" i="3"/>
  <c r="U640" i="3" l="1"/>
  <c r="E641" i="3" s="1"/>
  <c r="H641" i="3" s="1"/>
  <c r="AG641" i="3"/>
  <c r="AH641" i="3"/>
  <c r="Y639" i="3"/>
  <c r="K641" i="3" l="1"/>
  <c r="AE641" i="3" s="1"/>
  <c r="D641" i="3"/>
  <c r="V641" i="3" l="1"/>
  <c r="A642" i="3"/>
  <c r="B642" i="3" s="1"/>
  <c r="F641" i="3"/>
  <c r="G641" i="3"/>
  <c r="I641" i="3" l="1"/>
  <c r="W641" i="3" s="1"/>
  <c r="J641" i="3"/>
  <c r="M641" i="3"/>
  <c r="N641" i="3" s="1"/>
  <c r="Z642" i="3"/>
  <c r="AD642" i="3"/>
  <c r="P642" i="3"/>
  <c r="Q642" i="3" s="1"/>
  <c r="R642" i="3" s="1"/>
  <c r="S642" i="3" s="1"/>
  <c r="AC642" i="3"/>
  <c r="AA642" i="3"/>
  <c r="T642" i="3" l="1"/>
  <c r="L641" i="3"/>
  <c r="U641" i="3" l="1"/>
  <c r="D642" i="3" s="1"/>
  <c r="AG642" i="3"/>
  <c r="AH642" i="3"/>
  <c r="Y640" i="3"/>
  <c r="E642" i="3" l="1"/>
  <c r="H642" i="3" s="1"/>
  <c r="K642" i="3" s="1"/>
  <c r="AE642" i="3" s="1"/>
  <c r="G642" i="3"/>
  <c r="F642" i="3" l="1"/>
  <c r="I642" i="3"/>
  <c r="J642" i="3"/>
  <c r="M642" i="3"/>
  <c r="N642" i="3" s="1"/>
  <c r="V642" i="3"/>
  <c r="A643" i="3"/>
  <c r="B643" i="3" s="1"/>
  <c r="W642" i="3" l="1"/>
  <c r="L642" i="3"/>
  <c r="AA643" i="3"/>
  <c r="AD643" i="3"/>
  <c r="AC643" i="3"/>
  <c r="P643" i="3"/>
  <c r="Q643" i="3" s="1"/>
  <c r="R643" i="3" s="1"/>
  <c r="S643" i="3" s="1"/>
  <c r="Z643" i="3"/>
  <c r="U642" i="3" l="1"/>
  <c r="Y641" i="3"/>
  <c r="T643" i="3"/>
  <c r="AH643" i="3" s="1"/>
  <c r="AG643" i="3" l="1"/>
  <c r="E643" i="3"/>
  <c r="H643" i="3" s="1"/>
  <c r="K643" i="3" s="1"/>
  <c r="AE643" i="3" s="1"/>
  <c r="D643" i="3"/>
  <c r="F643" i="3" l="1"/>
  <c r="G643" i="3"/>
  <c r="M643" i="3" s="1"/>
  <c r="N643" i="3" s="1"/>
  <c r="V643" i="3"/>
  <c r="A644" i="3"/>
  <c r="B644" i="3" s="1"/>
  <c r="I643" i="3" l="1"/>
  <c r="W643" i="3" s="1"/>
  <c r="J643" i="3"/>
  <c r="L643" i="3" s="1"/>
  <c r="P644" i="3"/>
  <c r="Q644" i="3" s="1"/>
  <c r="R644" i="3" s="1"/>
  <c r="S644" i="3" s="1"/>
  <c r="AA644" i="3"/>
  <c r="AC644" i="3"/>
  <c r="Z644" i="3"/>
  <c r="U643" i="3" l="1"/>
  <c r="Y642" i="3"/>
  <c r="T644" i="3"/>
  <c r="AG644" i="3" s="1"/>
  <c r="AH644" i="3" l="1"/>
  <c r="D644" i="3"/>
  <c r="E644" i="3"/>
  <c r="H644" i="3" s="1"/>
  <c r="K644" i="3" l="1"/>
  <c r="AE644" i="3" s="1"/>
  <c r="F644" i="3"/>
  <c r="G644" i="3"/>
  <c r="I644" i="3" l="1"/>
  <c r="J644" i="3"/>
  <c r="AD644" i="3" s="1"/>
  <c r="M644" i="3"/>
  <c r="N644" i="3" s="1"/>
  <c r="V644" i="3"/>
  <c r="A645" i="3"/>
  <c r="B645" i="3" s="1"/>
  <c r="L644" i="3" l="1"/>
  <c r="W644" i="3"/>
  <c r="Z645" i="3"/>
  <c r="P645" i="3"/>
  <c r="Q645" i="3" s="1"/>
  <c r="R645" i="3" s="1"/>
  <c r="S645" i="3" s="1"/>
  <c r="AD645" i="3"/>
  <c r="AA645" i="3"/>
  <c r="AC645" i="3"/>
  <c r="U644" i="3" l="1"/>
  <c r="Y643" i="3"/>
  <c r="T645" i="3"/>
  <c r="AG645" i="3" s="1"/>
  <c r="D645" i="3" l="1"/>
  <c r="AH645" i="3"/>
  <c r="E645" i="3"/>
  <c r="H645" i="3" s="1"/>
  <c r="F645" i="3" l="1"/>
  <c r="G645" i="3"/>
  <c r="K645" i="3"/>
  <c r="AE645" i="3" s="1"/>
  <c r="I645" i="3" l="1"/>
  <c r="J645" i="3"/>
  <c r="M645" i="3"/>
  <c r="N645" i="3" s="1"/>
  <c r="V645" i="3"/>
  <c r="A646" i="3"/>
  <c r="B646" i="3" s="1"/>
  <c r="W645" i="3" l="1"/>
  <c r="L645" i="3"/>
  <c r="AA646" i="3"/>
  <c r="Z646" i="3"/>
  <c r="AC646" i="3"/>
  <c r="AD646" i="3"/>
  <c r="P646" i="3"/>
  <c r="Q646" i="3" s="1"/>
  <c r="R646" i="3" s="1"/>
  <c r="S646" i="3" s="1"/>
  <c r="U645" i="3" l="1"/>
  <c r="Y644" i="3"/>
  <c r="T646" i="3"/>
  <c r="AG646" i="3" s="1"/>
  <c r="E646" i="3" l="1"/>
  <c r="H646" i="3" s="1"/>
  <c r="D646" i="3"/>
  <c r="AH646" i="3"/>
  <c r="F646" i="3" l="1"/>
  <c r="G646" i="3"/>
  <c r="K646" i="3"/>
  <c r="AE646" i="3" s="1"/>
  <c r="I646" i="3" l="1"/>
  <c r="J646" i="3"/>
  <c r="M646" i="3"/>
  <c r="N646" i="3" s="1"/>
  <c r="V646" i="3"/>
  <c r="A647" i="3"/>
  <c r="B647" i="3" s="1"/>
  <c r="L646" i="3" l="1"/>
  <c r="W646" i="3"/>
  <c r="P647" i="3"/>
  <c r="Q647" i="3" s="1"/>
  <c r="R647" i="3" s="1"/>
  <c r="S647" i="3" s="1"/>
  <c r="AC647" i="3"/>
  <c r="AA647" i="3"/>
  <c r="Z647" i="3"/>
  <c r="U646" i="3" l="1"/>
  <c r="Y645" i="3"/>
  <c r="T647" i="3"/>
  <c r="AG647" i="3" s="1"/>
  <c r="E647" i="3" l="1"/>
  <c r="H647" i="3" s="1"/>
  <c r="D647" i="3"/>
  <c r="AH647" i="3"/>
  <c r="F647" i="3" l="1"/>
  <c r="G647" i="3"/>
  <c r="K647" i="3"/>
  <c r="AE647" i="3" s="1"/>
  <c r="V647" i="3" l="1"/>
  <c r="A648" i="3"/>
  <c r="B648" i="3" s="1"/>
  <c r="I647" i="3"/>
  <c r="J647" i="3"/>
  <c r="AD647" i="3" s="1"/>
  <c r="M647" i="3"/>
  <c r="N647" i="3" s="1"/>
  <c r="W647" i="3" l="1"/>
  <c r="L647" i="3"/>
  <c r="AC648" i="3"/>
  <c r="AA648" i="3"/>
  <c r="P648" i="3"/>
  <c r="Q648" i="3" s="1"/>
  <c r="R648" i="3" s="1"/>
  <c r="S648" i="3" s="1"/>
  <c r="Z648" i="3"/>
  <c r="T648" i="3" l="1"/>
  <c r="AH648" i="3" s="1"/>
  <c r="U647" i="3"/>
  <c r="Y646" i="3"/>
  <c r="D648" i="3" l="1"/>
  <c r="AG648" i="3"/>
  <c r="E648" i="3"/>
  <c r="H648" i="3" s="1"/>
  <c r="F648" i="3" l="1"/>
  <c r="G648" i="3"/>
  <c r="K648" i="3"/>
  <c r="AE648" i="3" s="1"/>
  <c r="I648" i="3" l="1"/>
  <c r="J648" i="3"/>
  <c r="AD648" i="3" s="1"/>
  <c r="M648" i="3"/>
  <c r="N648" i="3" s="1"/>
  <c r="V648" i="3"/>
  <c r="A649" i="3"/>
  <c r="B649" i="3" s="1"/>
  <c r="W648" i="3" l="1"/>
  <c r="L648" i="3"/>
  <c r="AC649" i="3"/>
  <c r="AA649" i="3"/>
  <c r="AD649" i="3"/>
  <c r="P649" i="3"/>
  <c r="Q649" i="3" s="1"/>
  <c r="R649" i="3" s="1"/>
  <c r="S649" i="3" s="1"/>
  <c r="Z649" i="3"/>
  <c r="U648" i="3" l="1"/>
  <c r="Y647" i="3"/>
  <c r="T649" i="3"/>
  <c r="E649" i="3" l="1"/>
  <c r="H649" i="3" s="1"/>
  <c r="K649" i="3" s="1"/>
  <c r="AE649" i="3" s="1"/>
  <c r="D649" i="3"/>
  <c r="AH649" i="3"/>
  <c r="AG649" i="3"/>
  <c r="V649" i="3" l="1"/>
  <c r="A650" i="3"/>
  <c r="B650" i="3" s="1"/>
  <c r="F649" i="3"/>
  <c r="G649" i="3"/>
  <c r="I649" i="3" l="1"/>
  <c r="W649" i="3" s="1"/>
  <c r="J649" i="3"/>
  <c r="M649" i="3"/>
  <c r="N649" i="3" s="1"/>
  <c r="AA650" i="3"/>
  <c r="P650" i="3"/>
  <c r="Q650" i="3" s="1"/>
  <c r="R650" i="3" s="1"/>
  <c r="S650" i="3" s="1"/>
  <c r="Z650" i="3"/>
  <c r="AD650" i="3"/>
  <c r="AC650" i="3"/>
  <c r="L649" i="3" l="1"/>
  <c r="T650" i="3"/>
  <c r="U649" i="3" l="1"/>
  <c r="E650" i="3" s="1"/>
  <c r="H650" i="3" s="1"/>
  <c r="AG650" i="3"/>
  <c r="AH650" i="3"/>
  <c r="Y648" i="3"/>
  <c r="K650" i="3" l="1"/>
  <c r="AE650" i="3" s="1"/>
  <c r="D650" i="3"/>
  <c r="V650" i="3" l="1"/>
  <c r="A651" i="3"/>
  <c r="B651" i="3" s="1"/>
  <c r="F650" i="3"/>
  <c r="G650" i="3"/>
  <c r="I650" i="3" l="1"/>
  <c r="W650" i="3" s="1"/>
  <c r="J650" i="3"/>
  <c r="M650" i="3"/>
  <c r="N650" i="3" s="1"/>
  <c r="Z651" i="3"/>
  <c r="AC651" i="3"/>
  <c r="P651" i="3"/>
  <c r="Q651" i="3" s="1"/>
  <c r="R651" i="3" s="1"/>
  <c r="S651" i="3" s="1"/>
  <c r="AA651" i="3"/>
  <c r="AD651" i="3"/>
  <c r="T651" i="3" l="1"/>
  <c r="L650" i="3"/>
  <c r="AH651" i="3" l="1"/>
  <c r="U650" i="3"/>
  <c r="E651" i="3" s="1"/>
  <c r="H651" i="3" s="1"/>
  <c r="AG651" i="3"/>
  <c r="Y649" i="3"/>
  <c r="D651" i="3" l="1"/>
  <c r="G651" i="3" s="1"/>
  <c r="K651" i="3"/>
  <c r="AE651" i="3" s="1"/>
  <c r="F651" i="3" l="1"/>
  <c r="I651" i="3"/>
  <c r="J651" i="3"/>
  <c r="M651" i="3"/>
  <c r="N651" i="3" s="1"/>
  <c r="V651" i="3"/>
  <c r="A652" i="3"/>
  <c r="B652" i="3" s="1"/>
  <c r="W651" i="3" l="1"/>
  <c r="L651" i="3"/>
  <c r="P652" i="3"/>
  <c r="Q652" i="3" s="1"/>
  <c r="R652" i="3" s="1"/>
  <c r="S652" i="3" s="1"/>
  <c r="AC652" i="3"/>
  <c r="AA652" i="3"/>
  <c r="Z652" i="3"/>
  <c r="AD652" i="3"/>
  <c r="U651" i="3" l="1"/>
  <c r="Y650" i="3"/>
  <c r="T652" i="3"/>
  <c r="E652" i="3" l="1"/>
  <c r="H652" i="3" s="1"/>
  <c r="K652" i="3" s="1"/>
  <c r="AE652" i="3" s="1"/>
  <c r="AH652" i="3"/>
  <c r="AG652" i="3"/>
  <c r="D652" i="3"/>
  <c r="G652" i="3" s="1"/>
  <c r="F652" i="3" l="1"/>
  <c r="V652" i="3"/>
  <c r="A653" i="3"/>
  <c r="B653" i="3" s="1"/>
  <c r="I652" i="3"/>
  <c r="J652" i="3"/>
  <c r="M652" i="3"/>
  <c r="N652" i="3" s="1"/>
  <c r="W652" i="3" l="1"/>
  <c r="L652" i="3"/>
  <c r="Z653" i="3"/>
  <c r="AA653" i="3"/>
  <c r="P653" i="3"/>
  <c r="Q653" i="3" s="1"/>
  <c r="R653" i="3" s="1"/>
  <c r="S653" i="3" s="1"/>
  <c r="AD653" i="3"/>
  <c r="AC653" i="3"/>
  <c r="T653" i="3" l="1"/>
  <c r="AG653" i="3" s="1"/>
  <c r="U652" i="3"/>
  <c r="Y651" i="3"/>
  <c r="AH653" i="3" l="1"/>
  <c r="E653" i="3"/>
  <c r="H653" i="3" s="1"/>
  <c r="D653" i="3"/>
  <c r="K653" i="3" l="1"/>
  <c r="AE653" i="3" s="1"/>
  <c r="F653" i="3"/>
  <c r="G653" i="3"/>
  <c r="V653" i="3" l="1"/>
  <c r="A654" i="3"/>
  <c r="B654" i="3" s="1"/>
  <c r="I653" i="3"/>
  <c r="J653" i="3"/>
  <c r="M653" i="3"/>
  <c r="N653" i="3" s="1"/>
  <c r="W653" i="3" l="1"/>
  <c r="L653" i="3"/>
  <c r="Z654" i="3"/>
  <c r="P654" i="3"/>
  <c r="Q654" i="3" s="1"/>
  <c r="R654" i="3" s="1"/>
  <c r="S654" i="3" s="1"/>
  <c r="AC654" i="3"/>
  <c r="AA654" i="3"/>
  <c r="T654" i="3" l="1"/>
  <c r="AG654" i="3" s="1"/>
  <c r="U653" i="3"/>
  <c r="Y652" i="3"/>
  <c r="AH654" i="3" l="1"/>
  <c r="E654" i="3"/>
  <c r="H654" i="3" s="1"/>
  <c r="D654" i="3"/>
  <c r="K654" i="3" l="1"/>
  <c r="AE654" i="3" s="1"/>
  <c r="F654" i="3"/>
  <c r="G654" i="3"/>
  <c r="V654" i="3" l="1"/>
  <c r="A655" i="3"/>
  <c r="B655" i="3" s="1"/>
  <c r="I654" i="3"/>
  <c r="J654" i="3"/>
  <c r="AD654" i="3" s="1"/>
  <c r="M654" i="3"/>
  <c r="N654" i="3" s="1"/>
  <c r="L654" i="3" l="1"/>
  <c r="AD655" i="3"/>
  <c r="AC655" i="3"/>
  <c r="P655" i="3"/>
  <c r="Q655" i="3" s="1"/>
  <c r="R655" i="3" s="1"/>
  <c r="S655" i="3" s="1"/>
  <c r="Z655" i="3"/>
  <c r="AA655" i="3"/>
  <c r="W654" i="3"/>
  <c r="U654" i="3" l="1"/>
  <c r="Y653" i="3"/>
  <c r="T655" i="3"/>
  <c r="AH655" i="3" s="1"/>
  <c r="AG655" i="3" l="1"/>
  <c r="D655" i="3"/>
  <c r="E655" i="3"/>
  <c r="H655" i="3" s="1"/>
  <c r="K655" i="3" l="1"/>
  <c r="AE655" i="3" s="1"/>
  <c r="F655" i="3"/>
  <c r="G655" i="3"/>
  <c r="V655" i="3" l="1"/>
  <c r="A656" i="3"/>
  <c r="B656" i="3" s="1"/>
  <c r="I655" i="3"/>
  <c r="J655" i="3"/>
  <c r="M655" i="3"/>
  <c r="N655" i="3" s="1"/>
  <c r="W655" i="3" l="1"/>
  <c r="L655" i="3"/>
  <c r="Z656" i="3"/>
  <c r="AA656" i="3"/>
  <c r="AD656" i="3"/>
  <c r="AC656" i="3"/>
  <c r="P656" i="3"/>
  <c r="Q656" i="3" s="1"/>
  <c r="R656" i="3" s="1"/>
  <c r="S656" i="3" s="1"/>
  <c r="T656" i="3" l="1"/>
  <c r="U655" i="3"/>
  <c r="Y654" i="3"/>
  <c r="E656" i="3" l="1"/>
  <c r="H656" i="3" s="1"/>
  <c r="K656" i="3" s="1"/>
  <c r="AE656" i="3" s="1"/>
  <c r="AH656" i="3"/>
  <c r="D656" i="3"/>
  <c r="AG656" i="3"/>
  <c r="F656" i="3" l="1"/>
  <c r="G656" i="3"/>
  <c r="V656" i="3"/>
  <c r="A657" i="3"/>
  <c r="B657" i="3" s="1"/>
  <c r="I656" i="3" l="1"/>
  <c r="W656" i="3" s="1"/>
  <c r="J656" i="3"/>
  <c r="M656" i="3"/>
  <c r="N656" i="3" s="1"/>
  <c r="AC657" i="3"/>
  <c r="P657" i="3"/>
  <c r="Q657" i="3" s="1"/>
  <c r="R657" i="3" s="1"/>
  <c r="S657" i="3" s="1"/>
  <c r="AA657" i="3"/>
  <c r="Z657" i="3"/>
  <c r="L656" i="3" l="1"/>
  <c r="T657" i="3"/>
  <c r="AH657" i="3" l="1"/>
  <c r="U656" i="3"/>
  <c r="E657" i="3" s="1"/>
  <c r="H657" i="3" s="1"/>
  <c r="AG657" i="3"/>
  <c r="Y655" i="3"/>
  <c r="D657" i="3" l="1"/>
  <c r="G657" i="3" s="1"/>
  <c r="K657" i="3"/>
  <c r="AE657" i="3" s="1"/>
  <c r="F657" i="3" l="1"/>
  <c r="I657" i="3"/>
  <c r="J657" i="3"/>
  <c r="AD657" i="3" s="1"/>
  <c r="M657" i="3"/>
  <c r="N657" i="3" s="1"/>
  <c r="V657" i="3"/>
  <c r="A658" i="3"/>
  <c r="B658" i="3" s="1"/>
  <c r="W657" i="3" l="1"/>
  <c r="L657" i="3"/>
  <c r="AC658" i="3"/>
  <c r="Z658" i="3"/>
  <c r="AA658" i="3"/>
  <c r="P658" i="3"/>
  <c r="Q658" i="3" s="1"/>
  <c r="R658" i="3" s="1"/>
  <c r="S658" i="3" s="1"/>
  <c r="U657" i="3" l="1"/>
  <c r="Y656" i="3"/>
  <c r="T658" i="3"/>
  <c r="AG658" i="3" s="1"/>
  <c r="E658" i="3" l="1"/>
  <c r="H658" i="3" s="1"/>
  <c r="D658" i="3"/>
  <c r="AH658" i="3"/>
  <c r="K658" i="3" l="1"/>
  <c r="AE658" i="3" s="1"/>
  <c r="F658" i="3"/>
  <c r="G658" i="3"/>
  <c r="I658" i="3" l="1"/>
  <c r="J658" i="3"/>
  <c r="AD658" i="3" s="1"/>
  <c r="M658" i="3"/>
  <c r="N658" i="3" s="1"/>
  <c r="V658" i="3"/>
  <c r="A659" i="3"/>
  <c r="B659" i="3" s="1"/>
  <c r="W658" i="3" l="1"/>
  <c r="L658" i="3"/>
  <c r="AA659" i="3"/>
  <c r="P659" i="3"/>
  <c r="Q659" i="3" s="1"/>
  <c r="R659" i="3" s="1"/>
  <c r="S659" i="3" s="1"/>
  <c r="Z659" i="3"/>
  <c r="AD659" i="3"/>
  <c r="AC659" i="3"/>
  <c r="U658" i="3" l="1"/>
  <c r="Y657" i="3"/>
  <c r="T659" i="3"/>
  <c r="AH659" i="3" s="1"/>
  <c r="E659" i="3" l="1"/>
  <c r="H659" i="3" s="1"/>
  <c r="K659" i="3" s="1"/>
  <c r="AE659" i="3" s="1"/>
  <c r="AG659" i="3"/>
  <c r="D659" i="3"/>
  <c r="G659" i="3" s="1"/>
  <c r="F659" i="3" l="1"/>
  <c r="I659" i="3"/>
  <c r="J659" i="3"/>
  <c r="M659" i="3"/>
  <c r="N659" i="3" s="1"/>
  <c r="V659" i="3"/>
  <c r="A660" i="3"/>
  <c r="B660" i="3" s="1"/>
  <c r="W659" i="3" l="1"/>
  <c r="L659" i="3"/>
  <c r="AA660" i="3"/>
  <c r="P660" i="3"/>
  <c r="Q660" i="3" s="1"/>
  <c r="R660" i="3" s="1"/>
  <c r="S660" i="3" s="1"/>
  <c r="AC660" i="3"/>
  <c r="AD660" i="3"/>
  <c r="Z660" i="3"/>
  <c r="T660" i="3" l="1"/>
  <c r="AH660" i="3" s="1"/>
  <c r="U659" i="3"/>
  <c r="Y658" i="3"/>
  <c r="AG660" i="3" l="1"/>
  <c r="D660" i="3"/>
  <c r="E660" i="3"/>
  <c r="H660" i="3" s="1"/>
  <c r="K660" i="3" l="1"/>
  <c r="AE660" i="3" s="1"/>
  <c r="F660" i="3"/>
  <c r="G660" i="3"/>
  <c r="I660" i="3" l="1"/>
  <c r="J660" i="3"/>
  <c r="M660" i="3"/>
  <c r="N660" i="3" s="1"/>
  <c r="V660" i="3"/>
  <c r="A661" i="3"/>
  <c r="B661" i="3" s="1"/>
  <c r="L660" i="3" l="1"/>
  <c r="W660" i="3"/>
  <c r="Z661" i="3"/>
  <c r="P661" i="3"/>
  <c r="Q661" i="3" s="1"/>
  <c r="R661" i="3" s="1"/>
  <c r="S661" i="3" s="1"/>
  <c r="AA661" i="3"/>
  <c r="AD661" i="3"/>
  <c r="AC661" i="3"/>
  <c r="T661" i="3" l="1"/>
  <c r="U660" i="3"/>
  <c r="Y659" i="3"/>
  <c r="E661" i="3" l="1"/>
  <c r="H661" i="3" s="1"/>
  <c r="K661" i="3" s="1"/>
  <c r="AE661" i="3" s="1"/>
  <c r="D661" i="3"/>
  <c r="AH661" i="3"/>
  <c r="AG661" i="3"/>
  <c r="V661" i="3" l="1"/>
  <c r="A662" i="3"/>
  <c r="B662" i="3" s="1"/>
  <c r="F661" i="3"/>
  <c r="G661" i="3"/>
  <c r="I661" i="3" l="1"/>
  <c r="W661" i="3" s="1"/>
  <c r="J661" i="3"/>
  <c r="M661" i="3"/>
  <c r="N661" i="3" s="1"/>
  <c r="P662" i="3"/>
  <c r="Q662" i="3" s="1"/>
  <c r="R662" i="3" s="1"/>
  <c r="S662" i="3" s="1"/>
  <c r="Z662" i="3"/>
  <c r="AD662" i="3"/>
  <c r="AA662" i="3"/>
  <c r="AC662" i="3"/>
  <c r="T662" i="3" l="1"/>
  <c r="L661" i="3"/>
  <c r="AH662" i="3" l="1"/>
  <c r="AG662" i="3"/>
  <c r="U661" i="3"/>
  <c r="E662" i="3" s="1"/>
  <c r="H662" i="3" s="1"/>
  <c r="Y660" i="3"/>
  <c r="D662" i="3" l="1"/>
  <c r="F662" i="3" s="1"/>
  <c r="K662" i="3"/>
  <c r="AE662" i="3" s="1"/>
  <c r="G662" i="3" l="1"/>
  <c r="I662" i="3" s="1"/>
  <c r="V662" i="3"/>
  <c r="A663" i="3"/>
  <c r="B663" i="3" s="1"/>
  <c r="J662" i="3" l="1"/>
  <c r="L662" i="3" s="1"/>
  <c r="M662" i="3"/>
  <c r="N662" i="3" s="1"/>
  <c r="W662" i="3"/>
  <c r="AA663" i="3"/>
  <c r="Z663" i="3"/>
  <c r="P663" i="3"/>
  <c r="Q663" i="3" s="1"/>
  <c r="R663" i="3" s="1"/>
  <c r="S663" i="3" s="1"/>
  <c r="AC663" i="3"/>
  <c r="AD663" i="3"/>
  <c r="U662" i="3" l="1"/>
  <c r="Y661" i="3"/>
  <c r="T663" i="3"/>
  <c r="E663" i="3" l="1"/>
  <c r="H663" i="3" s="1"/>
  <c r="K663" i="3" s="1"/>
  <c r="AE663" i="3" s="1"/>
  <c r="AG663" i="3"/>
  <c r="AH663" i="3"/>
  <c r="D663" i="3"/>
  <c r="F663" i="3" l="1"/>
  <c r="G663" i="3"/>
  <c r="V663" i="3"/>
  <c r="A664" i="3"/>
  <c r="B664" i="3" s="1"/>
  <c r="P664" i="3" l="1"/>
  <c r="Q664" i="3" s="1"/>
  <c r="R664" i="3" s="1"/>
  <c r="S664" i="3" s="1"/>
  <c r="AA664" i="3"/>
  <c r="AC664" i="3"/>
  <c r="Z664" i="3"/>
  <c r="I663" i="3"/>
  <c r="W663" i="3" s="1"/>
  <c r="J663" i="3"/>
  <c r="M663" i="3"/>
  <c r="N663" i="3" s="1"/>
  <c r="T664" i="3" l="1"/>
  <c r="L663" i="3"/>
  <c r="AH664" i="3" l="1"/>
  <c r="U663" i="3"/>
  <c r="E664" i="3" s="1"/>
  <c r="H664" i="3" s="1"/>
  <c r="AG664" i="3"/>
  <c r="Y662" i="3"/>
  <c r="D664" i="3" l="1"/>
  <c r="G664" i="3" s="1"/>
  <c r="K664" i="3"/>
  <c r="AE664" i="3" s="1"/>
  <c r="F664" i="3" l="1"/>
  <c r="I664" i="3"/>
  <c r="J664" i="3"/>
  <c r="AD664" i="3" s="1"/>
  <c r="M664" i="3"/>
  <c r="N664" i="3" s="1"/>
  <c r="V664" i="3"/>
  <c r="A665" i="3"/>
  <c r="B665" i="3" s="1"/>
  <c r="W664" i="3" l="1"/>
  <c r="L664" i="3"/>
  <c r="AC665" i="3"/>
  <c r="P665" i="3"/>
  <c r="Q665" i="3" s="1"/>
  <c r="R665" i="3" s="1"/>
  <c r="S665" i="3" s="1"/>
  <c r="AA665" i="3"/>
  <c r="Z665" i="3"/>
  <c r="AD665" i="3"/>
  <c r="U664" i="3" l="1"/>
  <c r="Y663" i="3"/>
  <c r="T665" i="3"/>
  <c r="D665" i="3" l="1"/>
  <c r="G665" i="3" s="1"/>
  <c r="AG665" i="3"/>
  <c r="E665" i="3"/>
  <c r="H665" i="3" s="1"/>
  <c r="AH665" i="3"/>
  <c r="F665" i="3" l="1"/>
  <c r="I665" i="3"/>
  <c r="J665" i="3"/>
  <c r="M665" i="3"/>
  <c r="N665" i="3" s="1"/>
  <c r="K665" i="3"/>
  <c r="AE665" i="3" s="1"/>
  <c r="L665" i="3" l="1"/>
  <c r="V665" i="3"/>
  <c r="W665" i="3" s="1"/>
  <c r="A666" i="3"/>
  <c r="B666" i="3" s="1"/>
  <c r="U665" i="3" l="1"/>
  <c r="Y664" i="3"/>
  <c r="AA666" i="3"/>
  <c r="AD666" i="3"/>
  <c r="P666" i="3"/>
  <c r="Q666" i="3" s="1"/>
  <c r="R666" i="3" s="1"/>
  <c r="S666" i="3" s="1"/>
  <c r="Z666" i="3"/>
  <c r="AC666" i="3"/>
  <c r="T666" i="3" l="1"/>
  <c r="D666" i="3" s="1"/>
  <c r="AG666" i="3" l="1"/>
  <c r="E666" i="3"/>
  <c r="H666" i="3" s="1"/>
  <c r="K666" i="3" s="1"/>
  <c r="AE666" i="3" s="1"/>
  <c r="AH666" i="3"/>
  <c r="G666" i="3"/>
  <c r="F666" i="3" l="1"/>
  <c r="I666" i="3"/>
  <c r="J666" i="3"/>
  <c r="M666" i="3"/>
  <c r="N666" i="3" s="1"/>
  <c r="V666" i="3"/>
  <c r="A667" i="3"/>
  <c r="B667" i="3" s="1"/>
  <c r="L666" i="3" l="1"/>
  <c r="W666" i="3"/>
  <c r="AC667" i="3"/>
  <c r="Z667" i="3"/>
  <c r="P667" i="3"/>
  <c r="Q667" i="3" s="1"/>
  <c r="R667" i="3" s="1"/>
  <c r="S667" i="3" s="1"/>
  <c r="AA667" i="3"/>
  <c r="U666" i="3" l="1"/>
  <c r="Y665" i="3"/>
  <c r="T667" i="3"/>
  <c r="AG667" i="3" s="1"/>
  <c r="D667" i="3" l="1"/>
  <c r="E667" i="3"/>
  <c r="H667" i="3" s="1"/>
  <c r="AH667" i="3"/>
  <c r="F667" i="3" l="1"/>
  <c r="G667" i="3"/>
  <c r="K667" i="3"/>
  <c r="AE667" i="3" s="1"/>
  <c r="I667" i="3" l="1"/>
  <c r="J667" i="3"/>
  <c r="AD667" i="3" s="1"/>
  <c r="M667" i="3"/>
  <c r="N667" i="3" s="1"/>
  <c r="V667" i="3"/>
  <c r="A668" i="3"/>
  <c r="B668" i="3" s="1"/>
  <c r="W667" i="3" l="1"/>
  <c r="L667" i="3"/>
  <c r="Z668" i="3"/>
  <c r="P668" i="3"/>
  <c r="Q668" i="3" s="1"/>
  <c r="R668" i="3" s="1"/>
  <c r="S668" i="3" s="1"/>
  <c r="AC668" i="3"/>
  <c r="AA668" i="3"/>
  <c r="T668" i="3" l="1"/>
  <c r="AH668" i="3" s="1"/>
  <c r="U667" i="3"/>
  <c r="Y666" i="3"/>
  <c r="D668" i="3" l="1"/>
  <c r="G668" i="3" s="1"/>
  <c r="AG668" i="3"/>
  <c r="E668" i="3"/>
  <c r="H668" i="3" s="1"/>
  <c r="F668" i="3" l="1"/>
  <c r="I668" i="3"/>
  <c r="J668" i="3"/>
  <c r="AD668" i="3" s="1"/>
  <c r="M668" i="3"/>
  <c r="N668" i="3" s="1"/>
  <c r="K668" i="3"/>
  <c r="AE668" i="3" s="1"/>
  <c r="L668" i="3" l="1"/>
  <c r="V668" i="3"/>
  <c r="W668" i="3" s="1"/>
  <c r="A669" i="3"/>
  <c r="B669" i="3" s="1"/>
  <c r="AA669" i="3" l="1"/>
  <c r="P669" i="3"/>
  <c r="Q669" i="3" s="1"/>
  <c r="R669" i="3" s="1"/>
  <c r="S669" i="3" s="1"/>
  <c r="AD669" i="3"/>
  <c r="AC669" i="3"/>
  <c r="Z669" i="3"/>
  <c r="U668" i="3"/>
  <c r="Y667" i="3"/>
  <c r="T669" i="3" l="1"/>
  <c r="AH669" i="3" l="1"/>
  <c r="AG669" i="3"/>
  <c r="D669" i="3"/>
  <c r="E669" i="3"/>
  <c r="H669" i="3" s="1"/>
  <c r="F669" i="3" l="1"/>
  <c r="G669" i="3"/>
  <c r="K669" i="3"/>
  <c r="AE669" i="3" s="1"/>
  <c r="V669" i="3" l="1"/>
  <c r="A670" i="3"/>
  <c r="B670" i="3" s="1"/>
  <c r="I669" i="3"/>
  <c r="J669" i="3"/>
  <c r="M669" i="3"/>
  <c r="N669" i="3" s="1"/>
  <c r="L669" i="3" l="1"/>
  <c r="W669" i="3"/>
  <c r="AD670" i="3"/>
  <c r="P670" i="3"/>
  <c r="Q670" i="3" s="1"/>
  <c r="R670" i="3" s="1"/>
  <c r="S670" i="3" s="1"/>
  <c r="AA670" i="3"/>
  <c r="Z670" i="3"/>
  <c r="AC670" i="3"/>
  <c r="T670" i="3" l="1"/>
  <c r="U669" i="3"/>
  <c r="Y668" i="3"/>
  <c r="E670" i="3" l="1"/>
  <c r="H670" i="3" s="1"/>
  <c r="K670" i="3" s="1"/>
  <c r="AE670" i="3" s="1"/>
  <c r="AH670" i="3"/>
  <c r="AG670" i="3"/>
  <c r="D670" i="3"/>
  <c r="V670" i="3" l="1"/>
  <c r="A671" i="3"/>
  <c r="B671" i="3" s="1"/>
  <c r="F670" i="3"/>
  <c r="G670" i="3"/>
  <c r="I670" i="3" l="1"/>
  <c r="W670" i="3" s="1"/>
  <c r="J670" i="3"/>
  <c r="M670" i="3"/>
  <c r="N670" i="3" s="1"/>
  <c r="AC671" i="3"/>
  <c r="Z671" i="3"/>
  <c r="AD671" i="3"/>
  <c r="AA671" i="3"/>
  <c r="P671" i="3"/>
  <c r="Q671" i="3" s="1"/>
  <c r="R671" i="3" s="1"/>
  <c r="S671" i="3" s="1"/>
  <c r="T671" i="3" l="1"/>
  <c r="L670" i="3"/>
  <c r="U670" i="3" l="1"/>
  <c r="E671" i="3" s="1"/>
  <c r="H671" i="3" s="1"/>
  <c r="AG671" i="3"/>
  <c r="AH671" i="3"/>
  <c r="Y669" i="3"/>
  <c r="D671" i="3" l="1"/>
  <c r="G671" i="3" s="1"/>
  <c r="K671" i="3"/>
  <c r="AE671" i="3" s="1"/>
  <c r="F671" i="3" l="1"/>
  <c r="V671" i="3"/>
  <c r="A672" i="3"/>
  <c r="B672" i="3" s="1"/>
  <c r="I671" i="3"/>
  <c r="J671" i="3"/>
  <c r="M671" i="3"/>
  <c r="N671" i="3" s="1"/>
  <c r="W671" i="3" l="1"/>
  <c r="L671" i="3"/>
  <c r="AD672" i="3"/>
  <c r="P672" i="3"/>
  <c r="Q672" i="3" s="1"/>
  <c r="R672" i="3" s="1"/>
  <c r="S672" i="3" s="1"/>
  <c r="AC672" i="3"/>
  <c r="Z672" i="3"/>
  <c r="AA672" i="3"/>
  <c r="T672" i="3" l="1"/>
  <c r="AG672" i="3" s="1"/>
  <c r="U671" i="3"/>
  <c r="Y670" i="3"/>
  <c r="E672" i="3" l="1"/>
  <c r="H672" i="3" s="1"/>
  <c r="K672" i="3" s="1"/>
  <c r="AE672" i="3" s="1"/>
  <c r="D672" i="3"/>
  <c r="AH672" i="3"/>
  <c r="F672" i="3" l="1"/>
  <c r="G672" i="3"/>
  <c r="V672" i="3"/>
  <c r="A673" i="3"/>
  <c r="B673" i="3" s="1"/>
  <c r="AC673" i="3" l="1"/>
  <c r="AA673" i="3"/>
  <c r="P673" i="3"/>
  <c r="Q673" i="3" s="1"/>
  <c r="R673" i="3" s="1"/>
  <c r="S673" i="3" s="1"/>
  <c r="AD673" i="3"/>
  <c r="Z673" i="3"/>
  <c r="I672" i="3"/>
  <c r="W672" i="3" s="1"/>
  <c r="J672" i="3"/>
  <c r="M672" i="3"/>
  <c r="N672" i="3" s="1"/>
  <c r="L672" i="3" l="1"/>
  <c r="T673" i="3"/>
  <c r="AH673" i="3" l="1"/>
  <c r="AG673" i="3"/>
  <c r="U672" i="3"/>
  <c r="E673" i="3" s="1"/>
  <c r="H673" i="3" s="1"/>
  <c r="Y671" i="3"/>
  <c r="K673" i="3" l="1"/>
  <c r="AE673" i="3" s="1"/>
  <c r="D673" i="3"/>
  <c r="V673" i="3" l="1"/>
  <c r="A674" i="3"/>
  <c r="B674" i="3" s="1"/>
  <c r="F673" i="3"/>
  <c r="G673" i="3"/>
  <c r="I673" i="3" l="1"/>
  <c r="W673" i="3" s="1"/>
  <c r="J673" i="3"/>
  <c r="M673" i="3"/>
  <c r="N673" i="3" s="1"/>
  <c r="P674" i="3"/>
  <c r="Q674" i="3" s="1"/>
  <c r="R674" i="3" s="1"/>
  <c r="S674" i="3" s="1"/>
  <c r="AA674" i="3"/>
  <c r="Z674" i="3"/>
  <c r="AC674" i="3"/>
  <c r="T674" i="3" l="1"/>
  <c r="L673" i="3"/>
  <c r="AH674" i="3" l="1"/>
  <c r="U673" i="3"/>
  <c r="E674" i="3" s="1"/>
  <c r="H674" i="3" s="1"/>
  <c r="AG674" i="3"/>
  <c r="Y672" i="3"/>
  <c r="D674" i="3" l="1"/>
  <c r="G674" i="3" s="1"/>
  <c r="K674" i="3"/>
  <c r="AE674" i="3" s="1"/>
  <c r="F674" i="3" l="1"/>
  <c r="I674" i="3"/>
  <c r="J674" i="3"/>
  <c r="AD674" i="3" s="1"/>
  <c r="M674" i="3"/>
  <c r="N674" i="3" s="1"/>
  <c r="V674" i="3"/>
  <c r="A675" i="3"/>
  <c r="B675" i="3" s="1"/>
  <c r="W674" i="3" l="1"/>
  <c r="L674" i="3"/>
  <c r="P675" i="3"/>
  <c r="Q675" i="3" s="1"/>
  <c r="R675" i="3" s="1"/>
  <c r="S675" i="3" s="1"/>
  <c r="AA675" i="3"/>
  <c r="AC675" i="3"/>
  <c r="Z675" i="3"/>
  <c r="U674" i="3" l="1"/>
  <c r="Y673" i="3"/>
  <c r="T675" i="3"/>
  <c r="AH675" i="3" s="1"/>
  <c r="AG675" i="3" l="1"/>
  <c r="D675" i="3"/>
  <c r="E675" i="3"/>
  <c r="H675" i="3" s="1"/>
  <c r="F675" i="3" l="1"/>
  <c r="G675" i="3"/>
  <c r="K675" i="3"/>
  <c r="AE675" i="3" s="1"/>
  <c r="I675" i="3" l="1"/>
  <c r="J675" i="3"/>
  <c r="AD675" i="3" s="1"/>
  <c r="M675" i="3"/>
  <c r="N675" i="3" s="1"/>
  <c r="V675" i="3"/>
  <c r="A676" i="3"/>
  <c r="B676" i="3" s="1"/>
  <c r="W675" i="3" l="1"/>
  <c r="L675" i="3"/>
  <c r="AC676" i="3"/>
  <c r="P676" i="3"/>
  <c r="Q676" i="3" s="1"/>
  <c r="R676" i="3" s="1"/>
  <c r="S676" i="3" s="1"/>
  <c r="Z676" i="3"/>
  <c r="AA676" i="3"/>
  <c r="T676" i="3" l="1"/>
  <c r="U675" i="3"/>
  <c r="Y674" i="3"/>
  <c r="E676" i="3" l="1"/>
  <c r="H676" i="3" s="1"/>
  <c r="K676" i="3" s="1"/>
  <c r="AE676" i="3" s="1"/>
  <c r="AH676" i="3"/>
  <c r="D676" i="3"/>
  <c r="G676" i="3" s="1"/>
  <c r="AG676" i="3"/>
  <c r="F676" i="3" l="1"/>
  <c r="I676" i="3"/>
  <c r="J676" i="3"/>
  <c r="AD676" i="3" s="1"/>
  <c r="M676" i="3"/>
  <c r="N676" i="3" s="1"/>
  <c r="V676" i="3"/>
  <c r="A677" i="3"/>
  <c r="B677" i="3" s="1"/>
  <c r="W676" i="3" l="1"/>
  <c r="L676" i="3"/>
  <c r="AA677" i="3"/>
  <c r="AC677" i="3"/>
  <c r="Z677" i="3"/>
  <c r="P677" i="3"/>
  <c r="Q677" i="3" s="1"/>
  <c r="R677" i="3" s="1"/>
  <c r="S677" i="3" s="1"/>
  <c r="U676" i="3" l="1"/>
  <c r="Y675" i="3"/>
  <c r="T677" i="3"/>
  <c r="AG677" i="3" s="1"/>
  <c r="D677" i="3" l="1"/>
  <c r="G677" i="3" s="1"/>
  <c r="AH677" i="3"/>
  <c r="E677" i="3"/>
  <c r="H677" i="3" s="1"/>
  <c r="F677" i="3" l="1"/>
  <c r="I677" i="3"/>
  <c r="J677" i="3"/>
  <c r="AD677" i="3" s="1"/>
  <c r="M677" i="3"/>
  <c r="N677" i="3" s="1"/>
  <c r="K677" i="3"/>
  <c r="AE677" i="3" s="1"/>
  <c r="V677" i="3" l="1"/>
  <c r="W677" i="3" s="1"/>
  <c r="A678" i="3"/>
  <c r="B678" i="3" s="1"/>
  <c r="L677" i="3"/>
  <c r="U677" i="3" l="1"/>
  <c r="Y676" i="3"/>
  <c r="P678" i="3"/>
  <c r="Q678" i="3" s="1"/>
  <c r="R678" i="3" s="1"/>
  <c r="S678" i="3" s="1"/>
  <c r="Z678" i="3"/>
  <c r="AC678" i="3"/>
  <c r="AA678" i="3"/>
  <c r="T678" i="3" l="1"/>
  <c r="AH678" i="3" s="1"/>
  <c r="E678" i="3" l="1"/>
  <c r="H678" i="3" s="1"/>
  <c r="K678" i="3" s="1"/>
  <c r="AE678" i="3" s="1"/>
  <c r="D678" i="3"/>
  <c r="AG678" i="3"/>
  <c r="F678" i="3" l="1"/>
  <c r="G678" i="3"/>
  <c r="J678" i="3" s="1"/>
  <c r="AD678" i="3" s="1"/>
  <c r="V678" i="3"/>
  <c r="A679" i="3"/>
  <c r="B679" i="3" s="1"/>
  <c r="M678" i="3" l="1"/>
  <c r="N678" i="3" s="1"/>
  <c r="I678" i="3"/>
  <c r="W678" i="3" s="1"/>
  <c r="L678" i="3"/>
  <c r="P679" i="3"/>
  <c r="Q679" i="3" s="1"/>
  <c r="R679" i="3" s="1"/>
  <c r="S679" i="3" s="1"/>
  <c r="AA679" i="3"/>
  <c r="Z679" i="3"/>
  <c r="AC679" i="3"/>
  <c r="T679" i="3" l="1"/>
  <c r="U678" i="3"/>
  <c r="Y677" i="3"/>
  <c r="E679" i="3" l="1"/>
  <c r="H679" i="3" s="1"/>
  <c r="K679" i="3" s="1"/>
  <c r="AE679" i="3" s="1"/>
  <c r="AH679" i="3"/>
  <c r="AG679" i="3"/>
  <c r="D679" i="3"/>
  <c r="F679" i="3" l="1"/>
  <c r="G679" i="3"/>
  <c r="V679" i="3"/>
  <c r="A680" i="3"/>
  <c r="B680" i="3" s="1"/>
  <c r="AC680" i="3" l="1"/>
  <c r="P680" i="3"/>
  <c r="Q680" i="3" s="1"/>
  <c r="R680" i="3" s="1"/>
  <c r="S680" i="3" s="1"/>
  <c r="AA680" i="3"/>
  <c r="Z680" i="3"/>
  <c r="I679" i="3"/>
  <c r="W679" i="3" s="1"/>
  <c r="J679" i="3"/>
  <c r="AD679" i="3" s="1"/>
  <c r="M679" i="3"/>
  <c r="N679" i="3" s="1"/>
  <c r="L679" i="3" l="1"/>
  <c r="T680" i="3"/>
  <c r="AH680" i="3" l="1"/>
  <c r="U679" i="3"/>
  <c r="E680" i="3" s="1"/>
  <c r="H680" i="3" s="1"/>
  <c r="AG680" i="3"/>
  <c r="Y678" i="3"/>
  <c r="D680" i="3" l="1"/>
  <c r="G680" i="3" s="1"/>
  <c r="K680" i="3"/>
  <c r="AE680" i="3" s="1"/>
  <c r="F680" i="3" l="1"/>
  <c r="I680" i="3"/>
  <c r="J680" i="3"/>
  <c r="AD680" i="3" s="1"/>
  <c r="M680" i="3"/>
  <c r="N680" i="3" s="1"/>
  <c r="V680" i="3"/>
  <c r="A681" i="3"/>
  <c r="B681" i="3" s="1"/>
  <c r="W680" i="3" l="1"/>
  <c r="L680" i="3"/>
  <c r="AA681" i="3"/>
  <c r="P681" i="3"/>
  <c r="Q681" i="3" s="1"/>
  <c r="R681" i="3" s="1"/>
  <c r="S681" i="3" s="1"/>
  <c r="Z681" i="3"/>
  <c r="AC681" i="3"/>
  <c r="U680" i="3" l="1"/>
  <c r="Y679" i="3"/>
  <c r="T681" i="3"/>
  <c r="E681" i="3" l="1"/>
  <c r="H681" i="3" s="1"/>
  <c r="K681" i="3" s="1"/>
  <c r="AE681" i="3" s="1"/>
  <c r="AG681" i="3"/>
  <c r="AH681" i="3"/>
  <c r="D681" i="3"/>
  <c r="F681" i="3" l="1"/>
  <c r="G681" i="3"/>
  <c r="V681" i="3"/>
  <c r="A682" i="3"/>
  <c r="B682" i="3" s="1"/>
  <c r="Z682" i="3" l="1"/>
  <c r="P682" i="3"/>
  <c r="Q682" i="3" s="1"/>
  <c r="R682" i="3" s="1"/>
  <c r="S682" i="3" s="1"/>
  <c r="AC682" i="3"/>
  <c r="AA682" i="3"/>
  <c r="I681" i="3"/>
  <c r="W681" i="3" s="1"/>
  <c r="J681" i="3"/>
  <c r="AD681" i="3" s="1"/>
  <c r="M681" i="3"/>
  <c r="N681" i="3" s="1"/>
  <c r="L681" i="3" l="1"/>
  <c r="T682" i="3"/>
  <c r="U681" i="3" l="1"/>
  <c r="E682" i="3" s="1"/>
  <c r="H682" i="3" s="1"/>
  <c r="AG682" i="3"/>
  <c r="AH682" i="3"/>
  <c r="Y680" i="3"/>
  <c r="D682" i="3" l="1"/>
  <c r="G682" i="3" s="1"/>
  <c r="K682" i="3"/>
  <c r="AE682" i="3" s="1"/>
  <c r="F682" i="3" l="1"/>
  <c r="V682" i="3"/>
  <c r="A683" i="3"/>
  <c r="B683" i="3" s="1"/>
  <c r="I682" i="3"/>
  <c r="J682" i="3"/>
  <c r="AD682" i="3" s="1"/>
  <c r="M682" i="3"/>
  <c r="N682" i="3" s="1"/>
  <c r="W682" i="3" l="1"/>
  <c r="L682" i="3"/>
  <c r="P683" i="3"/>
  <c r="Q683" i="3" s="1"/>
  <c r="R683" i="3" s="1"/>
  <c r="S683" i="3" s="1"/>
  <c r="AC683" i="3"/>
  <c r="AA683" i="3"/>
  <c r="Z683" i="3"/>
  <c r="U682" i="3" l="1"/>
  <c r="Y681" i="3"/>
  <c r="T683" i="3"/>
  <c r="E683" i="3" l="1"/>
  <c r="H683" i="3" s="1"/>
  <c r="K683" i="3" s="1"/>
  <c r="AE683" i="3" s="1"/>
  <c r="AH683" i="3"/>
  <c r="AG683" i="3"/>
  <c r="D683" i="3"/>
  <c r="F683" i="3" l="1"/>
  <c r="G683" i="3"/>
  <c r="V683" i="3"/>
  <c r="A684" i="3"/>
  <c r="B684" i="3" s="1"/>
  <c r="Z684" i="3" l="1"/>
  <c r="AA684" i="3"/>
  <c r="AC684" i="3"/>
  <c r="P684" i="3"/>
  <c r="Q684" i="3" s="1"/>
  <c r="R684" i="3" s="1"/>
  <c r="S684" i="3" s="1"/>
  <c r="I683" i="3"/>
  <c r="W683" i="3" s="1"/>
  <c r="J683" i="3"/>
  <c r="AD683" i="3" s="1"/>
  <c r="M683" i="3"/>
  <c r="N683" i="3" s="1"/>
  <c r="T684" i="3" l="1"/>
  <c r="L683" i="3"/>
  <c r="AH684" i="3" l="1"/>
  <c r="AG684" i="3"/>
  <c r="U683" i="3"/>
  <c r="D684" i="3" s="1"/>
  <c r="Y682" i="3"/>
  <c r="E684" i="3" l="1"/>
  <c r="H684" i="3" s="1"/>
  <c r="K684" i="3" s="1"/>
  <c r="AE684" i="3" s="1"/>
  <c r="G684" i="3"/>
  <c r="F684" i="3" l="1"/>
  <c r="V684" i="3"/>
  <c r="A685" i="3"/>
  <c r="B685" i="3" s="1"/>
  <c r="I684" i="3"/>
  <c r="J684" i="3"/>
  <c r="AD684" i="3" s="1"/>
  <c r="M684" i="3"/>
  <c r="N684" i="3" s="1"/>
  <c r="W684" i="3" l="1"/>
  <c r="L684" i="3"/>
  <c r="P685" i="3"/>
  <c r="Q685" i="3" s="1"/>
  <c r="R685" i="3" s="1"/>
  <c r="S685" i="3" s="1"/>
  <c r="Z685" i="3"/>
  <c r="AC685" i="3"/>
  <c r="AD685" i="3"/>
  <c r="AA685" i="3"/>
  <c r="U684" i="3" l="1"/>
  <c r="Y683" i="3"/>
  <c r="T685" i="3"/>
  <c r="AG685" i="3" s="1"/>
  <c r="D685" i="3" l="1"/>
  <c r="G685" i="3" s="1"/>
  <c r="E685" i="3"/>
  <c r="H685" i="3" s="1"/>
  <c r="AH685" i="3"/>
  <c r="F685" i="3" l="1"/>
  <c r="I685" i="3"/>
  <c r="J685" i="3"/>
  <c r="M685" i="3"/>
  <c r="N685" i="3" s="1"/>
  <c r="K685" i="3"/>
  <c r="AE685" i="3" s="1"/>
  <c r="V685" i="3" l="1"/>
  <c r="W685" i="3" s="1"/>
  <c r="A686" i="3"/>
  <c r="B686" i="3" s="1"/>
  <c r="L685" i="3"/>
  <c r="U685" i="3" l="1"/>
  <c r="Y684" i="3"/>
  <c r="AA686" i="3"/>
  <c r="AC686" i="3"/>
  <c r="AD686" i="3"/>
  <c r="P686" i="3"/>
  <c r="Q686" i="3" s="1"/>
  <c r="R686" i="3" s="1"/>
  <c r="S686" i="3" s="1"/>
  <c r="Z686" i="3"/>
  <c r="T686" i="3" l="1"/>
  <c r="D686" i="3" s="1"/>
  <c r="E686" i="3" l="1"/>
  <c r="H686" i="3" s="1"/>
  <c r="K686" i="3" s="1"/>
  <c r="AE686" i="3" s="1"/>
  <c r="AG686" i="3"/>
  <c r="AH686" i="3"/>
  <c r="G686" i="3"/>
  <c r="F686" i="3" l="1"/>
  <c r="V686" i="3"/>
  <c r="A687" i="3"/>
  <c r="B687" i="3" s="1"/>
  <c r="I686" i="3"/>
  <c r="J686" i="3"/>
  <c r="M686" i="3"/>
  <c r="N686" i="3" s="1"/>
  <c r="L686" i="3" l="1"/>
  <c r="W686" i="3"/>
  <c r="Z687" i="3"/>
  <c r="P687" i="3"/>
  <c r="Q687" i="3" s="1"/>
  <c r="R687" i="3" s="1"/>
  <c r="S687" i="3" s="1"/>
  <c r="AA687" i="3"/>
  <c r="AC687" i="3"/>
  <c r="U686" i="3" l="1"/>
  <c r="Y685" i="3"/>
  <c r="T687" i="3"/>
  <c r="AG687" i="3" s="1"/>
  <c r="AH687" i="3" l="1"/>
  <c r="D687" i="3"/>
  <c r="G687" i="3" s="1"/>
  <c r="E687" i="3"/>
  <c r="H687" i="3" s="1"/>
  <c r="K687" i="3" s="1"/>
  <c r="AE687" i="3" s="1"/>
  <c r="F687" i="3" l="1"/>
  <c r="I687" i="3"/>
  <c r="J687" i="3"/>
  <c r="AD687" i="3" s="1"/>
  <c r="M687" i="3"/>
  <c r="N687" i="3" s="1"/>
  <c r="V687" i="3"/>
  <c r="A688" i="3"/>
  <c r="B688" i="3" s="1"/>
  <c r="W687" i="3" l="1"/>
  <c r="L687" i="3"/>
  <c r="AC688" i="3"/>
  <c r="AA688" i="3"/>
  <c r="P688" i="3"/>
  <c r="Q688" i="3" s="1"/>
  <c r="R688" i="3" s="1"/>
  <c r="S688" i="3" s="1"/>
  <c r="Z688" i="3"/>
  <c r="U687" i="3" l="1"/>
  <c r="Y686" i="3"/>
  <c r="T688" i="3"/>
  <c r="AG688" i="3" s="1"/>
  <c r="E688" i="3" l="1"/>
  <c r="H688" i="3" s="1"/>
  <c r="K688" i="3" s="1"/>
  <c r="AE688" i="3" s="1"/>
  <c r="AH688" i="3"/>
  <c r="D688" i="3"/>
  <c r="F688" i="3" l="1"/>
  <c r="G688" i="3"/>
  <c r="V688" i="3"/>
  <c r="A689" i="3"/>
  <c r="B689" i="3" s="1"/>
  <c r="AA689" i="3" l="1"/>
  <c r="P689" i="3"/>
  <c r="Q689" i="3" s="1"/>
  <c r="R689" i="3" s="1"/>
  <c r="S689" i="3" s="1"/>
  <c r="Z689" i="3"/>
  <c r="AD689" i="3"/>
  <c r="AC689" i="3"/>
  <c r="I688" i="3"/>
  <c r="W688" i="3" s="1"/>
  <c r="J688" i="3"/>
  <c r="AD688" i="3" s="1"/>
  <c r="M688" i="3"/>
  <c r="N688" i="3" s="1"/>
  <c r="T689" i="3" l="1"/>
  <c r="L688" i="3"/>
  <c r="U688" i="3" l="1"/>
  <c r="D689" i="3" s="1"/>
  <c r="AG689" i="3"/>
  <c r="AH689" i="3"/>
  <c r="Y687" i="3"/>
  <c r="E689" i="3" l="1"/>
  <c r="H689" i="3" s="1"/>
  <c r="K689" i="3" s="1"/>
  <c r="AE689" i="3" s="1"/>
  <c r="G689" i="3"/>
  <c r="F689" i="3" l="1"/>
  <c r="I689" i="3"/>
  <c r="J689" i="3"/>
  <c r="M689" i="3"/>
  <c r="N689" i="3" s="1"/>
  <c r="V689" i="3"/>
  <c r="A690" i="3"/>
  <c r="B690" i="3" s="1"/>
  <c r="W689" i="3" l="1"/>
  <c r="L689" i="3"/>
  <c r="AA690" i="3"/>
  <c r="AC690" i="3"/>
  <c r="P690" i="3"/>
  <c r="Q690" i="3" s="1"/>
  <c r="R690" i="3" s="1"/>
  <c r="S690" i="3" s="1"/>
  <c r="AD690" i="3"/>
  <c r="Z690" i="3"/>
  <c r="U689" i="3" l="1"/>
  <c r="Y688" i="3"/>
  <c r="T690" i="3"/>
  <c r="AH690" i="3" s="1"/>
  <c r="D690" i="3" l="1"/>
  <c r="G690" i="3" s="1"/>
  <c r="E690" i="3"/>
  <c r="H690" i="3" s="1"/>
  <c r="K690" i="3" s="1"/>
  <c r="AE690" i="3" s="1"/>
  <c r="AG690" i="3"/>
  <c r="F690" i="3" l="1"/>
  <c r="I690" i="3"/>
  <c r="J690" i="3"/>
  <c r="M690" i="3"/>
  <c r="N690" i="3" s="1"/>
  <c r="V690" i="3"/>
  <c r="A691" i="3"/>
  <c r="B691" i="3" s="1"/>
  <c r="W690" i="3" l="1"/>
  <c r="L690" i="3"/>
  <c r="AA691" i="3"/>
  <c r="Z691" i="3"/>
  <c r="P691" i="3"/>
  <c r="Q691" i="3" s="1"/>
  <c r="R691" i="3" s="1"/>
  <c r="S691" i="3" s="1"/>
  <c r="AD691" i="3"/>
  <c r="AC691" i="3"/>
  <c r="T691" i="3" l="1"/>
  <c r="U690" i="3"/>
  <c r="Y689" i="3"/>
  <c r="D691" i="3" l="1"/>
  <c r="G691" i="3" s="1"/>
  <c r="AH691" i="3"/>
  <c r="E691" i="3"/>
  <c r="H691" i="3" s="1"/>
  <c r="AG691" i="3"/>
  <c r="F691" i="3" l="1"/>
  <c r="I691" i="3"/>
  <c r="J691" i="3"/>
  <c r="M691" i="3"/>
  <c r="N691" i="3" s="1"/>
  <c r="K691" i="3"/>
  <c r="AE691" i="3" s="1"/>
  <c r="V691" i="3" l="1"/>
  <c r="W691" i="3" s="1"/>
  <c r="A692" i="3"/>
  <c r="B692" i="3" s="1"/>
  <c r="L691" i="3"/>
  <c r="U691" i="3" l="1"/>
  <c r="Y690" i="3"/>
  <c r="AC692" i="3"/>
  <c r="AD692" i="3"/>
  <c r="AA692" i="3"/>
  <c r="Z692" i="3"/>
  <c r="P692" i="3"/>
  <c r="Q692" i="3" s="1"/>
  <c r="R692" i="3" s="1"/>
  <c r="S692" i="3" s="1"/>
  <c r="T692" i="3" l="1"/>
  <c r="E692" i="3" s="1"/>
  <c r="H692" i="3" s="1"/>
  <c r="D692" i="3" l="1"/>
  <c r="G692" i="3" s="1"/>
  <c r="AH692" i="3"/>
  <c r="K692" i="3"/>
  <c r="AE692" i="3" s="1"/>
  <c r="AG692" i="3"/>
  <c r="F692" i="3" l="1"/>
  <c r="I692" i="3"/>
  <c r="J692" i="3"/>
  <c r="M692" i="3"/>
  <c r="N692" i="3" s="1"/>
  <c r="V692" i="3"/>
  <c r="A693" i="3"/>
  <c r="B693" i="3" s="1"/>
  <c r="W692" i="3" l="1"/>
  <c r="L692" i="3"/>
  <c r="AC693" i="3"/>
  <c r="AA693" i="3"/>
  <c r="AD693" i="3"/>
  <c r="P693" i="3"/>
  <c r="Q693" i="3" s="1"/>
  <c r="R693" i="3" s="1"/>
  <c r="S693" i="3" s="1"/>
  <c r="Z693" i="3"/>
  <c r="U692" i="3" l="1"/>
  <c r="Y691" i="3"/>
  <c r="T693" i="3"/>
  <c r="AG693" i="3" s="1"/>
  <c r="D693" i="3" l="1"/>
  <c r="G693" i="3" s="1"/>
  <c r="E693" i="3"/>
  <c r="H693" i="3" s="1"/>
  <c r="K693" i="3" s="1"/>
  <c r="AE693" i="3" s="1"/>
  <c r="AH693" i="3"/>
  <c r="F693" i="3" l="1"/>
  <c r="V693" i="3"/>
  <c r="A694" i="3"/>
  <c r="B694" i="3" s="1"/>
  <c r="I693" i="3"/>
  <c r="J693" i="3"/>
  <c r="M693" i="3"/>
  <c r="N693" i="3" s="1"/>
  <c r="W693" i="3" l="1"/>
  <c r="L693" i="3"/>
  <c r="AA694" i="3"/>
  <c r="AC694" i="3"/>
  <c r="P694" i="3"/>
  <c r="Q694" i="3" s="1"/>
  <c r="R694" i="3" s="1"/>
  <c r="S694" i="3" s="1"/>
  <c r="Z694" i="3"/>
  <c r="U693" i="3" l="1"/>
  <c r="Y692" i="3"/>
  <c r="T694" i="3"/>
  <c r="AG694" i="3" s="1"/>
  <c r="E694" i="3" l="1"/>
  <c r="H694" i="3" s="1"/>
  <c r="K694" i="3" s="1"/>
  <c r="AE694" i="3" s="1"/>
  <c r="AH694" i="3"/>
  <c r="D694" i="3"/>
  <c r="G694" i="3" s="1"/>
  <c r="F694" i="3" l="1"/>
  <c r="I694" i="3"/>
  <c r="J694" i="3"/>
  <c r="AD694" i="3" s="1"/>
  <c r="M694" i="3"/>
  <c r="N694" i="3" s="1"/>
  <c r="V694" i="3"/>
  <c r="A695" i="3"/>
  <c r="B695" i="3" s="1"/>
  <c r="W694" i="3" l="1"/>
  <c r="L694" i="3"/>
  <c r="Z695" i="3"/>
  <c r="P695" i="3"/>
  <c r="Q695" i="3" s="1"/>
  <c r="R695" i="3" s="1"/>
  <c r="S695" i="3" s="1"/>
  <c r="AC695" i="3"/>
  <c r="AA695" i="3"/>
  <c r="U694" i="3" l="1"/>
  <c r="Y693" i="3"/>
  <c r="T695" i="3"/>
  <c r="E695" i="3" l="1"/>
  <c r="H695" i="3" s="1"/>
  <c r="K695" i="3" s="1"/>
  <c r="AE695" i="3" s="1"/>
  <c r="D695" i="3"/>
  <c r="AG695" i="3"/>
  <c r="AH695" i="3"/>
  <c r="V695" i="3" l="1"/>
  <c r="A696" i="3"/>
  <c r="B696" i="3" s="1"/>
  <c r="F695" i="3"/>
  <c r="G695" i="3"/>
  <c r="I695" i="3" l="1"/>
  <c r="W695" i="3" s="1"/>
  <c r="J695" i="3"/>
  <c r="AD695" i="3" s="1"/>
  <c r="M695" i="3"/>
  <c r="N695" i="3" s="1"/>
  <c r="AA696" i="3"/>
  <c r="Z696" i="3"/>
  <c r="P696" i="3"/>
  <c r="Q696" i="3" s="1"/>
  <c r="R696" i="3" s="1"/>
  <c r="S696" i="3" s="1"/>
  <c r="AC696" i="3"/>
  <c r="T696" i="3" l="1"/>
  <c r="L695" i="3"/>
  <c r="AH696" i="3" l="1"/>
  <c r="U695" i="3"/>
  <c r="D696" i="3" s="1"/>
  <c r="AG696" i="3"/>
  <c r="Y694" i="3"/>
  <c r="E696" i="3" l="1"/>
  <c r="H696" i="3" s="1"/>
  <c r="K696" i="3" s="1"/>
  <c r="AE696" i="3" s="1"/>
  <c r="G696" i="3"/>
  <c r="F696" i="3" l="1"/>
  <c r="V696" i="3"/>
  <c r="A697" i="3"/>
  <c r="B697" i="3" s="1"/>
  <c r="I696" i="3"/>
  <c r="J696" i="3"/>
  <c r="AD696" i="3" s="1"/>
  <c r="M696" i="3"/>
  <c r="N696" i="3" s="1"/>
  <c r="W696" i="3" l="1"/>
  <c r="P697" i="3"/>
  <c r="Q697" i="3" s="1"/>
  <c r="R697" i="3" s="1"/>
  <c r="S697" i="3" s="1"/>
  <c r="Z697" i="3"/>
  <c r="AA697" i="3"/>
  <c r="AC697" i="3"/>
  <c r="L696" i="3"/>
  <c r="U696" i="3" l="1"/>
  <c r="Y695" i="3"/>
  <c r="T697" i="3"/>
  <c r="E697" i="3" l="1"/>
  <c r="H697" i="3" s="1"/>
  <c r="K697" i="3" s="1"/>
  <c r="AE697" i="3" s="1"/>
  <c r="D697" i="3"/>
  <c r="AH697" i="3"/>
  <c r="AG697" i="3"/>
  <c r="F697" i="3" l="1"/>
  <c r="G697" i="3"/>
  <c r="M697" i="3" s="1"/>
  <c r="N697" i="3" s="1"/>
  <c r="V697" i="3"/>
  <c r="A698" i="3"/>
  <c r="B698" i="3" s="1"/>
  <c r="I697" i="3" l="1"/>
  <c r="W697" i="3" s="1"/>
  <c r="J697" i="3"/>
  <c r="AA698" i="3"/>
  <c r="Z698" i="3"/>
  <c r="AC698" i="3"/>
  <c r="P698" i="3"/>
  <c r="Q698" i="3" s="1"/>
  <c r="R698" i="3" s="1"/>
  <c r="S698" i="3" s="1"/>
  <c r="L697" i="3" l="1"/>
  <c r="U697" i="3" s="1"/>
  <c r="AD697" i="3"/>
  <c r="T698" i="3"/>
  <c r="Y696" i="3" l="1"/>
  <c r="AG698" i="3"/>
  <c r="E698" i="3"/>
  <c r="H698" i="3" s="1"/>
  <c r="K698" i="3" s="1"/>
  <c r="AE698" i="3" s="1"/>
  <c r="AH698" i="3"/>
  <c r="D698" i="3"/>
  <c r="F698" i="3" l="1"/>
  <c r="G698" i="3"/>
  <c r="J698" i="3" s="1"/>
  <c r="AD698" i="3" s="1"/>
  <c r="V698" i="3"/>
  <c r="A699" i="3"/>
  <c r="B699" i="3" s="1"/>
  <c r="M698" i="3" l="1"/>
  <c r="N698" i="3" s="1"/>
  <c r="I698" i="3"/>
  <c r="W698" i="3" s="1"/>
  <c r="L698" i="3"/>
  <c r="Z699" i="3"/>
  <c r="P699" i="3"/>
  <c r="Q699" i="3" s="1"/>
  <c r="R699" i="3" s="1"/>
  <c r="S699" i="3" s="1"/>
  <c r="AA699" i="3"/>
  <c r="AC699" i="3"/>
  <c r="T699" i="3" l="1"/>
  <c r="U698" i="3"/>
  <c r="Y697" i="3"/>
  <c r="D699" i="3" l="1"/>
  <c r="G699" i="3" s="1"/>
  <c r="AG699" i="3"/>
  <c r="AH699" i="3"/>
  <c r="E699" i="3"/>
  <c r="H699" i="3" s="1"/>
  <c r="K699" i="3" l="1"/>
  <c r="AE699" i="3" s="1"/>
  <c r="I699" i="3"/>
  <c r="J699" i="3"/>
  <c r="AD699" i="3" s="1"/>
  <c r="M699" i="3"/>
  <c r="N699" i="3" s="1"/>
  <c r="F699" i="3"/>
  <c r="L699" i="3" l="1"/>
  <c r="V699" i="3"/>
  <c r="W699" i="3" s="1"/>
  <c r="A700" i="3"/>
  <c r="B700" i="3" s="1"/>
  <c r="U699" i="3" l="1"/>
  <c r="Y698" i="3"/>
  <c r="Z700" i="3"/>
  <c r="P700" i="3"/>
  <c r="Q700" i="3" s="1"/>
  <c r="R700" i="3" s="1"/>
  <c r="S700" i="3" s="1"/>
  <c r="AC700" i="3"/>
  <c r="AA700" i="3"/>
  <c r="T700" i="3" l="1"/>
  <c r="D700" i="3" s="1"/>
  <c r="AH700" i="3" l="1"/>
  <c r="AG700" i="3"/>
  <c r="E700" i="3"/>
  <c r="H700" i="3" s="1"/>
  <c r="K700" i="3" s="1"/>
  <c r="AE700" i="3" s="1"/>
  <c r="G700" i="3"/>
  <c r="F700" i="3" l="1"/>
  <c r="I700" i="3"/>
  <c r="J700" i="3"/>
  <c r="AD700" i="3" s="1"/>
  <c r="M700" i="3"/>
  <c r="N700" i="3" s="1"/>
  <c r="V700" i="3"/>
  <c r="A701" i="3"/>
  <c r="B701" i="3" s="1"/>
  <c r="W700" i="3" l="1"/>
  <c r="L700" i="3"/>
  <c r="AC701" i="3"/>
  <c r="AA701" i="3"/>
  <c r="Z701" i="3"/>
  <c r="P701" i="3"/>
  <c r="Q701" i="3" s="1"/>
  <c r="R701" i="3" s="1"/>
  <c r="S701" i="3" s="1"/>
  <c r="U700" i="3" l="1"/>
  <c r="Y699" i="3"/>
  <c r="T701" i="3"/>
  <c r="AG701" i="3" s="1"/>
  <c r="AH701" i="3" l="1"/>
  <c r="E701" i="3"/>
  <c r="H701" i="3" s="1"/>
  <c r="D701" i="3"/>
  <c r="F701" i="3" l="1"/>
  <c r="G701" i="3"/>
  <c r="K701" i="3"/>
  <c r="AE701" i="3" s="1"/>
  <c r="I701" i="3" l="1"/>
  <c r="J701" i="3"/>
  <c r="AD701" i="3" s="1"/>
  <c r="M701" i="3"/>
  <c r="N701" i="3" s="1"/>
  <c r="V701" i="3"/>
  <c r="A702" i="3"/>
  <c r="B702" i="3" s="1"/>
  <c r="W701" i="3" l="1"/>
  <c r="L701" i="3"/>
  <c r="AC702" i="3"/>
  <c r="P702" i="3"/>
  <c r="Q702" i="3" s="1"/>
  <c r="R702" i="3" s="1"/>
  <c r="S702" i="3" s="1"/>
  <c r="Z702" i="3"/>
  <c r="AA702" i="3"/>
  <c r="U701" i="3" l="1"/>
  <c r="Y700" i="3"/>
  <c r="T702" i="3"/>
  <c r="AH702" i="3" s="1"/>
  <c r="D702" i="3" l="1"/>
  <c r="G702" i="3" s="1"/>
  <c r="E702" i="3"/>
  <c r="H702" i="3" s="1"/>
  <c r="K702" i="3" s="1"/>
  <c r="AE702" i="3" s="1"/>
  <c r="AG702" i="3"/>
  <c r="F702" i="3" l="1"/>
  <c r="V702" i="3"/>
  <c r="A703" i="3"/>
  <c r="B703" i="3" s="1"/>
  <c r="I702" i="3"/>
  <c r="J702" i="3"/>
  <c r="AD702" i="3" s="1"/>
  <c r="M702" i="3"/>
  <c r="N702" i="3" s="1"/>
  <c r="W702" i="3" l="1"/>
  <c r="L702" i="3"/>
  <c r="AC703" i="3"/>
  <c r="P703" i="3"/>
  <c r="Q703" i="3" s="1"/>
  <c r="R703" i="3" s="1"/>
  <c r="S703" i="3" s="1"/>
  <c r="AA703" i="3"/>
  <c r="Z703" i="3"/>
  <c r="T703" i="3" l="1"/>
  <c r="AH703" i="3" s="1"/>
  <c r="U702" i="3"/>
  <c r="Y701" i="3"/>
  <c r="E703" i="3" l="1"/>
  <c r="H703" i="3" s="1"/>
  <c r="K703" i="3" s="1"/>
  <c r="AE703" i="3" s="1"/>
  <c r="AG703" i="3"/>
  <c r="D703" i="3"/>
  <c r="F703" i="3" l="1"/>
  <c r="G703" i="3"/>
  <c r="V703" i="3"/>
  <c r="A704" i="3"/>
  <c r="B704" i="3" s="1"/>
  <c r="P704" i="3" l="1"/>
  <c r="Q704" i="3" s="1"/>
  <c r="R704" i="3" s="1"/>
  <c r="S704" i="3" s="1"/>
  <c r="AC704" i="3"/>
  <c r="Z704" i="3"/>
  <c r="AA704" i="3"/>
  <c r="I703" i="3"/>
  <c r="W703" i="3" s="1"/>
  <c r="J703" i="3"/>
  <c r="AD703" i="3" s="1"/>
  <c r="M703" i="3"/>
  <c r="N703" i="3" s="1"/>
  <c r="T704" i="3" l="1"/>
  <c r="L703" i="3"/>
  <c r="U703" i="3" l="1"/>
  <c r="D704" i="3" s="1"/>
  <c r="AG704" i="3"/>
  <c r="AH704" i="3"/>
  <c r="Y702" i="3"/>
  <c r="G704" i="3" l="1"/>
  <c r="E704" i="3"/>
  <c r="H704" i="3" s="1"/>
  <c r="F704" i="3" l="1"/>
  <c r="I704" i="3"/>
  <c r="J704" i="3"/>
  <c r="AD704" i="3" s="1"/>
  <c r="M704" i="3"/>
  <c r="N704" i="3" s="1"/>
  <c r="K704" i="3"/>
  <c r="AE704" i="3" s="1"/>
  <c r="V704" i="3" l="1"/>
  <c r="W704" i="3" s="1"/>
  <c r="A705" i="3"/>
  <c r="B705" i="3" s="1"/>
  <c r="L704" i="3"/>
  <c r="U704" i="3" l="1"/>
  <c r="Y703" i="3"/>
  <c r="Z705" i="3"/>
  <c r="P705" i="3"/>
  <c r="Q705" i="3" s="1"/>
  <c r="R705" i="3" s="1"/>
  <c r="S705" i="3" s="1"/>
  <c r="AC705" i="3"/>
  <c r="AA705" i="3"/>
  <c r="AD705" i="3"/>
  <c r="T705" i="3" l="1"/>
  <c r="AH705" i="3" s="1"/>
  <c r="AG705" i="3" l="1"/>
  <c r="D705" i="3"/>
  <c r="E705" i="3"/>
  <c r="H705" i="3" s="1"/>
  <c r="F705" i="3" l="1"/>
  <c r="G705" i="3"/>
  <c r="K705" i="3"/>
  <c r="AE705" i="3" s="1"/>
  <c r="I705" i="3" l="1"/>
  <c r="J705" i="3"/>
  <c r="M705" i="3"/>
  <c r="N705" i="3" s="1"/>
  <c r="V705" i="3"/>
  <c r="A706" i="3"/>
  <c r="B706" i="3" s="1"/>
  <c r="W705" i="3" l="1"/>
  <c r="L705" i="3"/>
  <c r="P706" i="3"/>
  <c r="Q706" i="3" s="1"/>
  <c r="R706" i="3" s="1"/>
  <c r="S706" i="3" s="1"/>
  <c r="AA706" i="3"/>
  <c r="AC706" i="3"/>
  <c r="Z706" i="3"/>
  <c r="AD706" i="3"/>
  <c r="U705" i="3" l="1"/>
  <c r="Y704" i="3"/>
  <c r="T706" i="3"/>
  <c r="AH706" i="3" s="1"/>
  <c r="E706" i="3" l="1"/>
  <c r="H706" i="3" s="1"/>
  <c r="D706" i="3"/>
  <c r="AG706" i="3"/>
  <c r="K706" i="3" l="1"/>
  <c r="AE706" i="3" s="1"/>
  <c r="F706" i="3"/>
  <c r="G706" i="3"/>
  <c r="I706" i="3" l="1"/>
  <c r="J706" i="3"/>
  <c r="M706" i="3"/>
  <c r="N706" i="3" s="1"/>
  <c r="V706" i="3"/>
  <c r="A707" i="3"/>
  <c r="B707" i="3" s="1"/>
  <c r="W706" i="3" l="1"/>
  <c r="P707" i="3"/>
  <c r="Q707" i="3" s="1"/>
  <c r="R707" i="3" s="1"/>
  <c r="S707" i="3" s="1"/>
  <c r="Z707" i="3"/>
  <c r="AC707" i="3"/>
  <c r="AA707" i="3"/>
  <c r="L706" i="3"/>
  <c r="T707" i="3" l="1"/>
  <c r="AG707" i="3" s="1"/>
  <c r="U706" i="3"/>
  <c r="Y705" i="3"/>
  <c r="E707" i="3" l="1"/>
  <c r="H707" i="3" s="1"/>
  <c r="K707" i="3" s="1"/>
  <c r="AE707" i="3" s="1"/>
  <c r="D707" i="3"/>
  <c r="AH707" i="3"/>
  <c r="V707" i="3" l="1"/>
  <c r="A708" i="3"/>
  <c r="B708" i="3" s="1"/>
  <c r="F707" i="3"/>
  <c r="G707" i="3"/>
  <c r="I707" i="3" l="1"/>
  <c r="W707" i="3" s="1"/>
  <c r="J707" i="3"/>
  <c r="AD707" i="3" s="1"/>
  <c r="M707" i="3"/>
  <c r="N707" i="3" s="1"/>
  <c r="P708" i="3"/>
  <c r="Q708" i="3" s="1"/>
  <c r="R708" i="3" s="1"/>
  <c r="S708" i="3" s="1"/>
  <c r="AC708" i="3"/>
  <c r="Z708" i="3"/>
  <c r="AA708" i="3"/>
  <c r="T708" i="3" l="1"/>
  <c r="L707" i="3"/>
  <c r="U707" i="3" l="1"/>
  <c r="D708" i="3" s="1"/>
  <c r="AG708" i="3"/>
  <c r="AH708" i="3"/>
  <c r="Y706" i="3"/>
  <c r="E708" i="3" l="1"/>
  <c r="H708" i="3" s="1"/>
  <c r="K708" i="3" s="1"/>
  <c r="AE708" i="3" s="1"/>
  <c r="G708" i="3"/>
  <c r="F708" i="3" l="1"/>
  <c r="I708" i="3"/>
  <c r="J708" i="3"/>
  <c r="AD708" i="3" s="1"/>
  <c r="M708" i="3"/>
  <c r="N708" i="3" s="1"/>
  <c r="V708" i="3"/>
  <c r="A709" i="3"/>
  <c r="B709" i="3" s="1"/>
  <c r="W708" i="3" l="1"/>
  <c r="L708" i="3"/>
  <c r="Z709" i="3"/>
  <c r="AA709" i="3"/>
  <c r="AD709" i="3"/>
  <c r="P709" i="3"/>
  <c r="Q709" i="3" s="1"/>
  <c r="R709" i="3" s="1"/>
  <c r="S709" i="3" s="1"/>
  <c r="AC709" i="3"/>
  <c r="U708" i="3" l="1"/>
  <c r="Y707" i="3"/>
  <c r="T709" i="3"/>
  <c r="AG709" i="3" s="1"/>
  <c r="AH709" i="3" l="1"/>
  <c r="E709" i="3"/>
  <c r="H709" i="3" s="1"/>
  <c r="D709" i="3"/>
  <c r="F709" i="3" l="1"/>
  <c r="G709" i="3"/>
  <c r="K709" i="3"/>
  <c r="AE709" i="3" s="1"/>
  <c r="V709" i="3" l="1"/>
  <c r="A710" i="3"/>
  <c r="B710" i="3" s="1"/>
  <c r="I709" i="3"/>
  <c r="J709" i="3"/>
  <c r="M709" i="3"/>
  <c r="N709" i="3" s="1"/>
  <c r="W709" i="3" l="1"/>
  <c r="L709" i="3"/>
  <c r="AD710" i="3"/>
  <c r="AC710" i="3"/>
  <c r="Z710" i="3"/>
  <c r="AA710" i="3"/>
  <c r="P710" i="3"/>
  <c r="Q710" i="3" s="1"/>
  <c r="R710" i="3" s="1"/>
  <c r="S710" i="3" s="1"/>
  <c r="U709" i="3" l="1"/>
  <c r="Y708" i="3"/>
  <c r="T710" i="3"/>
  <c r="AH710" i="3" s="1"/>
  <c r="D710" i="3" l="1"/>
  <c r="E710" i="3"/>
  <c r="H710" i="3" s="1"/>
  <c r="AG710" i="3"/>
  <c r="F710" i="3" l="1"/>
  <c r="G710" i="3"/>
  <c r="K710" i="3"/>
  <c r="AE710" i="3" s="1"/>
  <c r="I710" i="3" l="1"/>
  <c r="J710" i="3"/>
  <c r="M710" i="3"/>
  <c r="N710" i="3" s="1"/>
  <c r="V710" i="3"/>
  <c r="A711" i="3"/>
  <c r="B711" i="3" s="1"/>
  <c r="W710" i="3" l="1"/>
  <c r="L710" i="3"/>
  <c r="AA711" i="3"/>
  <c r="AC711" i="3"/>
  <c r="Z711" i="3"/>
  <c r="AD711" i="3"/>
  <c r="P711" i="3"/>
  <c r="Q711" i="3" s="1"/>
  <c r="R711" i="3" s="1"/>
  <c r="S711" i="3" s="1"/>
  <c r="T711" i="3" l="1"/>
  <c r="U710" i="3"/>
  <c r="Y709" i="3"/>
  <c r="D711" i="3" l="1"/>
  <c r="G711" i="3" s="1"/>
  <c r="E711" i="3"/>
  <c r="H711" i="3" s="1"/>
  <c r="AH711" i="3"/>
  <c r="AG711" i="3"/>
  <c r="F711" i="3" l="1"/>
  <c r="K711" i="3"/>
  <c r="AE711" i="3" s="1"/>
  <c r="I711" i="3"/>
  <c r="J711" i="3"/>
  <c r="M711" i="3"/>
  <c r="N711" i="3" s="1"/>
  <c r="L711" i="3" l="1"/>
  <c r="V711" i="3"/>
  <c r="W711" i="3" s="1"/>
  <c r="A712" i="3"/>
  <c r="B712" i="3" s="1"/>
  <c r="AC712" i="3" l="1"/>
  <c r="AD712" i="3"/>
  <c r="P712" i="3"/>
  <c r="Q712" i="3" s="1"/>
  <c r="R712" i="3" s="1"/>
  <c r="S712" i="3" s="1"/>
  <c r="AA712" i="3"/>
  <c r="Z712" i="3"/>
  <c r="U711" i="3"/>
  <c r="Y710" i="3"/>
  <c r="T712" i="3" l="1"/>
  <c r="AG712" i="3" l="1"/>
  <c r="D712" i="3"/>
  <c r="E712" i="3"/>
  <c r="H712" i="3" s="1"/>
  <c r="AH712" i="3"/>
  <c r="K712" i="3" l="1"/>
  <c r="AE712" i="3" s="1"/>
  <c r="F712" i="3"/>
  <c r="G712" i="3"/>
  <c r="V712" i="3" l="1"/>
  <c r="A713" i="3"/>
  <c r="B713" i="3" s="1"/>
  <c r="I712" i="3"/>
  <c r="J712" i="3"/>
  <c r="M712" i="3"/>
  <c r="N712" i="3" s="1"/>
  <c r="W712" i="3" l="1"/>
  <c r="L712" i="3"/>
  <c r="Z713" i="3"/>
  <c r="P713" i="3"/>
  <c r="Q713" i="3" s="1"/>
  <c r="R713" i="3" s="1"/>
  <c r="S713" i="3" s="1"/>
  <c r="AC713" i="3"/>
  <c r="AD713" i="3"/>
  <c r="AA713" i="3"/>
  <c r="T713" i="3" l="1"/>
  <c r="AH713" i="3" s="1"/>
  <c r="U712" i="3"/>
  <c r="Y711" i="3"/>
  <c r="D713" i="3" l="1"/>
  <c r="AG713" i="3"/>
  <c r="E713" i="3"/>
  <c r="H713" i="3" s="1"/>
  <c r="F713" i="3" l="1"/>
  <c r="G713" i="3"/>
  <c r="M713" i="3" s="1"/>
  <c r="N713" i="3" s="1"/>
  <c r="K713" i="3"/>
  <c r="AE713" i="3" s="1"/>
  <c r="I713" i="3" l="1"/>
  <c r="J713" i="3"/>
  <c r="L713" i="3" s="1"/>
  <c r="V713" i="3"/>
  <c r="A714" i="3"/>
  <c r="B714" i="3" s="1"/>
  <c r="W713" i="3" l="1"/>
  <c r="U713" i="3"/>
  <c r="Y712" i="3"/>
  <c r="AA714" i="3"/>
  <c r="P714" i="3"/>
  <c r="Q714" i="3" s="1"/>
  <c r="R714" i="3" s="1"/>
  <c r="S714" i="3" s="1"/>
  <c r="Z714" i="3"/>
  <c r="AC714" i="3"/>
  <c r="T714" i="3" l="1"/>
  <c r="AH714" i="3" s="1"/>
  <c r="D714" i="3" l="1"/>
  <c r="G714" i="3" s="1"/>
  <c r="E714" i="3"/>
  <c r="H714" i="3" s="1"/>
  <c r="K714" i="3" s="1"/>
  <c r="AE714" i="3" s="1"/>
  <c r="AG714" i="3"/>
  <c r="F714" i="3" l="1"/>
  <c r="V714" i="3"/>
  <c r="A715" i="3"/>
  <c r="B715" i="3" s="1"/>
  <c r="I714" i="3"/>
  <c r="J714" i="3"/>
  <c r="AD714" i="3" s="1"/>
  <c r="M714" i="3"/>
  <c r="N714" i="3" s="1"/>
  <c r="L714" i="3" l="1"/>
  <c r="W714" i="3"/>
  <c r="AC715" i="3"/>
  <c r="P715" i="3"/>
  <c r="Q715" i="3" s="1"/>
  <c r="R715" i="3" s="1"/>
  <c r="S715" i="3" s="1"/>
  <c r="Z715" i="3"/>
  <c r="AA715" i="3"/>
  <c r="AD715" i="3"/>
  <c r="U714" i="3" l="1"/>
  <c r="Y713" i="3"/>
  <c r="T715" i="3"/>
  <c r="AG715" i="3" s="1"/>
  <c r="AH715" i="3" l="1"/>
  <c r="D715" i="3"/>
  <c r="G715" i="3" s="1"/>
  <c r="E715" i="3"/>
  <c r="H715" i="3" s="1"/>
  <c r="F715" i="3" l="1"/>
  <c r="I715" i="3"/>
  <c r="J715" i="3"/>
  <c r="M715" i="3"/>
  <c r="N715" i="3" s="1"/>
  <c r="K715" i="3"/>
  <c r="AE715" i="3" s="1"/>
  <c r="V715" i="3" l="1"/>
  <c r="W715" i="3" s="1"/>
  <c r="A716" i="3"/>
  <c r="B716" i="3" s="1"/>
  <c r="L715" i="3"/>
  <c r="U715" i="3" l="1"/>
  <c r="Y714" i="3"/>
  <c r="AC716" i="3"/>
  <c r="Z716" i="3"/>
  <c r="P716" i="3"/>
  <c r="Q716" i="3" s="1"/>
  <c r="R716" i="3" s="1"/>
  <c r="S716" i="3" s="1"/>
  <c r="AA716" i="3"/>
  <c r="AD716" i="3"/>
  <c r="T716" i="3" l="1"/>
  <c r="D716" i="3" s="1"/>
  <c r="E716" i="3" l="1"/>
  <c r="H716" i="3" s="1"/>
  <c r="K716" i="3" s="1"/>
  <c r="AE716" i="3" s="1"/>
  <c r="AH716" i="3"/>
  <c r="AG716" i="3"/>
  <c r="G716" i="3"/>
  <c r="F716" i="3" l="1"/>
  <c r="I716" i="3"/>
  <c r="J716" i="3"/>
  <c r="M716" i="3"/>
  <c r="N716" i="3" s="1"/>
  <c r="V716" i="3"/>
  <c r="A717" i="3"/>
  <c r="B717" i="3" s="1"/>
  <c r="W716" i="3" l="1"/>
  <c r="L716" i="3"/>
  <c r="AC717" i="3"/>
  <c r="P717" i="3"/>
  <c r="Q717" i="3" s="1"/>
  <c r="R717" i="3" s="1"/>
  <c r="S717" i="3" s="1"/>
  <c r="Z717" i="3"/>
  <c r="AA717" i="3"/>
  <c r="U716" i="3" l="1"/>
  <c r="Y715" i="3"/>
  <c r="T717" i="3"/>
  <c r="AG717" i="3" s="1"/>
  <c r="E717" i="3" l="1"/>
  <c r="H717" i="3" s="1"/>
  <c r="K717" i="3" s="1"/>
  <c r="AE717" i="3" s="1"/>
  <c r="AH717" i="3"/>
  <c r="D717" i="3"/>
  <c r="V717" i="3" l="1"/>
  <c r="A718" i="3"/>
  <c r="B718" i="3" s="1"/>
  <c r="F717" i="3"/>
  <c r="G717" i="3"/>
  <c r="I717" i="3" l="1"/>
  <c r="W717" i="3" s="1"/>
  <c r="J717" i="3"/>
  <c r="AD717" i="3" s="1"/>
  <c r="M717" i="3"/>
  <c r="N717" i="3" s="1"/>
  <c r="P718" i="3"/>
  <c r="Q718" i="3" s="1"/>
  <c r="R718" i="3" s="1"/>
  <c r="S718" i="3" s="1"/>
  <c r="AC718" i="3"/>
  <c r="Z718" i="3"/>
  <c r="AA718" i="3"/>
  <c r="L717" i="3" l="1"/>
  <c r="T718" i="3"/>
  <c r="U717" i="3" l="1"/>
  <c r="E718" i="3" s="1"/>
  <c r="H718" i="3" s="1"/>
  <c r="AH718" i="3"/>
  <c r="AG718" i="3"/>
  <c r="Y716" i="3"/>
  <c r="K718" i="3" l="1"/>
  <c r="AE718" i="3" s="1"/>
  <c r="D718" i="3"/>
  <c r="V718" i="3" l="1"/>
  <c r="A719" i="3"/>
  <c r="B719" i="3" s="1"/>
  <c r="F718" i="3"/>
  <c r="G718" i="3"/>
  <c r="I718" i="3" l="1"/>
  <c r="W718" i="3" s="1"/>
  <c r="J718" i="3"/>
  <c r="AD718" i="3" s="1"/>
  <c r="M718" i="3"/>
  <c r="N718" i="3" s="1"/>
  <c r="Z719" i="3"/>
  <c r="P719" i="3"/>
  <c r="Q719" i="3" s="1"/>
  <c r="R719" i="3" s="1"/>
  <c r="S719" i="3" s="1"/>
  <c r="AA719" i="3"/>
  <c r="AC719" i="3"/>
  <c r="T719" i="3" l="1"/>
  <c r="L718" i="3"/>
  <c r="AG719" i="3" l="1"/>
  <c r="AH719" i="3"/>
  <c r="U718" i="3"/>
  <c r="E719" i="3" s="1"/>
  <c r="H719" i="3" s="1"/>
  <c r="Y717" i="3"/>
  <c r="D719" i="3" l="1"/>
  <c r="G719" i="3" s="1"/>
  <c r="K719" i="3"/>
  <c r="AE719" i="3" s="1"/>
  <c r="F719" i="3" l="1"/>
  <c r="I719" i="3"/>
  <c r="J719" i="3"/>
  <c r="AD719" i="3" s="1"/>
  <c r="M719" i="3"/>
  <c r="N719" i="3" s="1"/>
  <c r="V719" i="3"/>
  <c r="A720" i="3"/>
  <c r="B720" i="3" s="1"/>
  <c r="W719" i="3" l="1"/>
  <c r="L719" i="3"/>
  <c r="P720" i="3"/>
  <c r="Q720" i="3" s="1"/>
  <c r="R720" i="3" s="1"/>
  <c r="S720" i="3" s="1"/>
  <c r="AA720" i="3"/>
  <c r="AC720" i="3"/>
  <c r="Z720" i="3"/>
  <c r="U719" i="3" l="1"/>
  <c r="Y718" i="3"/>
  <c r="T720" i="3"/>
  <c r="AG720" i="3" s="1"/>
  <c r="E720" i="3" l="1"/>
  <c r="H720" i="3" s="1"/>
  <c r="K720" i="3" s="1"/>
  <c r="AE720" i="3" s="1"/>
  <c r="D720" i="3"/>
  <c r="AH720" i="3"/>
  <c r="V720" i="3" l="1"/>
  <c r="A721" i="3"/>
  <c r="B721" i="3" s="1"/>
  <c r="F720" i="3"/>
  <c r="G720" i="3"/>
  <c r="I720" i="3" l="1"/>
  <c r="W720" i="3" s="1"/>
  <c r="J720" i="3"/>
  <c r="AD720" i="3" s="1"/>
  <c r="M720" i="3"/>
  <c r="N720" i="3" s="1"/>
  <c r="AA721" i="3"/>
  <c r="Z721" i="3"/>
  <c r="AC721" i="3"/>
  <c r="P721" i="3"/>
  <c r="Q721" i="3" s="1"/>
  <c r="R721" i="3" s="1"/>
  <c r="S721" i="3" s="1"/>
  <c r="T721" i="3" l="1"/>
  <c r="L720" i="3"/>
  <c r="AG721" i="3" l="1"/>
  <c r="U720" i="3"/>
  <c r="D721" i="3" s="1"/>
  <c r="AH721" i="3"/>
  <c r="Y719" i="3"/>
  <c r="G721" i="3" l="1"/>
  <c r="E721" i="3"/>
  <c r="H721" i="3" s="1"/>
  <c r="F721" i="3" l="1"/>
  <c r="I721" i="3"/>
  <c r="J721" i="3"/>
  <c r="AD721" i="3" s="1"/>
  <c r="M721" i="3"/>
  <c r="N721" i="3" s="1"/>
  <c r="K721" i="3"/>
  <c r="AE721" i="3" s="1"/>
  <c r="V721" i="3" l="1"/>
  <c r="W721" i="3" s="1"/>
  <c r="A722" i="3"/>
  <c r="B722" i="3" s="1"/>
  <c r="L721" i="3"/>
  <c r="U721" i="3" l="1"/>
  <c r="Y720" i="3"/>
  <c r="AA722" i="3"/>
  <c r="AC722" i="3"/>
  <c r="P722" i="3"/>
  <c r="Q722" i="3" s="1"/>
  <c r="R722" i="3" s="1"/>
  <c r="S722" i="3" s="1"/>
  <c r="Z722" i="3"/>
  <c r="T722" i="3" l="1"/>
  <c r="AH722" i="3" s="1"/>
  <c r="E722" i="3" l="1"/>
  <c r="H722" i="3" s="1"/>
  <c r="K722" i="3" s="1"/>
  <c r="AE722" i="3" s="1"/>
  <c r="D722" i="3"/>
  <c r="AG722" i="3"/>
  <c r="V722" i="3" l="1"/>
  <c r="A723" i="3"/>
  <c r="B723" i="3" s="1"/>
  <c r="F722" i="3"/>
  <c r="G722" i="3"/>
  <c r="I722" i="3" l="1"/>
  <c r="W722" i="3" s="1"/>
  <c r="J722" i="3"/>
  <c r="AD722" i="3" s="1"/>
  <c r="M722" i="3"/>
  <c r="N722" i="3" s="1"/>
  <c r="Z723" i="3"/>
  <c r="AA723" i="3"/>
  <c r="AC723" i="3"/>
  <c r="P723" i="3"/>
  <c r="Q723" i="3" s="1"/>
  <c r="R723" i="3" s="1"/>
  <c r="S723" i="3" s="1"/>
  <c r="T723" i="3" l="1"/>
  <c r="L722" i="3"/>
  <c r="U722" i="3" l="1"/>
  <c r="E723" i="3" s="1"/>
  <c r="H723" i="3" s="1"/>
  <c r="AG723" i="3"/>
  <c r="AH723" i="3"/>
  <c r="Y721" i="3"/>
  <c r="D723" i="3" l="1"/>
  <c r="G723" i="3" s="1"/>
  <c r="K723" i="3"/>
  <c r="AE723" i="3" s="1"/>
  <c r="F723" i="3" l="1"/>
  <c r="V723" i="3"/>
  <c r="A724" i="3"/>
  <c r="B724" i="3" s="1"/>
  <c r="I723" i="3"/>
  <c r="J723" i="3"/>
  <c r="AD723" i="3" s="1"/>
  <c r="M723" i="3"/>
  <c r="N723" i="3" s="1"/>
  <c r="W723" i="3" l="1"/>
  <c r="L723" i="3"/>
  <c r="AA724" i="3"/>
  <c r="Z724" i="3"/>
  <c r="AC724" i="3"/>
  <c r="P724" i="3"/>
  <c r="Q724" i="3" s="1"/>
  <c r="R724" i="3" s="1"/>
  <c r="S724" i="3" s="1"/>
  <c r="T724" i="3" l="1"/>
  <c r="AH724" i="3" s="1"/>
  <c r="U723" i="3"/>
  <c r="Y722" i="3"/>
  <c r="D724" i="3" l="1"/>
  <c r="E724" i="3"/>
  <c r="H724" i="3" s="1"/>
  <c r="AG724" i="3"/>
  <c r="K724" i="3" l="1"/>
  <c r="AE724" i="3" s="1"/>
  <c r="F724" i="3"/>
  <c r="G724" i="3"/>
  <c r="I724" i="3" l="1"/>
  <c r="J724" i="3"/>
  <c r="AD724" i="3" s="1"/>
  <c r="M724" i="3"/>
  <c r="N724" i="3" s="1"/>
  <c r="V724" i="3"/>
  <c r="A725" i="3"/>
  <c r="B725" i="3" s="1"/>
  <c r="W724" i="3" l="1"/>
  <c r="L724" i="3"/>
  <c r="AC725" i="3"/>
  <c r="P725" i="3"/>
  <c r="Q725" i="3" s="1"/>
  <c r="R725" i="3" s="1"/>
  <c r="S725" i="3" s="1"/>
  <c r="Z725" i="3"/>
  <c r="AA725" i="3"/>
  <c r="U724" i="3" l="1"/>
  <c r="Y723" i="3"/>
  <c r="T725" i="3"/>
  <c r="AG725" i="3" s="1"/>
  <c r="AH725" i="3" l="1"/>
  <c r="D725" i="3"/>
  <c r="G725" i="3" s="1"/>
  <c r="E725" i="3"/>
  <c r="H725" i="3" s="1"/>
  <c r="F725" i="3" l="1"/>
  <c r="I725" i="3"/>
  <c r="J725" i="3"/>
  <c r="AD725" i="3" s="1"/>
  <c r="M725" i="3"/>
  <c r="N725" i="3" s="1"/>
  <c r="K725" i="3"/>
  <c r="AE725" i="3" s="1"/>
  <c r="V725" i="3" l="1"/>
  <c r="W725" i="3" s="1"/>
  <c r="A726" i="3"/>
  <c r="B726" i="3" s="1"/>
  <c r="L725" i="3"/>
  <c r="U725" i="3" l="1"/>
  <c r="Y724" i="3"/>
  <c r="Z726" i="3"/>
  <c r="P726" i="3"/>
  <c r="Q726" i="3" s="1"/>
  <c r="R726" i="3" s="1"/>
  <c r="S726" i="3" s="1"/>
  <c r="AA726" i="3"/>
  <c r="AC726" i="3"/>
  <c r="T726" i="3" l="1"/>
  <c r="AG726" i="3" s="1"/>
  <c r="D726" i="3" l="1"/>
  <c r="G726" i="3" s="1"/>
  <c r="E726" i="3"/>
  <c r="H726" i="3" s="1"/>
  <c r="K726" i="3" s="1"/>
  <c r="AE726" i="3" s="1"/>
  <c r="AH726" i="3"/>
  <c r="F726" i="3" l="1"/>
  <c r="I726" i="3"/>
  <c r="J726" i="3"/>
  <c r="AD726" i="3" s="1"/>
  <c r="M726" i="3"/>
  <c r="N726" i="3" s="1"/>
  <c r="V726" i="3"/>
  <c r="A727" i="3"/>
  <c r="B727" i="3" s="1"/>
  <c r="W726" i="3" l="1"/>
  <c r="L726" i="3"/>
  <c r="P727" i="3"/>
  <c r="Q727" i="3" s="1"/>
  <c r="R727" i="3" s="1"/>
  <c r="S727" i="3" s="1"/>
  <c r="Z727" i="3"/>
  <c r="AA727" i="3"/>
  <c r="AC727" i="3"/>
  <c r="U726" i="3" l="1"/>
  <c r="Y725" i="3"/>
  <c r="T727" i="3"/>
  <c r="AH727" i="3" s="1"/>
  <c r="E727" i="3" l="1"/>
  <c r="H727" i="3" s="1"/>
  <c r="K727" i="3" s="1"/>
  <c r="AE727" i="3" s="1"/>
  <c r="D727" i="3"/>
  <c r="AG727" i="3"/>
  <c r="F727" i="3" l="1"/>
  <c r="G727" i="3"/>
  <c r="M727" i="3" s="1"/>
  <c r="N727" i="3" s="1"/>
  <c r="V727" i="3"/>
  <c r="A728" i="3"/>
  <c r="B728" i="3" s="1"/>
  <c r="I727" i="3" l="1"/>
  <c r="W727" i="3" s="1"/>
  <c r="J727" i="3"/>
  <c r="AA728" i="3"/>
  <c r="P728" i="3"/>
  <c r="Q728" i="3" s="1"/>
  <c r="R728" i="3" s="1"/>
  <c r="S728" i="3" s="1"/>
  <c r="AC728" i="3"/>
  <c r="Z728" i="3"/>
  <c r="L727" i="3" l="1"/>
  <c r="U727" i="3" s="1"/>
  <c r="AD727" i="3"/>
  <c r="T728" i="3"/>
  <c r="Y726" i="3" l="1"/>
  <c r="D728" i="3"/>
  <c r="G728" i="3" s="1"/>
  <c r="AG728" i="3"/>
  <c r="E728" i="3"/>
  <c r="H728" i="3" s="1"/>
  <c r="AH728" i="3"/>
  <c r="F728" i="3" l="1"/>
  <c r="I728" i="3"/>
  <c r="J728" i="3"/>
  <c r="AD728" i="3" s="1"/>
  <c r="M728" i="3"/>
  <c r="N728" i="3" s="1"/>
  <c r="K728" i="3"/>
  <c r="AE728" i="3" s="1"/>
  <c r="V728" i="3" l="1"/>
  <c r="W728" i="3" s="1"/>
  <c r="A729" i="3"/>
  <c r="B729" i="3" s="1"/>
  <c r="L728" i="3"/>
  <c r="U728" i="3" l="1"/>
  <c r="Y727" i="3"/>
  <c r="P729" i="3"/>
  <c r="Q729" i="3" s="1"/>
  <c r="R729" i="3" s="1"/>
  <c r="S729" i="3" s="1"/>
  <c r="AA729" i="3"/>
  <c r="AC729" i="3"/>
  <c r="Z729" i="3"/>
  <c r="T729" i="3" l="1"/>
  <c r="E729" i="3" s="1"/>
  <c r="H729" i="3" s="1"/>
  <c r="AH729" i="3" l="1"/>
  <c r="D729" i="3"/>
  <c r="F729" i="3" s="1"/>
  <c r="AG729" i="3"/>
  <c r="K729" i="3"/>
  <c r="AE729" i="3" s="1"/>
  <c r="G729" i="3" l="1"/>
  <c r="I729" i="3" s="1"/>
  <c r="V729" i="3"/>
  <c r="A730" i="3"/>
  <c r="B730" i="3" s="1"/>
  <c r="W729" i="3" l="1"/>
  <c r="J729" i="3"/>
  <c r="M729" i="3"/>
  <c r="N729" i="3" s="1"/>
  <c r="AA730" i="3"/>
  <c r="Z730" i="3"/>
  <c r="P730" i="3"/>
  <c r="Q730" i="3" s="1"/>
  <c r="R730" i="3" s="1"/>
  <c r="S730" i="3" s="1"/>
  <c r="AC730" i="3"/>
  <c r="L729" i="3" l="1"/>
  <c r="U729" i="3" s="1"/>
  <c r="AD729" i="3"/>
  <c r="T730" i="3"/>
  <c r="Y728" i="3" l="1"/>
  <c r="AG730" i="3"/>
  <c r="D730" i="3"/>
  <c r="E730" i="3"/>
  <c r="H730" i="3" s="1"/>
  <c r="AH730" i="3"/>
  <c r="K730" i="3" l="1"/>
  <c r="AE730" i="3" s="1"/>
  <c r="F730" i="3"/>
  <c r="G730" i="3"/>
  <c r="I730" i="3" l="1"/>
  <c r="J730" i="3"/>
  <c r="AD730" i="3" s="1"/>
  <c r="M730" i="3"/>
  <c r="N730" i="3" s="1"/>
  <c r="V730" i="3"/>
  <c r="A731" i="3"/>
  <c r="B731" i="3" s="1"/>
  <c r="W730" i="3" l="1"/>
  <c r="L730" i="3"/>
  <c r="P731" i="3"/>
  <c r="Q731" i="3" s="1"/>
  <c r="R731" i="3" s="1"/>
  <c r="S731" i="3" s="1"/>
  <c r="Z731" i="3"/>
  <c r="AA731" i="3"/>
  <c r="AC731" i="3"/>
  <c r="U730" i="3" l="1"/>
  <c r="Y729" i="3"/>
  <c r="T731" i="3"/>
  <c r="AG731" i="3" s="1"/>
  <c r="E731" i="3" l="1"/>
  <c r="H731" i="3" s="1"/>
  <c r="K731" i="3" s="1"/>
  <c r="AE731" i="3" s="1"/>
  <c r="AH731" i="3"/>
  <c r="D731" i="3"/>
  <c r="F731" i="3" l="1"/>
  <c r="G731" i="3"/>
  <c r="J731" i="3" s="1"/>
  <c r="AD731" i="3" s="1"/>
  <c r="V731" i="3"/>
  <c r="A732" i="3"/>
  <c r="B732" i="3" s="1"/>
  <c r="M731" i="3" l="1"/>
  <c r="N731" i="3" s="1"/>
  <c r="I731" i="3"/>
  <c r="W731" i="3" s="1"/>
  <c r="L731" i="3"/>
  <c r="AC732" i="3"/>
  <c r="Z732" i="3"/>
  <c r="AA732" i="3"/>
  <c r="P732" i="3"/>
  <c r="Q732" i="3" s="1"/>
  <c r="R732" i="3" s="1"/>
  <c r="S732" i="3" s="1"/>
  <c r="U731" i="3" l="1"/>
  <c r="Y730" i="3"/>
  <c r="T732" i="3"/>
  <c r="E732" i="3" l="1"/>
  <c r="H732" i="3" s="1"/>
  <c r="K732" i="3" s="1"/>
  <c r="AE732" i="3" s="1"/>
  <c r="D732" i="3"/>
  <c r="G732" i="3" s="1"/>
  <c r="AH732" i="3"/>
  <c r="AG732" i="3"/>
  <c r="F732" i="3" l="1"/>
  <c r="I732" i="3"/>
  <c r="J732" i="3"/>
  <c r="AD732" i="3" s="1"/>
  <c r="M732" i="3"/>
  <c r="N732" i="3" s="1"/>
  <c r="V732" i="3"/>
  <c r="A733" i="3"/>
  <c r="B733" i="3" s="1"/>
  <c r="W732" i="3" l="1"/>
  <c r="L732" i="3"/>
  <c r="AC733" i="3"/>
  <c r="P733" i="3"/>
  <c r="Q733" i="3" s="1"/>
  <c r="R733" i="3" s="1"/>
  <c r="S733" i="3" s="1"/>
  <c r="AA733" i="3"/>
  <c r="Z733" i="3"/>
  <c r="T733" i="3" l="1"/>
  <c r="AH733" i="3" s="1"/>
  <c r="U732" i="3"/>
  <c r="Y731" i="3"/>
  <c r="D733" i="3" l="1"/>
  <c r="G733" i="3" s="1"/>
  <c r="E733" i="3"/>
  <c r="H733" i="3" s="1"/>
  <c r="AG733" i="3"/>
  <c r="F733" i="3" l="1"/>
  <c r="I733" i="3"/>
  <c r="J733" i="3"/>
  <c r="AD733" i="3" s="1"/>
  <c r="M733" i="3"/>
  <c r="N733" i="3" s="1"/>
  <c r="K733" i="3"/>
  <c r="AE733" i="3" s="1"/>
  <c r="V733" i="3" l="1"/>
  <c r="W733" i="3" s="1"/>
  <c r="A734" i="3"/>
  <c r="B734" i="3" s="1"/>
  <c r="L733" i="3"/>
  <c r="U733" i="3" l="1"/>
  <c r="Y732" i="3"/>
  <c r="P734" i="3"/>
  <c r="Q734" i="3" s="1"/>
  <c r="R734" i="3" s="1"/>
  <c r="S734" i="3" s="1"/>
  <c r="AC734" i="3"/>
  <c r="AA734" i="3"/>
  <c r="Z734" i="3"/>
  <c r="T734" i="3" l="1"/>
  <c r="AG734" i="3" s="1"/>
  <c r="D734" i="3" l="1"/>
  <c r="E734" i="3"/>
  <c r="H734" i="3" s="1"/>
  <c r="K734" i="3" s="1"/>
  <c r="AE734" i="3" s="1"/>
  <c r="AH734" i="3"/>
  <c r="F734" i="3" l="1"/>
  <c r="G734" i="3"/>
  <c r="M734" i="3" s="1"/>
  <c r="N734" i="3" s="1"/>
  <c r="V734" i="3"/>
  <c r="A735" i="3"/>
  <c r="B735" i="3" s="1"/>
  <c r="I734" i="3" l="1"/>
  <c r="W734" i="3" s="1"/>
  <c r="J734" i="3"/>
  <c r="AA735" i="3"/>
  <c r="Z735" i="3"/>
  <c r="P735" i="3"/>
  <c r="Q735" i="3" s="1"/>
  <c r="R735" i="3" s="1"/>
  <c r="S735" i="3" s="1"/>
  <c r="AC735" i="3"/>
  <c r="L734" i="3" l="1"/>
  <c r="Y733" i="3" s="1"/>
  <c r="AD734" i="3"/>
  <c r="T735" i="3"/>
  <c r="U734" i="3" l="1"/>
  <c r="E735" i="3" s="1"/>
  <c r="H735" i="3" s="1"/>
  <c r="AH735" i="3"/>
  <c r="AG735" i="3"/>
  <c r="D735" i="3" l="1"/>
  <c r="G735" i="3" s="1"/>
  <c r="M735" i="3" s="1"/>
  <c r="N735" i="3" s="1"/>
  <c r="K735" i="3"/>
  <c r="AE735" i="3" s="1"/>
  <c r="F735" i="3" l="1"/>
  <c r="I735" i="3"/>
  <c r="J735" i="3"/>
  <c r="V735" i="3"/>
  <c r="A736" i="3"/>
  <c r="B736" i="3" s="1"/>
  <c r="L735" i="3" l="1"/>
  <c r="U735" i="3" s="1"/>
  <c r="AD735" i="3"/>
  <c r="W735" i="3"/>
  <c r="Z736" i="3"/>
  <c r="P736" i="3"/>
  <c r="Q736" i="3" s="1"/>
  <c r="R736" i="3" s="1"/>
  <c r="S736" i="3" s="1"/>
  <c r="AA736" i="3"/>
  <c r="AC736" i="3"/>
  <c r="Y734" i="3" l="1"/>
  <c r="T736" i="3"/>
  <c r="E736" i="3" s="1"/>
  <c r="H736" i="3" s="1"/>
  <c r="AH736" i="3" l="1"/>
  <c r="D736" i="3"/>
  <c r="F736" i="3" s="1"/>
  <c r="K736" i="3"/>
  <c r="AE736" i="3" s="1"/>
  <c r="AG736" i="3"/>
  <c r="G736" i="3" l="1"/>
  <c r="M736" i="3" s="1"/>
  <c r="N736" i="3" s="1"/>
  <c r="V736" i="3"/>
  <c r="A737" i="3"/>
  <c r="B737" i="3" s="1"/>
  <c r="I736" i="3" l="1"/>
  <c r="W736" i="3" s="1"/>
  <c r="J736" i="3"/>
  <c r="AC737" i="3"/>
  <c r="P737" i="3"/>
  <c r="Q737" i="3" s="1"/>
  <c r="R737" i="3" s="1"/>
  <c r="S737" i="3" s="1"/>
  <c r="Z737" i="3"/>
  <c r="AA737" i="3"/>
  <c r="L736" i="3" l="1"/>
  <c r="U736" i="3" s="1"/>
  <c r="AD736" i="3"/>
  <c r="T737" i="3"/>
  <c r="Y735" i="3" l="1"/>
  <c r="AH737" i="3"/>
  <c r="D737" i="3"/>
  <c r="E737" i="3"/>
  <c r="H737" i="3" s="1"/>
  <c r="AG737" i="3"/>
  <c r="F737" i="3" l="1"/>
  <c r="G737" i="3"/>
  <c r="K737" i="3"/>
  <c r="AE737" i="3" s="1"/>
  <c r="V737" i="3" l="1"/>
  <c r="A738" i="3"/>
  <c r="B738" i="3" s="1"/>
  <c r="I737" i="3"/>
  <c r="J737" i="3"/>
  <c r="AD737" i="3" s="1"/>
  <c r="M737" i="3"/>
  <c r="N737" i="3" s="1"/>
  <c r="W737" i="3" l="1"/>
  <c r="L737" i="3"/>
  <c r="AA738" i="3"/>
  <c r="P738" i="3"/>
  <c r="Q738" i="3" s="1"/>
  <c r="R738" i="3" s="1"/>
  <c r="S738" i="3" s="1"/>
  <c r="AC738" i="3"/>
  <c r="Z738" i="3"/>
  <c r="U737" i="3" l="1"/>
  <c r="Y736" i="3"/>
  <c r="T738" i="3"/>
  <c r="E738" i="3" l="1"/>
  <c r="H738" i="3" s="1"/>
  <c r="K738" i="3" s="1"/>
  <c r="AE738" i="3" s="1"/>
  <c r="D738" i="3"/>
  <c r="AG738" i="3"/>
  <c r="AH738" i="3"/>
  <c r="V738" i="3" l="1"/>
  <c r="A739" i="3"/>
  <c r="B739" i="3" s="1"/>
  <c r="F738" i="3"/>
  <c r="G738" i="3"/>
  <c r="I738" i="3" l="1"/>
  <c r="W738" i="3" s="1"/>
  <c r="J738" i="3"/>
  <c r="AD738" i="3" s="1"/>
  <c r="M738" i="3"/>
  <c r="N738" i="3" s="1"/>
  <c r="P739" i="3"/>
  <c r="Q739" i="3" s="1"/>
  <c r="R739" i="3" s="1"/>
  <c r="S739" i="3" s="1"/>
  <c r="AC739" i="3"/>
  <c r="AA739" i="3"/>
  <c r="AD739" i="3"/>
  <c r="Z739" i="3"/>
  <c r="T739" i="3" l="1"/>
  <c r="L738" i="3"/>
  <c r="AH739" i="3" l="1"/>
  <c r="U738" i="3"/>
  <c r="E739" i="3" s="1"/>
  <c r="H739" i="3" s="1"/>
  <c r="AG739" i="3"/>
  <c r="Y737" i="3"/>
  <c r="D739" i="3" l="1"/>
  <c r="G739" i="3" s="1"/>
  <c r="K739" i="3"/>
  <c r="AE739" i="3" s="1"/>
  <c r="F739" i="3" l="1"/>
  <c r="I739" i="3"/>
  <c r="J739" i="3"/>
  <c r="M739" i="3"/>
  <c r="N739" i="3" s="1"/>
  <c r="V739" i="3"/>
  <c r="A740" i="3"/>
  <c r="B740" i="3" s="1"/>
  <c r="W739" i="3" l="1"/>
  <c r="L739" i="3"/>
  <c r="P740" i="3"/>
  <c r="Q740" i="3" s="1"/>
  <c r="R740" i="3" s="1"/>
  <c r="S740" i="3" s="1"/>
  <c r="Z740" i="3"/>
  <c r="AC740" i="3"/>
  <c r="AD740" i="3"/>
  <c r="AA740" i="3"/>
  <c r="U739" i="3" l="1"/>
  <c r="Y738" i="3"/>
  <c r="T740" i="3"/>
  <c r="E740" i="3" l="1"/>
  <c r="H740" i="3" s="1"/>
  <c r="K740" i="3" s="1"/>
  <c r="AE740" i="3" s="1"/>
  <c r="D740" i="3"/>
  <c r="G740" i="3" s="1"/>
  <c r="AH740" i="3"/>
  <c r="AG740" i="3"/>
  <c r="F740" i="3" l="1"/>
  <c r="I740" i="3"/>
  <c r="J740" i="3"/>
  <c r="M740" i="3"/>
  <c r="N740" i="3" s="1"/>
  <c r="V740" i="3"/>
  <c r="A741" i="3"/>
  <c r="B741" i="3" s="1"/>
  <c r="W740" i="3" l="1"/>
  <c r="L740" i="3"/>
  <c r="AA741" i="3"/>
  <c r="P741" i="3"/>
  <c r="Q741" i="3" s="1"/>
  <c r="R741" i="3" s="1"/>
  <c r="S741" i="3" s="1"/>
  <c r="AD741" i="3"/>
  <c r="Z741" i="3"/>
  <c r="AC741" i="3"/>
  <c r="T741" i="3" l="1"/>
  <c r="AG741" i="3" s="1"/>
  <c r="U740" i="3"/>
  <c r="Y739" i="3"/>
  <c r="E741" i="3" l="1"/>
  <c r="H741" i="3" s="1"/>
  <c r="D741" i="3"/>
  <c r="AH741" i="3"/>
  <c r="K741" i="3" l="1"/>
  <c r="AE741" i="3" s="1"/>
  <c r="F741" i="3"/>
  <c r="G741" i="3"/>
  <c r="V741" i="3" l="1"/>
  <c r="A742" i="3"/>
  <c r="B742" i="3" s="1"/>
  <c r="I741" i="3"/>
  <c r="J741" i="3"/>
  <c r="M741" i="3"/>
  <c r="N741" i="3" s="1"/>
  <c r="L741" i="3" l="1"/>
  <c r="W741" i="3"/>
  <c r="AC742" i="3"/>
  <c r="P742" i="3"/>
  <c r="Q742" i="3" s="1"/>
  <c r="R742" i="3" s="1"/>
  <c r="S742" i="3" s="1"/>
  <c r="AD742" i="3"/>
  <c r="Z742" i="3"/>
  <c r="AA742" i="3"/>
  <c r="U741" i="3" l="1"/>
  <c r="Y740" i="3"/>
  <c r="T742" i="3"/>
  <c r="AG742" i="3" s="1"/>
  <c r="E742" i="3" l="1"/>
  <c r="H742" i="3" s="1"/>
  <c r="K742" i="3" s="1"/>
  <c r="AE742" i="3" s="1"/>
  <c r="AH742" i="3"/>
  <c r="D742" i="3"/>
  <c r="F742" i="3" l="1"/>
  <c r="G742" i="3"/>
  <c r="V742" i="3"/>
  <c r="A743" i="3"/>
  <c r="B743" i="3" s="1"/>
  <c r="I742" i="3" l="1"/>
  <c r="W742" i="3" s="1"/>
  <c r="J742" i="3"/>
  <c r="M742" i="3"/>
  <c r="N742" i="3" s="1"/>
  <c r="Z743" i="3"/>
  <c r="AA743" i="3"/>
  <c r="P743" i="3"/>
  <c r="Q743" i="3" s="1"/>
  <c r="R743" i="3" s="1"/>
  <c r="S743" i="3" s="1"/>
  <c r="AC743" i="3"/>
  <c r="AD743" i="3"/>
  <c r="T743" i="3" l="1"/>
  <c r="L742" i="3"/>
  <c r="U742" i="3" l="1"/>
  <c r="E743" i="3" s="1"/>
  <c r="H743" i="3" s="1"/>
  <c r="AH743" i="3"/>
  <c r="AG743" i="3"/>
  <c r="Y741" i="3"/>
  <c r="D743" i="3" l="1"/>
  <c r="G743" i="3" s="1"/>
  <c r="K743" i="3"/>
  <c r="AE743" i="3" s="1"/>
  <c r="F743" i="3" l="1"/>
  <c r="I743" i="3"/>
  <c r="J743" i="3"/>
  <c r="M743" i="3"/>
  <c r="N743" i="3" s="1"/>
  <c r="V743" i="3"/>
  <c r="A744" i="3"/>
  <c r="B744" i="3" s="1"/>
  <c r="W743" i="3" l="1"/>
  <c r="L743" i="3"/>
  <c r="AA744" i="3"/>
  <c r="P744" i="3"/>
  <c r="Q744" i="3" s="1"/>
  <c r="R744" i="3" s="1"/>
  <c r="S744" i="3" s="1"/>
  <c r="AC744" i="3"/>
  <c r="Z744" i="3"/>
  <c r="U743" i="3" l="1"/>
  <c r="Y742" i="3"/>
  <c r="T744" i="3"/>
  <c r="AG744" i="3" s="1"/>
  <c r="E744" i="3" l="1"/>
  <c r="H744" i="3" s="1"/>
  <c r="K744" i="3" s="1"/>
  <c r="AE744" i="3" s="1"/>
  <c r="D744" i="3"/>
  <c r="AH744" i="3"/>
  <c r="F744" i="3" l="1"/>
  <c r="G744" i="3"/>
  <c r="I744" i="3" s="1"/>
  <c r="V744" i="3"/>
  <c r="A745" i="3"/>
  <c r="B745" i="3" s="1"/>
  <c r="J744" i="3" l="1"/>
  <c r="M744" i="3"/>
  <c r="N744" i="3" s="1"/>
  <c r="W744" i="3"/>
  <c r="P745" i="3"/>
  <c r="Q745" i="3" s="1"/>
  <c r="R745" i="3" s="1"/>
  <c r="S745" i="3" s="1"/>
  <c r="AA745" i="3"/>
  <c r="AC745" i="3"/>
  <c r="Z745" i="3"/>
  <c r="L744" i="3" l="1"/>
  <c r="U744" i="3" s="1"/>
  <c r="AD744" i="3"/>
  <c r="T745" i="3"/>
  <c r="Y743" i="3" l="1"/>
  <c r="AG745" i="3"/>
  <c r="E745" i="3"/>
  <c r="H745" i="3" s="1"/>
  <c r="K745" i="3" s="1"/>
  <c r="AE745" i="3" s="1"/>
  <c r="D745" i="3"/>
  <c r="AH745" i="3"/>
  <c r="F745" i="3" l="1"/>
  <c r="G745" i="3"/>
  <c r="M745" i="3" s="1"/>
  <c r="N745" i="3" s="1"/>
  <c r="V745" i="3"/>
  <c r="A746" i="3"/>
  <c r="B746" i="3" s="1"/>
  <c r="I745" i="3" l="1"/>
  <c r="W745" i="3" s="1"/>
  <c r="J745" i="3"/>
  <c r="Z746" i="3"/>
  <c r="P746" i="3"/>
  <c r="Q746" i="3" s="1"/>
  <c r="R746" i="3" s="1"/>
  <c r="S746" i="3" s="1"/>
  <c r="AA746" i="3"/>
  <c r="AC746" i="3"/>
  <c r="L745" i="3" l="1"/>
  <c r="U745" i="3" s="1"/>
  <c r="AD745" i="3"/>
  <c r="T746" i="3"/>
  <c r="Y744" i="3" l="1"/>
  <c r="D746" i="3"/>
  <c r="G746" i="3" s="1"/>
  <c r="AG746" i="3"/>
  <c r="E746" i="3"/>
  <c r="H746" i="3" s="1"/>
  <c r="AH746" i="3"/>
  <c r="F746" i="3" l="1"/>
  <c r="I746" i="3"/>
  <c r="J746" i="3"/>
  <c r="AD746" i="3" s="1"/>
  <c r="M746" i="3"/>
  <c r="N746" i="3" s="1"/>
  <c r="K746" i="3"/>
  <c r="AE746" i="3" s="1"/>
  <c r="V746" i="3" l="1"/>
  <c r="W746" i="3" s="1"/>
  <c r="A747" i="3"/>
  <c r="B747" i="3" s="1"/>
  <c r="L746" i="3"/>
  <c r="U746" i="3" l="1"/>
  <c r="Y745" i="3"/>
  <c r="AA747" i="3"/>
  <c r="Z747" i="3"/>
  <c r="AC747" i="3"/>
  <c r="P747" i="3"/>
  <c r="Q747" i="3" s="1"/>
  <c r="R747" i="3" s="1"/>
  <c r="S747" i="3" s="1"/>
  <c r="T747" i="3" l="1"/>
  <c r="D747" i="3" s="1"/>
  <c r="AG747" i="3" l="1"/>
  <c r="E747" i="3"/>
  <c r="H747" i="3" s="1"/>
  <c r="K747" i="3" s="1"/>
  <c r="AE747" i="3" s="1"/>
  <c r="AH747" i="3"/>
  <c r="G747" i="3"/>
  <c r="F747" i="3" l="1"/>
  <c r="I747" i="3"/>
  <c r="J747" i="3"/>
  <c r="AD747" i="3" s="1"/>
  <c r="M747" i="3"/>
  <c r="N747" i="3" s="1"/>
  <c r="V747" i="3"/>
  <c r="A748" i="3"/>
  <c r="B748" i="3" s="1"/>
  <c r="W747" i="3" l="1"/>
  <c r="L747" i="3"/>
  <c r="AC748" i="3"/>
  <c r="P748" i="3"/>
  <c r="Q748" i="3" s="1"/>
  <c r="R748" i="3" s="1"/>
  <c r="S748" i="3" s="1"/>
  <c r="Z748" i="3"/>
  <c r="AA748" i="3"/>
  <c r="U747" i="3" l="1"/>
  <c r="Y746" i="3"/>
  <c r="T748" i="3"/>
  <c r="E748" i="3" l="1"/>
  <c r="H748" i="3" s="1"/>
  <c r="K748" i="3" s="1"/>
  <c r="AE748" i="3" s="1"/>
  <c r="D748" i="3"/>
  <c r="AH748" i="3"/>
  <c r="AG748" i="3"/>
  <c r="V748" i="3" l="1"/>
  <c r="A749" i="3"/>
  <c r="B749" i="3" s="1"/>
  <c r="F748" i="3"/>
  <c r="G748" i="3"/>
  <c r="I748" i="3" l="1"/>
  <c r="W748" i="3" s="1"/>
  <c r="J748" i="3"/>
  <c r="AD748" i="3" s="1"/>
  <c r="M748" i="3"/>
  <c r="N748" i="3" s="1"/>
  <c r="AA749" i="3"/>
  <c r="Z749" i="3"/>
  <c r="P749" i="3"/>
  <c r="Q749" i="3" s="1"/>
  <c r="R749" i="3" s="1"/>
  <c r="S749" i="3" s="1"/>
  <c r="AC749" i="3"/>
  <c r="T749" i="3" l="1"/>
  <c r="L748" i="3"/>
  <c r="U748" i="3" l="1"/>
  <c r="E749" i="3" s="1"/>
  <c r="H749" i="3" s="1"/>
  <c r="AG749" i="3"/>
  <c r="AH749" i="3"/>
  <c r="Y747" i="3"/>
  <c r="K749" i="3" l="1"/>
  <c r="AE749" i="3" s="1"/>
  <c r="D749" i="3"/>
  <c r="V749" i="3" l="1"/>
  <c r="A750" i="3"/>
  <c r="B750" i="3" s="1"/>
  <c r="F749" i="3"/>
  <c r="G749" i="3"/>
  <c r="I749" i="3" l="1"/>
  <c r="W749" i="3" s="1"/>
  <c r="J749" i="3"/>
  <c r="AD749" i="3" s="1"/>
  <c r="M749" i="3"/>
  <c r="N749" i="3" s="1"/>
  <c r="AA750" i="3"/>
  <c r="AC750" i="3"/>
  <c r="Z750" i="3"/>
  <c r="P750" i="3"/>
  <c r="Q750" i="3" s="1"/>
  <c r="R750" i="3" s="1"/>
  <c r="S750" i="3" s="1"/>
  <c r="T750" i="3" l="1"/>
  <c r="L749" i="3"/>
  <c r="AH750" i="3" l="1"/>
  <c r="AG750" i="3"/>
  <c r="U749" i="3"/>
  <c r="D750" i="3" s="1"/>
  <c r="Y748" i="3"/>
  <c r="G750" i="3" l="1"/>
  <c r="E750" i="3"/>
  <c r="H750" i="3" s="1"/>
  <c r="F750" i="3" l="1"/>
  <c r="I750" i="3"/>
  <c r="J750" i="3"/>
  <c r="AD750" i="3" s="1"/>
  <c r="M750" i="3"/>
  <c r="N750" i="3" s="1"/>
  <c r="K750" i="3"/>
  <c r="AE750" i="3" s="1"/>
  <c r="V750" i="3" l="1"/>
  <c r="W750" i="3" s="1"/>
  <c r="A751" i="3"/>
  <c r="B751" i="3" s="1"/>
  <c r="L750" i="3"/>
  <c r="U750" i="3" l="1"/>
  <c r="Y749" i="3"/>
  <c r="P751" i="3"/>
  <c r="Q751" i="3" s="1"/>
  <c r="R751" i="3" s="1"/>
  <c r="S751" i="3" s="1"/>
  <c r="Z751" i="3"/>
  <c r="AA751" i="3"/>
  <c r="AC751" i="3"/>
  <c r="T751" i="3" l="1"/>
  <c r="AH751" i="3" s="1"/>
  <c r="E751" i="3" l="1"/>
  <c r="H751" i="3" s="1"/>
  <c r="K751" i="3" s="1"/>
  <c r="AE751" i="3" s="1"/>
  <c r="AG751" i="3"/>
  <c r="D751" i="3"/>
  <c r="F751" i="3" l="1"/>
  <c r="G751" i="3"/>
  <c r="V751" i="3"/>
  <c r="A752" i="3"/>
  <c r="B752" i="3" s="1"/>
  <c r="AA752" i="3" l="1"/>
  <c r="Z752" i="3"/>
  <c r="AC752" i="3"/>
  <c r="P752" i="3"/>
  <c r="Q752" i="3" s="1"/>
  <c r="R752" i="3" s="1"/>
  <c r="S752" i="3" s="1"/>
  <c r="I751" i="3"/>
  <c r="W751" i="3" s="1"/>
  <c r="J751" i="3"/>
  <c r="AD751" i="3" s="1"/>
  <c r="M751" i="3"/>
  <c r="N751" i="3" s="1"/>
  <c r="L751" i="3" l="1"/>
  <c r="T752" i="3"/>
  <c r="U751" i="3" l="1"/>
  <c r="E752" i="3" s="1"/>
  <c r="H752" i="3" s="1"/>
  <c r="AG752" i="3"/>
  <c r="AH752" i="3"/>
  <c r="Y750" i="3"/>
  <c r="K752" i="3" l="1"/>
  <c r="AE752" i="3" s="1"/>
  <c r="D752" i="3"/>
  <c r="V752" i="3" l="1"/>
  <c r="A753" i="3"/>
  <c r="B753" i="3" s="1"/>
  <c r="F752" i="3"/>
  <c r="G752" i="3"/>
  <c r="I752" i="3" l="1"/>
  <c r="W752" i="3" s="1"/>
  <c r="J752" i="3"/>
  <c r="AD752" i="3" s="1"/>
  <c r="M752" i="3"/>
  <c r="N752" i="3" s="1"/>
  <c r="AA753" i="3"/>
  <c r="Z753" i="3"/>
  <c r="P753" i="3"/>
  <c r="Q753" i="3" s="1"/>
  <c r="R753" i="3" s="1"/>
  <c r="S753" i="3" s="1"/>
  <c r="AC753" i="3"/>
  <c r="T753" i="3" l="1"/>
  <c r="L752" i="3"/>
  <c r="AG753" i="3" l="1"/>
  <c r="U752" i="3"/>
  <c r="E753" i="3" s="1"/>
  <c r="H753" i="3" s="1"/>
  <c r="AH753" i="3"/>
  <c r="Y751" i="3"/>
  <c r="K753" i="3" l="1"/>
  <c r="AE753" i="3" s="1"/>
  <c r="D753" i="3"/>
  <c r="V753" i="3" l="1"/>
  <c r="A754" i="3"/>
  <c r="B754" i="3" s="1"/>
  <c r="F753" i="3"/>
  <c r="G753" i="3"/>
  <c r="I753" i="3" l="1"/>
  <c r="W753" i="3" s="1"/>
  <c r="J753" i="3"/>
  <c r="AD753" i="3" s="1"/>
  <c r="M753" i="3"/>
  <c r="N753" i="3" s="1"/>
  <c r="AC754" i="3"/>
  <c r="P754" i="3"/>
  <c r="Q754" i="3" s="1"/>
  <c r="R754" i="3" s="1"/>
  <c r="S754" i="3" s="1"/>
  <c r="Z754" i="3"/>
  <c r="AA754" i="3"/>
  <c r="T754" i="3" l="1"/>
  <c r="L753" i="3"/>
  <c r="AG754" i="3" l="1"/>
  <c r="AH754" i="3"/>
  <c r="U753" i="3"/>
  <c r="E754" i="3" s="1"/>
  <c r="H754" i="3" s="1"/>
  <c r="Y752" i="3"/>
  <c r="D754" i="3" l="1"/>
  <c r="G754" i="3" s="1"/>
  <c r="K754" i="3"/>
  <c r="AE754" i="3" s="1"/>
  <c r="F754" i="3" l="1"/>
  <c r="I754" i="3"/>
  <c r="J754" i="3"/>
  <c r="AD754" i="3" s="1"/>
  <c r="M754" i="3"/>
  <c r="N754" i="3" s="1"/>
  <c r="V754" i="3"/>
  <c r="A755" i="3"/>
  <c r="B755" i="3" s="1"/>
  <c r="W754" i="3" l="1"/>
  <c r="L754" i="3"/>
  <c r="AC755" i="3"/>
  <c r="AA755" i="3"/>
  <c r="P755" i="3"/>
  <c r="Q755" i="3" s="1"/>
  <c r="R755" i="3" s="1"/>
  <c r="S755" i="3" s="1"/>
  <c r="Z755" i="3"/>
  <c r="T755" i="3" l="1"/>
  <c r="U754" i="3"/>
  <c r="Y753" i="3"/>
  <c r="E755" i="3" l="1"/>
  <c r="H755" i="3" s="1"/>
  <c r="K755" i="3" s="1"/>
  <c r="AE755" i="3" s="1"/>
  <c r="AH755" i="3"/>
  <c r="AG755" i="3"/>
  <c r="D755" i="3"/>
  <c r="F755" i="3" l="1"/>
  <c r="G755" i="3"/>
  <c r="V755" i="3"/>
  <c r="A756" i="3"/>
  <c r="B756" i="3" s="1"/>
  <c r="P756" i="3" l="1"/>
  <c r="Q756" i="3" s="1"/>
  <c r="R756" i="3" s="1"/>
  <c r="S756" i="3" s="1"/>
  <c r="Z756" i="3"/>
  <c r="AA756" i="3"/>
  <c r="AC756" i="3"/>
  <c r="I755" i="3"/>
  <c r="W755" i="3" s="1"/>
  <c r="J755" i="3"/>
  <c r="AD755" i="3" s="1"/>
  <c r="M755" i="3"/>
  <c r="N755" i="3" s="1"/>
  <c r="T756" i="3" l="1"/>
  <c r="L755" i="3"/>
  <c r="AG756" i="3" l="1"/>
  <c r="U755" i="3"/>
  <c r="E756" i="3" s="1"/>
  <c r="H756" i="3" s="1"/>
  <c r="AH756" i="3"/>
  <c r="Y754" i="3"/>
  <c r="D756" i="3" l="1"/>
  <c r="F756" i="3" s="1"/>
  <c r="K756" i="3"/>
  <c r="AE756" i="3" s="1"/>
  <c r="G756" i="3" l="1"/>
  <c r="M756" i="3" s="1"/>
  <c r="N756" i="3" s="1"/>
  <c r="V756" i="3"/>
  <c r="A757" i="3"/>
  <c r="B757" i="3" s="1"/>
  <c r="I756" i="3" l="1"/>
  <c r="W756" i="3" s="1"/>
  <c r="J756" i="3"/>
  <c r="AC757" i="3"/>
  <c r="P757" i="3"/>
  <c r="Q757" i="3" s="1"/>
  <c r="R757" i="3" s="1"/>
  <c r="S757" i="3" s="1"/>
  <c r="Z757" i="3"/>
  <c r="AA757" i="3"/>
  <c r="L756" i="3" l="1"/>
  <c r="U756" i="3" s="1"/>
  <c r="AD756" i="3"/>
  <c r="T757" i="3"/>
  <c r="Y755" i="3" l="1"/>
  <c r="E757" i="3"/>
  <c r="H757" i="3" s="1"/>
  <c r="K757" i="3" s="1"/>
  <c r="AE757" i="3" s="1"/>
  <c r="AH757" i="3"/>
  <c r="D757" i="3"/>
  <c r="AG757" i="3"/>
  <c r="V757" i="3" l="1"/>
  <c r="A758" i="3"/>
  <c r="B758" i="3" s="1"/>
  <c r="F757" i="3"/>
  <c r="G757" i="3"/>
  <c r="I757" i="3" l="1"/>
  <c r="W757" i="3" s="1"/>
  <c r="J757" i="3"/>
  <c r="AD757" i="3" s="1"/>
  <c r="M757" i="3"/>
  <c r="N757" i="3" s="1"/>
  <c r="AA758" i="3"/>
  <c r="Z758" i="3"/>
  <c r="AC758" i="3"/>
  <c r="P758" i="3"/>
  <c r="Q758" i="3" s="1"/>
  <c r="R758" i="3" s="1"/>
  <c r="S758" i="3" s="1"/>
  <c r="T758" i="3" l="1"/>
  <c r="L757" i="3"/>
  <c r="AG758" i="3" l="1"/>
  <c r="U757" i="3"/>
  <c r="D758" i="3" s="1"/>
  <c r="AH758" i="3"/>
  <c r="Y756" i="3"/>
  <c r="E758" i="3" l="1"/>
  <c r="H758" i="3" s="1"/>
  <c r="K758" i="3" s="1"/>
  <c r="AE758" i="3" s="1"/>
  <c r="G758" i="3"/>
  <c r="F758" i="3" l="1"/>
  <c r="V758" i="3"/>
  <c r="A759" i="3"/>
  <c r="B759" i="3" s="1"/>
  <c r="I758" i="3"/>
  <c r="J758" i="3"/>
  <c r="AD758" i="3" s="1"/>
  <c r="M758" i="3"/>
  <c r="N758" i="3" s="1"/>
  <c r="L758" i="3" l="1"/>
  <c r="W758" i="3"/>
  <c r="P759" i="3"/>
  <c r="Q759" i="3" s="1"/>
  <c r="R759" i="3" s="1"/>
  <c r="S759" i="3" s="1"/>
  <c r="Z759" i="3"/>
  <c r="AA759" i="3"/>
  <c r="AC759" i="3"/>
  <c r="U758" i="3" l="1"/>
  <c r="Y757" i="3"/>
  <c r="T759" i="3"/>
  <c r="D759" i="3" l="1"/>
  <c r="G759" i="3" s="1"/>
  <c r="AG759" i="3"/>
  <c r="E759" i="3"/>
  <c r="H759" i="3" s="1"/>
  <c r="AH759" i="3"/>
  <c r="F759" i="3" l="1"/>
  <c r="I759" i="3"/>
  <c r="J759" i="3"/>
  <c r="AD759" i="3" s="1"/>
  <c r="M759" i="3"/>
  <c r="N759" i="3" s="1"/>
  <c r="K759" i="3"/>
  <c r="AE759" i="3" s="1"/>
  <c r="V759" i="3" l="1"/>
  <c r="W759" i="3" s="1"/>
  <c r="A760" i="3"/>
  <c r="B760" i="3" s="1"/>
  <c r="L759" i="3"/>
  <c r="U759" i="3" l="1"/>
  <c r="Y758" i="3"/>
  <c r="AA760" i="3"/>
  <c r="AC760" i="3"/>
  <c r="Z760" i="3"/>
  <c r="P760" i="3"/>
  <c r="Q760" i="3" s="1"/>
  <c r="R760" i="3" s="1"/>
  <c r="S760" i="3" s="1"/>
  <c r="T760" i="3" l="1"/>
  <c r="E760" i="3" s="1"/>
  <c r="H760" i="3" s="1"/>
  <c r="AH760" i="3" l="1"/>
  <c r="AG760" i="3"/>
  <c r="D760" i="3"/>
  <c r="G760" i="3" s="1"/>
  <c r="K760" i="3"/>
  <c r="AE760" i="3" s="1"/>
  <c r="F760" i="3" l="1"/>
  <c r="I760" i="3"/>
  <c r="J760" i="3"/>
  <c r="AD760" i="3" s="1"/>
  <c r="M760" i="3"/>
  <c r="N760" i="3" s="1"/>
  <c r="V760" i="3"/>
  <c r="A761" i="3"/>
  <c r="B761" i="3" s="1"/>
  <c r="W760" i="3" l="1"/>
  <c r="L760" i="3"/>
  <c r="P761" i="3"/>
  <c r="Q761" i="3" s="1"/>
  <c r="R761" i="3" s="1"/>
  <c r="S761" i="3" s="1"/>
  <c r="Z761" i="3"/>
  <c r="AA761" i="3"/>
  <c r="AC761" i="3"/>
  <c r="T761" i="3" l="1"/>
  <c r="U760" i="3"/>
  <c r="Y759" i="3"/>
  <c r="D761" i="3" l="1"/>
  <c r="G761" i="3" s="1"/>
  <c r="AG761" i="3"/>
  <c r="AH761" i="3"/>
  <c r="E761" i="3"/>
  <c r="H761" i="3" s="1"/>
  <c r="F761" i="3" l="1"/>
  <c r="I761" i="3"/>
  <c r="J761" i="3"/>
  <c r="AD761" i="3" s="1"/>
  <c r="M761" i="3"/>
  <c r="N761" i="3" s="1"/>
  <c r="K761" i="3"/>
  <c r="AE761" i="3" s="1"/>
  <c r="V761" i="3" l="1"/>
  <c r="W761" i="3" s="1"/>
  <c r="A762" i="3"/>
  <c r="B762" i="3" s="1"/>
  <c r="L761" i="3"/>
  <c r="U761" i="3" l="1"/>
  <c r="Y760" i="3"/>
  <c r="AA762" i="3"/>
  <c r="Z762" i="3"/>
  <c r="AC762" i="3"/>
  <c r="P762" i="3"/>
  <c r="Q762" i="3" s="1"/>
  <c r="R762" i="3" s="1"/>
  <c r="S762" i="3" s="1"/>
  <c r="T762" i="3" l="1"/>
  <c r="D762" i="3" s="1"/>
  <c r="E762" i="3" l="1"/>
  <c r="H762" i="3" s="1"/>
  <c r="K762" i="3" s="1"/>
  <c r="AE762" i="3" s="1"/>
  <c r="AH762" i="3"/>
  <c r="AG762" i="3"/>
  <c r="G762" i="3"/>
  <c r="F762" i="3" l="1"/>
  <c r="I762" i="3"/>
  <c r="J762" i="3"/>
  <c r="AD762" i="3" s="1"/>
  <c r="M762" i="3"/>
  <c r="N762" i="3" s="1"/>
  <c r="V762" i="3"/>
  <c r="A763" i="3"/>
  <c r="B763" i="3" s="1"/>
  <c r="W762" i="3" l="1"/>
  <c r="L762" i="3"/>
  <c r="AC763" i="3"/>
  <c r="Z763" i="3"/>
  <c r="AA763" i="3"/>
  <c r="P763" i="3"/>
  <c r="Q763" i="3" s="1"/>
  <c r="R763" i="3" s="1"/>
  <c r="S763" i="3" s="1"/>
  <c r="U762" i="3" l="1"/>
  <c r="Y761" i="3"/>
  <c r="T763" i="3"/>
  <c r="D763" i="3" l="1"/>
  <c r="G763" i="3" s="1"/>
  <c r="AG763" i="3"/>
  <c r="AH763" i="3"/>
  <c r="E763" i="3"/>
  <c r="H763" i="3" s="1"/>
  <c r="K763" i="3" s="1"/>
  <c r="AE763" i="3" s="1"/>
  <c r="F763" i="3" l="1"/>
  <c r="I763" i="3"/>
  <c r="J763" i="3"/>
  <c r="AD763" i="3" s="1"/>
  <c r="M763" i="3"/>
  <c r="N763" i="3" s="1"/>
  <c r="V763" i="3"/>
  <c r="A764" i="3"/>
  <c r="B764" i="3" s="1"/>
  <c r="W763" i="3" l="1"/>
  <c r="L763" i="3"/>
  <c r="Z764" i="3"/>
  <c r="P764" i="3"/>
  <c r="Q764" i="3" s="1"/>
  <c r="R764" i="3" s="1"/>
  <c r="S764" i="3" s="1"/>
  <c r="AC764" i="3"/>
  <c r="AA764" i="3"/>
  <c r="U763" i="3" l="1"/>
  <c r="Y762" i="3"/>
  <c r="T764" i="3"/>
  <c r="E764" i="3" l="1"/>
  <c r="H764" i="3" s="1"/>
  <c r="K764" i="3" s="1"/>
  <c r="AE764" i="3" s="1"/>
  <c r="AG764" i="3"/>
  <c r="D764" i="3"/>
  <c r="AH764" i="3"/>
  <c r="F764" i="3" l="1"/>
  <c r="G764" i="3"/>
  <c r="V764" i="3"/>
  <c r="A765" i="3"/>
  <c r="B765" i="3" s="1"/>
  <c r="P765" i="3" l="1"/>
  <c r="Q765" i="3" s="1"/>
  <c r="R765" i="3" s="1"/>
  <c r="S765" i="3" s="1"/>
  <c r="Z765" i="3"/>
  <c r="AA765" i="3"/>
  <c r="AC765" i="3"/>
  <c r="I764" i="3"/>
  <c r="W764" i="3" s="1"/>
  <c r="J764" i="3"/>
  <c r="AD764" i="3" s="1"/>
  <c r="M764" i="3"/>
  <c r="N764" i="3" s="1"/>
  <c r="T765" i="3" l="1"/>
  <c r="L764" i="3"/>
  <c r="AG765" i="3" l="1"/>
  <c r="AH765" i="3"/>
  <c r="U764" i="3"/>
  <c r="D765" i="3" s="1"/>
  <c r="Y763" i="3"/>
  <c r="E765" i="3" l="1"/>
  <c r="H765" i="3" s="1"/>
  <c r="K765" i="3" s="1"/>
  <c r="AE765" i="3" s="1"/>
  <c r="G765" i="3"/>
  <c r="F765" i="3" l="1"/>
  <c r="I765" i="3"/>
  <c r="J765" i="3"/>
  <c r="AD765" i="3" s="1"/>
  <c r="M765" i="3"/>
  <c r="N765" i="3" s="1"/>
  <c r="V765" i="3"/>
  <c r="A766" i="3"/>
  <c r="B766" i="3" s="1"/>
  <c r="W765" i="3" l="1"/>
  <c r="L765" i="3"/>
  <c r="P766" i="3"/>
  <c r="Q766" i="3" s="1"/>
  <c r="R766" i="3" s="1"/>
  <c r="S766" i="3" s="1"/>
  <c r="AA766" i="3"/>
  <c r="Z766" i="3"/>
  <c r="AC766" i="3"/>
  <c r="U765" i="3" l="1"/>
  <c r="Y764" i="3"/>
  <c r="T766" i="3"/>
  <c r="E766" i="3" l="1"/>
  <c r="H766" i="3" s="1"/>
  <c r="K766" i="3" s="1"/>
  <c r="AE766" i="3" s="1"/>
  <c r="D766" i="3"/>
  <c r="AG766" i="3"/>
  <c r="AH766" i="3"/>
  <c r="V766" i="3" l="1"/>
  <c r="A767" i="3"/>
  <c r="B767" i="3" s="1"/>
  <c r="F766" i="3"/>
  <c r="G766" i="3"/>
  <c r="I766" i="3" l="1"/>
  <c r="W766" i="3" s="1"/>
  <c r="J766" i="3"/>
  <c r="AD766" i="3" s="1"/>
  <c r="M766" i="3"/>
  <c r="N766" i="3" s="1"/>
  <c r="P767" i="3"/>
  <c r="Q767" i="3" s="1"/>
  <c r="R767" i="3" s="1"/>
  <c r="S767" i="3" s="1"/>
  <c r="AC767" i="3"/>
  <c r="AA767" i="3"/>
  <c r="Z767" i="3"/>
  <c r="T767" i="3" l="1"/>
  <c r="L766" i="3"/>
  <c r="AH767" i="3" l="1"/>
  <c r="AG767" i="3"/>
  <c r="U766" i="3"/>
  <c r="D767" i="3" s="1"/>
  <c r="Y765" i="3"/>
  <c r="E767" i="3" l="1"/>
  <c r="H767" i="3" s="1"/>
  <c r="K767" i="3" s="1"/>
  <c r="AE767" i="3" s="1"/>
  <c r="G767" i="3"/>
  <c r="F767" i="3" l="1"/>
  <c r="I767" i="3"/>
  <c r="J767" i="3"/>
  <c r="AD767" i="3" s="1"/>
  <c r="M767" i="3"/>
  <c r="N767" i="3" s="1"/>
  <c r="V767" i="3"/>
  <c r="A768" i="3"/>
  <c r="B768" i="3" s="1"/>
  <c r="W767" i="3" l="1"/>
  <c r="L767" i="3"/>
  <c r="AC768" i="3"/>
  <c r="AA768" i="3"/>
  <c r="P768" i="3"/>
  <c r="Q768" i="3" s="1"/>
  <c r="R768" i="3" s="1"/>
  <c r="S768" i="3" s="1"/>
  <c r="Z768" i="3"/>
  <c r="T768" i="3" l="1"/>
  <c r="AG768" i="3" s="1"/>
  <c r="U767" i="3"/>
  <c r="Y766" i="3"/>
  <c r="D768" i="3" l="1"/>
  <c r="G768" i="3" s="1"/>
  <c r="AH768" i="3"/>
  <c r="E768" i="3"/>
  <c r="H768" i="3" s="1"/>
  <c r="K768" i="3" l="1"/>
  <c r="AE768" i="3" s="1"/>
  <c r="I768" i="3"/>
  <c r="J768" i="3"/>
  <c r="AD768" i="3" s="1"/>
  <c r="M768" i="3"/>
  <c r="N768" i="3" s="1"/>
  <c r="F768" i="3"/>
  <c r="L768" i="3" l="1"/>
  <c r="V768" i="3"/>
  <c r="W768" i="3" s="1"/>
  <c r="A769" i="3"/>
  <c r="B769" i="3" s="1"/>
  <c r="AC769" i="3" l="1"/>
  <c r="Z769" i="3"/>
  <c r="P769" i="3"/>
  <c r="Q769" i="3" s="1"/>
  <c r="R769" i="3" s="1"/>
  <c r="S769" i="3" s="1"/>
  <c r="AA769" i="3"/>
  <c r="U768" i="3"/>
  <c r="Y767" i="3"/>
  <c r="T769" i="3" l="1"/>
  <c r="AG769" i="3" l="1"/>
  <c r="D769" i="3"/>
  <c r="AH769" i="3"/>
  <c r="E769" i="3"/>
  <c r="H769" i="3" s="1"/>
  <c r="F769" i="3" l="1"/>
  <c r="G769" i="3"/>
  <c r="K769" i="3"/>
  <c r="AE769" i="3" s="1"/>
  <c r="V769" i="3" l="1"/>
  <c r="A770" i="3"/>
  <c r="B770" i="3" s="1"/>
  <c r="I769" i="3"/>
  <c r="J769" i="3"/>
  <c r="AD769" i="3" s="1"/>
  <c r="M769" i="3"/>
  <c r="N769" i="3" s="1"/>
  <c r="W769" i="3" l="1"/>
  <c r="L769" i="3"/>
  <c r="AC770" i="3"/>
  <c r="P770" i="3"/>
  <c r="Q770" i="3" s="1"/>
  <c r="R770" i="3" s="1"/>
  <c r="S770" i="3" s="1"/>
  <c r="Z770" i="3"/>
  <c r="AA770" i="3"/>
  <c r="U769" i="3" l="1"/>
  <c r="Y768" i="3"/>
  <c r="T770" i="3"/>
  <c r="AG770" i="3" s="1"/>
  <c r="E770" i="3" l="1"/>
  <c r="H770" i="3" s="1"/>
  <c r="K770" i="3" s="1"/>
  <c r="AE770" i="3" s="1"/>
  <c r="D770" i="3"/>
  <c r="AH770" i="3"/>
  <c r="F770" i="3" l="1"/>
  <c r="G770" i="3"/>
  <c r="M770" i="3" s="1"/>
  <c r="N770" i="3" s="1"/>
  <c r="V770" i="3"/>
  <c r="A771" i="3"/>
  <c r="B771" i="3" s="1"/>
  <c r="I770" i="3" l="1"/>
  <c r="W770" i="3" s="1"/>
  <c r="J770" i="3"/>
  <c r="AA771" i="3"/>
  <c r="AC771" i="3"/>
  <c r="P771" i="3"/>
  <c r="Q771" i="3" s="1"/>
  <c r="R771" i="3" s="1"/>
  <c r="S771" i="3" s="1"/>
  <c r="Z771" i="3"/>
  <c r="L770" i="3" l="1"/>
  <c r="U770" i="3" s="1"/>
  <c r="AD770" i="3"/>
  <c r="T771" i="3"/>
  <c r="AH771" i="3" l="1"/>
  <c r="Y769" i="3"/>
  <c r="E771" i="3"/>
  <c r="H771" i="3" s="1"/>
  <c r="AG771" i="3"/>
  <c r="D771" i="3"/>
  <c r="K771" i="3" l="1"/>
  <c r="AE771" i="3" s="1"/>
  <c r="F771" i="3"/>
  <c r="G771" i="3"/>
  <c r="V771" i="3" l="1"/>
  <c r="A772" i="3"/>
  <c r="B772" i="3" s="1"/>
  <c r="I771" i="3"/>
  <c r="J771" i="3"/>
  <c r="AD771" i="3" s="1"/>
  <c r="M771" i="3"/>
  <c r="N771" i="3" s="1"/>
  <c r="L771" i="3" l="1"/>
  <c r="W771" i="3"/>
  <c r="AA772" i="3"/>
  <c r="Z772" i="3"/>
  <c r="AC772" i="3"/>
  <c r="P772" i="3"/>
  <c r="Q772" i="3" s="1"/>
  <c r="R772" i="3" s="1"/>
  <c r="S772" i="3" s="1"/>
  <c r="U771" i="3" l="1"/>
  <c r="Y770" i="3"/>
  <c r="T772" i="3"/>
  <c r="E772" i="3" l="1"/>
  <c r="H772" i="3" s="1"/>
  <c r="K772" i="3" s="1"/>
  <c r="AE772" i="3" s="1"/>
  <c r="D772" i="3"/>
  <c r="G772" i="3" s="1"/>
  <c r="AG772" i="3"/>
  <c r="AH772" i="3"/>
  <c r="F772" i="3" l="1"/>
  <c r="V772" i="3"/>
  <c r="A773" i="3"/>
  <c r="B773" i="3" s="1"/>
  <c r="I772" i="3"/>
  <c r="J772" i="3"/>
  <c r="AD772" i="3" s="1"/>
  <c r="M772" i="3"/>
  <c r="N772" i="3" s="1"/>
  <c r="W772" i="3" l="1"/>
  <c r="L772" i="3"/>
  <c r="AA773" i="3"/>
  <c r="P773" i="3"/>
  <c r="Q773" i="3" s="1"/>
  <c r="R773" i="3" s="1"/>
  <c r="S773" i="3" s="1"/>
  <c r="Z773" i="3"/>
  <c r="AC773" i="3"/>
  <c r="U772" i="3" l="1"/>
  <c r="Y771" i="3"/>
  <c r="T773" i="3"/>
  <c r="AG773" i="3" s="1"/>
  <c r="D773" i="3" l="1"/>
  <c r="E773" i="3"/>
  <c r="H773" i="3" s="1"/>
  <c r="K773" i="3" s="1"/>
  <c r="AE773" i="3" s="1"/>
  <c r="AH773" i="3"/>
  <c r="F773" i="3" l="1"/>
  <c r="G773" i="3"/>
  <c r="M773" i="3" s="1"/>
  <c r="N773" i="3" s="1"/>
  <c r="V773" i="3"/>
  <c r="A774" i="3"/>
  <c r="B774" i="3" s="1"/>
  <c r="I773" i="3" l="1"/>
  <c r="W773" i="3" s="1"/>
  <c r="J773" i="3"/>
  <c r="AC774" i="3"/>
  <c r="P774" i="3"/>
  <c r="Q774" i="3" s="1"/>
  <c r="R774" i="3" s="1"/>
  <c r="S774" i="3" s="1"/>
  <c r="AA774" i="3"/>
  <c r="Z774" i="3"/>
  <c r="L773" i="3" l="1"/>
  <c r="Y772" i="3" s="1"/>
  <c r="AD773" i="3"/>
  <c r="T774" i="3"/>
  <c r="AG774" i="3" l="1"/>
  <c r="U773" i="3"/>
  <c r="E774" i="3" s="1"/>
  <c r="H774" i="3" s="1"/>
  <c r="K774" i="3" s="1"/>
  <c r="AE774" i="3" s="1"/>
  <c r="AH774" i="3"/>
  <c r="D774" i="3" l="1"/>
  <c r="F774" i="3" s="1"/>
  <c r="V774" i="3"/>
  <c r="A775" i="3"/>
  <c r="B775" i="3" s="1"/>
  <c r="G774" i="3" l="1"/>
  <c r="M774" i="3" s="1"/>
  <c r="N774" i="3" s="1"/>
  <c r="P775" i="3"/>
  <c r="Q775" i="3" s="1"/>
  <c r="R775" i="3" s="1"/>
  <c r="S775" i="3" s="1"/>
  <c r="Z775" i="3"/>
  <c r="AD775" i="3"/>
  <c r="AA775" i="3"/>
  <c r="AC775" i="3"/>
  <c r="J774" i="3" l="1"/>
  <c r="L774" i="3" s="1"/>
  <c r="Y773" i="3" s="1"/>
  <c r="I774" i="3"/>
  <c r="W774" i="3" s="1"/>
  <c r="AD774" i="3"/>
  <c r="T775" i="3"/>
  <c r="U774" i="3" l="1"/>
  <c r="D775" i="3" s="1"/>
  <c r="AG775" i="3"/>
  <c r="AH775" i="3"/>
  <c r="E775" i="3" l="1"/>
  <c r="H775" i="3" s="1"/>
  <c r="K775" i="3" s="1"/>
  <c r="AE775" i="3" s="1"/>
  <c r="G775" i="3"/>
  <c r="M775" i="3" l="1"/>
  <c r="N775" i="3" s="1"/>
  <c r="A776" i="3"/>
  <c r="B776" i="3" s="1"/>
  <c r="AD776" i="3" s="1"/>
  <c r="V775" i="3"/>
  <c r="F775" i="3"/>
  <c r="I775" i="3"/>
  <c r="J775" i="3"/>
  <c r="L775" i="3" s="1"/>
  <c r="W775" i="3" l="1"/>
  <c r="P776" i="3"/>
  <c r="Q776" i="3" s="1"/>
  <c r="R776" i="3" s="1"/>
  <c r="S776" i="3" s="1"/>
  <c r="T776" i="3" s="1"/>
  <c r="AA776" i="3"/>
  <c r="AC776" i="3"/>
  <c r="Z776" i="3"/>
  <c r="U775" i="3"/>
  <c r="Y774" i="3"/>
  <c r="AG776" i="3" l="1"/>
  <c r="AH776" i="3"/>
  <c r="E776" i="3"/>
  <c r="H776" i="3" s="1"/>
  <c r="K776" i="3" s="1"/>
  <c r="AE776" i="3" s="1"/>
  <c r="D776" i="3"/>
  <c r="G776" i="3" s="1"/>
  <c r="F776" i="3" l="1"/>
  <c r="I776" i="3"/>
  <c r="J776" i="3"/>
  <c r="M776" i="3"/>
  <c r="N776" i="3" s="1"/>
  <c r="V776" i="3"/>
  <c r="A777" i="3"/>
  <c r="B777" i="3" s="1"/>
  <c r="W776" i="3" l="1"/>
  <c r="L776" i="3"/>
  <c r="Z777" i="3"/>
  <c r="AA777" i="3"/>
  <c r="P777" i="3"/>
  <c r="Q777" i="3" s="1"/>
  <c r="R777" i="3" s="1"/>
  <c r="S777" i="3" s="1"/>
  <c r="AD777" i="3"/>
  <c r="AC777" i="3"/>
  <c r="U776" i="3" l="1"/>
  <c r="Y775" i="3"/>
  <c r="T777" i="3"/>
  <c r="AH777" i="3" s="1"/>
  <c r="E777" i="3" l="1"/>
  <c r="H777" i="3" s="1"/>
  <c r="D777" i="3"/>
  <c r="AG777" i="3"/>
  <c r="K777" i="3" l="1"/>
  <c r="AE777" i="3" s="1"/>
  <c r="F777" i="3"/>
  <c r="G777" i="3"/>
  <c r="I777" i="3" l="1"/>
  <c r="J777" i="3"/>
  <c r="M777" i="3"/>
  <c r="N777" i="3" s="1"/>
  <c r="V777" i="3"/>
  <c r="A778" i="3"/>
  <c r="B778" i="3" s="1"/>
  <c r="L777" i="3" l="1"/>
  <c r="W777" i="3"/>
  <c r="P778" i="3"/>
  <c r="Q778" i="3" s="1"/>
  <c r="R778" i="3" s="1"/>
  <c r="S778" i="3" s="1"/>
  <c r="Z778" i="3"/>
  <c r="AA778" i="3"/>
  <c r="AC778" i="3"/>
  <c r="U777" i="3" l="1"/>
  <c r="Y776" i="3"/>
  <c r="T778" i="3"/>
  <c r="AH778" i="3" s="1"/>
  <c r="E778" i="3" l="1"/>
  <c r="H778" i="3" s="1"/>
  <c r="K778" i="3" s="1"/>
  <c r="AE778" i="3" s="1"/>
  <c r="AG778" i="3"/>
  <c r="D778" i="3"/>
  <c r="G778" i="3" s="1"/>
  <c r="F778" i="3" l="1"/>
  <c r="I778" i="3"/>
  <c r="J778" i="3"/>
  <c r="AD778" i="3" s="1"/>
  <c r="M778" i="3"/>
  <c r="N778" i="3" s="1"/>
  <c r="V778" i="3"/>
  <c r="A779" i="3"/>
  <c r="B779" i="3" s="1"/>
  <c r="W778" i="3" l="1"/>
  <c r="L778" i="3"/>
  <c r="P779" i="3"/>
  <c r="Q779" i="3" s="1"/>
  <c r="R779" i="3" s="1"/>
  <c r="S779" i="3" s="1"/>
  <c r="AA779" i="3"/>
  <c r="AC779" i="3"/>
  <c r="AD779" i="3"/>
  <c r="Z779" i="3"/>
  <c r="U778" i="3" l="1"/>
  <c r="Y777" i="3"/>
  <c r="T779" i="3"/>
  <c r="E779" i="3" l="1"/>
  <c r="H779" i="3" s="1"/>
  <c r="K779" i="3" s="1"/>
  <c r="AE779" i="3" s="1"/>
  <c r="AG779" i="3"/>
  <c r="AH779" i="3"/>
  <c r="D779" i="3"/>
  <c r="G779" i="3" s="1"/>
  <c r="F779" i="3" l="1"/>
  <c r="I779" i="3"/>
  <c r="J779" i="3"/>
  <c r="M779" i="3"/>
  <c r="N779" i="3" s="1"/>
  <c r="V779" i="3"/>
  <c r="A780" i="3"/>
  <c r="B780" i="3" s="1"/>
  <c r="W779" i="3" l="1"/>
  <c r="L779" i="3"/>
  <c r="P780" i="3"/>
  <c r="Q780" i="3" s="1"/>
  <c r="R780" i="3" s="1"/>
  <c r="S780" i="3" s="1"/>
  <c r="AD780" i="3"/>
  <c r="AA780" i="3"/>
  <c r="Z780" i="3"/>
  <c r="AC780" i="3"/>
  <c r="U779" i="3" l="1"/>
  <c r="Y778" i="3"/>
  <c r="T780" i="3"/>
  <c r="D780" i="3" l="1"/>
  <c r="G780" i="3" s="1"/>
  <c r="AH780" i="3"/>
  <c r="E780" i="3"/>
  <c r="H780" i="3" s="1"/>
  <c r="K780" i="3" s="1"/>
  <c r="AE780" i="3" s="1"/>
  <c r="AG780" i="3"/>
  <c r="F780" i="3" l="1"/>
  <c r="I780" i="3"/>
  <c r="J780" i="3"/>
  <c r="M780" i="3"/>
  <c r="N780" i="3" s="1"/>
  <c r="V780" i="3"/>
  <c r="A781" i="3"/>
  <c r="B781" i="3" s="1"/>
  <c r="W780" i="3" l="1"/>
  <c r="L780" i="3"/>
  <c r="P781" i="3"/>
  <c r="Q781" i="3" s="1"/>
  <c r="R781" i="3" s="1"/>
  <c r="S781" i="3" s="1"/>
  <c r="AD781" i="3"/>
  <c r="Z781" i="3"/>
  <c r="AA781" i="3"/>
  <c r="AC781" i="3"/>
  <c r="T781" i="3" l="1"/>
  <c r="U780" i="3"/>
  <c r="Y779" i="3"/>
  <c r="E781" i="3" l="1"/>
  <c r="H781" i="3" s="1"/>
  <c r="K781" i="3" s="1"/>
  <c r="AE781" i="3" s="1"/>
  <c r="AG781" i="3"/>
  <c r="AH781" i="3"/>
  <c r="D781" i="3"/>
  <c r="F781" i="3" l="1"/>
  <c r="G781" i="3"/>
  <c r="V781" i="3"/>
  <c r="A782" i="3"/>
  <c r="B782" i="3" s="1"/>
  <c r="P782" i="3" l="1"/>
  <c r="Q782" i="3" s="1"/>
  <c r="R782" i="3" s="1"/>
  <c r="S782" i="3" s="1"/>
  <c r="AC782" i="3"/>
  <c r="AD782" i="3"/>
  <c r="AA782" i="3"/>
  <c r="Z782" i="3"/>
  <c r="I781" i="3"/>
  <c r="W781" i="3" s="1"/>
  <c r="J781" i="3"/>
  <c r="M781" i="3"/>
  <c r="N781" i="3" s="1"/>
  <c r="T782" i="3" l="1"/>
  <c r="L781" i="3"/>
  <c r="U781" i="3" l="1"/>
  <c r="D782" i="3" s="1"/>
  <c r="AH782" i="3"/>
  <c r="AG782" i="3"/>
  <c r="Y780" i="3"/>
  <c r="E782" i="3" l="1"/>
  <c r="H782" i="3" s="1"/>
  <c r="K782" i="3" s="1"/>
  <c r="AE782" i="3" s="1"/>
  <c r="G782" i="3"/>
  <c r="F782" i="3" l="1"/>
  <c r="I782" i="3"/>
  <c r="J782" i="3"/>
  <c r="M782" i="3"/>
  <c r="N782" i="3" s="1"/>
  <c r="V782" i="3"/>
  <c r="A783" i="3"/>
  <c r="B783" i="3" s="1"/>
  <c r="W782" i="3" l="1"/>
  <c r="L782" i="3"/>
  <c r="AA783" i="3"/>
  <c r="Z783" i="3"/>
  <c r="P783" i="3"/>
  <c r="Q783" i="3" s="1"/>
  <c r="R783" i="3" s="1"/>
  <c r="S783" i="3" s="1"/>
  <c r="AD783" i="3"/>
  <c r="AC783" i="3"/>
  <c r="U782" i="3" l="1"/>
  <c r="Y781" i="3"/>
  <c r="T783" i="3"/>
  <c r="AH783" i="3" s="1"/>
  <c r="AG783" i="3" l="1"/>
  <c r="D783" i="3"/>
  <c r="G783" i="3" s="1"/>
  <c r="E783" i="3"/>
  <c r="H783" i="3" s="1"/>
  <c r="K783" i="3" s="1"/>
  <c r="AE783" i="3" s="1"/>
  <c r="F783" i="3" l="1"/>
  <c r="I783" i="3"/>
  <c r="J783" i="3"/>
  <c r="M783" i="3"/>
  <c r="N783" i="3" s="1"/>
  <c r="V783" i="3"/>
  <c r="A784" i="3"/>
  <c r="B784" i="3" s="1"/>
  <c r="W783" i="3" l="1"/>
  <c r="L783" i="3"/>
  <c r="AC784" i="3"/>
  <c r="Z784" i="3"/>
  <c r="P784" i="3"/>
  <c r="Q784" i="3" s="1"/>
  <c r="R784" i="3" s="1"/>
  <c r="S784" i="3" s="1"/>
  <c r="AA784" i="3"/>
  <c r="T784" i="3" l="1"/>
  <c r="AG784" i="3" s="1"/>
  <c r="U783" i="3"/>
  <c r="Y782" i="3"/>
  <c r="E784" i="3" l="1"/>
  <c r="H784" i="3" s="1"/>
  <c r="AH784" i="3"/>
  <c r="D784" i="3"/>
  <c r="K784" i="3" l="1"/>
  <c r="AE784" i="3" s="1"/>
  <c r="F784" i="3"/>
  <c r="G784" i="3"/>
  <c r="V784" i="3" l="1"/>
  <c r="A785" i="3"/>
  <c r="B785" i="3" s="1"/>
  <c r="I784" i="3"/>
  <c r="J784" i="3"/>
  <c r="AD784" i="3" s="1"/>
  <c r="M784" i="3"/>
  <c r="N784" i="3" s="1"/>
  <c r="W784" i="3" l="1"/>
  <c r="L784" i="3"/>
  <c r="AA785" i="3"/>
  <c r="P785" i="3"/>
  <c r="Q785" i="3" s="1"/>
  <c r="R785" i="3" s="1"/>
  <c r="S785" i="3" s="1"/>
  <c r="AC785" i="3"/>
  <c r="Z785" i="3"/>
  <c r="U784" i="3" l="1"/>
  <c r="Y783" i="3"/>
  <c r="T785" i="3"/>
  <c r="AH785" i="3" s="1"/>
  <c r="E785" i="3" l="1"/>
  <c r="H785" i="3" s="1"/>
  <c r="AG785" i="3"/>
  <c r="D785" i="3"/>
  <c r="K785" i="3" l="1"/>
  <c r="AE785" i="3" s="1"/>
  <c r="F785" i="3"/>
  <c r="G785" i="3"/>
  <c r="I785" i="3" l="1"/>
  <c r="J785" i="3"/>
  <c r="AD785" i="3" s="1"/>
  <c r="M785" i="3"/>
  <c r="N785" i="3" s="1"/>
  <c r="V785" i="3"/>
  <c r="A786" i="3"/>
  <c r="B786" i="3" s="1"/>
  <c r="W785" i="3" l="1"/>
  <c r="L785" i="3"/>
  <c r="Z786" i="3"/>
  <c r="AA786" i="3"/>
  <c r="P786" i="3"/>
  <c r="Q786" i="3" s="1"/>
  <c r="R786" i="3" s="1"/>
  <c r="S786" i="3" s="1"/>
  <c r="AC786" i="3"/>
  <c r="U785" i="3" l="1"/>
  <c r="Y784" i="3"/>
  <c r="T786" i="3"/>
  <c r="E786" i="3" l="1"/>
  <c r="H786" i="3" s="1"/>
  <c r="K786" i="3" s="1"/>
  <c r="AE786" i="3" s="1"/>
  <c r="AG786" i="3"/>
  <c r="D786" i="3"/>
  <c r="G786" i="3" s="1"/>
  <c r="AH786" i="3"/>
  <c r="F786" i="3" l="1"/>
  <c r="I786" i="3"/>
  <c r="J786" i="3"/>
  <c r="AD786" i="3" s="1"/>
  <c r="M786" i="3"/>
  <c r="N786" i="3" s="1"/>
  <c r="V786" i="3"/>
  <c r="A787" i="3"/>
  <c r="B787" i="3" s="1"/>
  <c r="L786" i="3" l="1"/>
  <c r="W786" i="3"/>
  <c r="AC787" i="3"/>
  <c r="P787" i="3"/>
  <c r="Q787" i="3" s="1"/>
  <c r="R787" i="3" s="1"/>
  <c r="S787" i="3" s="1"/>
  <c r="Z787" i="3"/>
  <c r="AA787" i="3"/>
  <c r="U786" i="3" l="1"/>
  <c r="Y785" i="3"/>
  <c r="T787" i="3"/>
  <c r="D787" i="3" l="1"/>
  <c r="G787" i="3" s="1"/>
  <c r="AH787" i="3"/>
  <c r="E787" i="3"/>
  <c r="H787" i="3" s="1"/>
  <c r="AG787" i="3"/>
  <c r="F787" i="3" l="1"/>
  <c r="I787" i="3"/>
  <c r="J787" i="3"/>
  <c r="AD787" i="3" s="1"/>
  <c r="M787" i="3"/>
  <c r="N787" i="3" s="1"/>
  <c r="K787" i="3"/>
  <c r="AE787" i="3" s="1"/>
  <c r="V787" i="3" l="1"/>
  <c r="W787" i="3" s="1"/>
  <c r="A788" i="3"/>
  <c r="B788" i="3" s="1"/>
  <c r="L787" i="3"/>
  <c r="U787" i="3" l="1"/>
  <c r="Y786" i="3"/>
  <c r="AC788" i="3"/>
  <c r="Z788" i="3"/>
  <c r="AA788" i="3"/>
  <c r="P788" i="3"/>
  <c r="Q788" i="3" s="1"/>
  <c r="R788" i="3" s="1"/>
  <c r="S788" i="3" s="1"/>
  <c r="T788" i="3" l="1"/>
  <c r="E788" i="3" s="1"/>
  <c r="H788" i="3" s="1"/>
  <c r="D788" i="3" l="1"/>
  <c r="F788" i="3" s="1"/>
  <c r="AG788" i="3"/>
  <c r="AH788" i="3"/>
  <c r="K788" i="3"/>
  <c r="AE788" i="3" s="1"/>
  <c r="G788" i="3" l="1"/>
  <c r="I788" i="3" s="1"/>
  <c r="V788" i="3"/>
  <c r="A789" i="3"/>
  <c r="B789" i="3" s="1"/>
  <c r="M788" i="3" l="1"/>
  <c r="N788" i="3" s="1"/>
  <c r="J788" i="3"/>
  <c r="W788" i="3"/>
  <c r="P789" i="3"/>
  <c r="Q789" i="3" s="1"/>
  <c r="R789" i="3" s="1"/>
  <c r="S789" i="3" s="1"/>
  <c r="AC789" i="3"/>
  <c r="AA789" i="3"/>
  <c r="Z789" i="3"/>
  <c r="L788" i="3" l="1"/>
  <c r="U788" i="3" s="1"/>
  <c r="AD788" i="3"/>
  <c r="T789" i="3"/>
  <c r="Y787" i="3" l="1"/>
  <c r="D789" i="3"/>
  <c r="G789" i="3" s="1"/>
  <c r="E789" i="3"/>
  <c r="H789" i="3" s="1"/>
  <c r="AH789" i="3"/>
  <c r="AG789" i="3"/>
  <c r="F789" i="3" l="1"/>
  <c r="I789" i="3"/>
  <c r="J789" i="3"/>
  <c r="AD789" i="3" s="1"/>
  <c r="M789" i="3"/>
  <c r="N789" i="3" s="1"/>
  <c r="K789" i="3"/>
  <c r="AE789" i="3" s="1"/>
  <c r="L789" i="3" l="1"/>
  <c r="V789" i="3"/>
  <c r="W789" i="3" s="1"/>
  <c r="A790" i="3"/>
  <c r="B790" i="3" s="1"/>
  <c r="AA790" i="3" l="1"/>
  <c r="AC790" i="3"/>
  <c r="Z790" i="3"/>
  <c r="P790" i="3"/>
  <c r="Q790" i="3" s="1"/>
  <c r="R790" i="3" s="1"/>
  <c r="S790" i="3" s="1"/>
  <c r="U789" i="3"/>
  <c r="Y788" i="3"/>
  <c r="T790" i="3" l="1"/>
  <c r="D790" i="3" s="1"/>
  <c r="AG790" i="3" l="1"/>
  <c r="G790" i="3"/>
  <c r="AH790" i="3"/>
  <c r="E790" i="3"/>
  <c r="H790" i="3" s="1"/>
  <c r="F790" i="3" l="1"/>
  <c r="I790" i="3"/>
  <c r="J790" i="3"/>
  <c r="AD790" i="3" s="1"/>
  <c r="M790" i="3"/>
  <c r="N790" i="3" s="1"/>
  <c r="K790" i="3"/>
  <c r="AE790" i="3" s="1"/>
  <c r="V790" i="3" l="1"/>
  <c r="W790" i="3" s="1"/>
  <c r="A791" i="3"/>
  <c r="B791" i="3" s="1"/>
  <c r="L790" i="3"/>
  <c r="U790" i="3" l="1"/>
  <c r="Y789" i="3"/>
  <c r="P791" i="3"/>
  <c r="Q791" i="3" s="1"/>
  <c r="R791" i="3" s="1"/>
  <c r="S791" i="3" s="1"/>
  <c r="AA791" i="3"/>
  <c r="AC791" i="3"/>
  <c r="Z791" i="3"/>
  <c r="T791" i="3" l="1"/>
  <c r="AG791" i="3" s="1"/>
  <c r="E791" i="3" l="1"/>
  <c r="H791" i="3" s="1"/>
  <c r="K791" i="3" s="1"/>
  <c r="AE791" i="3" s="1"/>
  <c r="D791" i="3"/>
  <c r="G791" i="3" s="1"/>
  <c r="AH791" i="3"/>
  <c r="F791" i="3" l="1"/>
  <c r="I791" i="3"/>
  <c r="J791" i="3"/>
  <c r="AD791" i="3" s="1"/>
  <c r="M791" i="3"/>
  <c r="N791" i="3" s="1"/>
  <c r="V791" i="3"/>
  <c r="A792" i="3"/>
  <c r="B792" i="3" s="1"/>
  <c r="W791" i="3" l="1"/>
  <c r="L791" i="3"/>
  <c r="P792" i="3"/>
  <c r="Q792" i="3" s="1"/>
  <c r="R792" i="3" s="1"/>
  <c r="S792" i="3" s="1"/>
  <c r="AC792" i="3"/>
  <c r="Z792" i="3"/>
  <c r="AA792" i="3"/>
  <c r="U791" i="3" l="1"/>
  <c r="Y790" i="3"/>
  <c r="T792" i="3"/>
  <c r="AG792" i="3" s="1"/>
  <c r="AH792" i="3" l="1"/>
  <c r="D792" i="3"/>
  <c r="E792" i="3"/>
  <c r="H792" i="3" s="1"/>
  <c r="F792" i="3" l="1"/>
  <c r="G792" i="3"/>
  <c r="K792" i="3"/>
  <c r="AE792" i="3" s="1"/>
  <c r="I792" i="3" l="1"/>
  <c r="J792" i="3"/>
  <c r="AD792" i="3" s="1"/>
  <c r="M792" i="3"/>
  <c r="N792" i="3" s="1"/>
  <c r="V792" i="3"/>
  <c r="A793" i="3"/>
  <c r="B793" i="3" s="1"/>
  <c r="L792" i="3" l="1"/>
  <c r="W792" i="3"/>
  <c r="AC793" i="3"/>
  <c r="Z793" i="3"/>
  <c r="P793" i="3"/>
  <c r="Q793" i="3" s="1"/>
  <c r="R793" i="3" s="1"/>
  <c r="S793" i="3" s="1"/>
  <c r="AA793" i="3"/>
  <c r="T793" i="3" l="1"/>
  <c r="U792" i="3"/>
  <c r="Y791" i="3"/>
  <c r="E793" i="3" l="1"/>
  <c r="H793" i="3" s="1"/>
  <c r="K793" i="3" s="1"/>
  <c r="AE793" i="3" s="1"/>
  <c r="D793" i="3"/>
  <c r="AG793" i="3"/>
  <c r="AH793" i="3"/>
  <c r="F793" i="3" l="1"/>
  <c r="G793" i="3"/>
  <c r="M793" i="3" s="1"/>
  <c r="N793" i="3" s="1"/>
  <c r="V793" i="3"/>
  <c r="A794" i="3"/>
  <c r="B794" i="3" s="1"/>
  <c r="I793" i="3" l="1"/>
  <c r="W793" i="3" s="1"/>
  <c r="J793" i="3"/>
  <c r="Z794" i="3"/>
  <c r="AC794" i="3"/>
  <c r="P794" i="3"/>
  <c r="Q794" i="3" s="1"/>
  <c r="R794" i="3" s="1"/>
  <c r="S794" i="3" s="1"/>
  <c r="AA794" i="3"/>
  <c r="L793" i="3" l="1"/>
  <c r="Y792" i="3" s="1"/>
  <c r="AD793" i="3"/>
  <c r="T794" i="3"/>
  <c r="U793" i="3" l="1"/>
  <c r="D794" i="3" s="1"/>
  <c r="AH794" i="3"/>
  <c r="AG794" i="3"/>
  <c r="E794" i="3" l="1"/>
  <c r="H794" i="3" s="1"/>
  <c r="K794" i="3" s="1"/>
  <c r="AE794" i="3" s="1"/>
  <c r="G794" i="3"/>
  <c r="F794" i="3" l="1"/>
  <c r="I794" i="3"/>
  <c r="J794" i="3"/>
  <c r="AD794" i="3" s="1"/>
  <c r="M794" i="3"/>
  <c r="N794" i="3" s="1"/>
  <c r="V794" i="3"/>
  <c r="A795" i="3"/>
  <c r="B795" i="3" s="1"/>
  <c r="L794" i="3" l="1"/>
  <c r="W794" i="3"/>
  <c r="P795" i="3"/>
  <c r="Q795" i="3" s="1"/>
  <c r="R795" i="3" s="1"/>
  <c r="S795" i="3" s="1"/>
  <c r="AD795" i="3"/>
  <c r="Z795" i="3"/>
  <c r="AA795" i="3"/>
  <c r="AC795" i="3"/>
  <c r="T795" i="3" l="1"/>
  <c r="U794" i="3"/>
  <c r="Y793" i="3"/>
  <c r="D795" i="3" l="1"/>
  <c r="G795" i="3" s="1"/>
  <c r="E795" i="3"/>
  <c r="H795" i="3" s="1"/>
  <c r="K795" i="3" s="1"/>
  <c r="AE795" i="3" s="1"/>
  <c r="AH795" i="3"/>
  <c r="AG795" i="3"/>
  <c r="F795" i="3" l="1"/>
  <c r="I795" i="3"/>
  <c r="J795" i="3"/>
  <c r="M795" i="3"/>
  <c r="N795" i="3" s="1"/>
  <c r="V795" i="3"/>
  <c r="A796" i="3"/>
  <c r="B796" i="3" s="1"/>
  <c r="W795" i="3" l="1"/>
  <c r="L795" i="3"/>
  <c r="Z796" i="3"/>
  <c r="AA796" i="3"/>
  <c r="AD796" i="3"/>
  <c r="AC796" i="3"/>
  <c r="P796" i="3"/>
  <c r="Q796" i="3" s="1"/>
  <c r="R796" i="3" s="1"/>
  <c r="S796" i="3" s="1"/>
  <c r="T796" i="3" l="1"/>
  <c r="U795" i="3"/>
  <c r="Y794" i="3"/>
  <c r="E796" i="3" l="1"/>
  <c r="H796" i="3" s="1"/>
  <c r="K796" i="3" s="1"/>
  <c r="AE796" i="3" s="1"/>
  <c r="AH796" i="3"/>
  <c r="AG796" i="3"/>
  <c r="D796" i="3"/>
  <c r="F796" i="3" l="1"/>
  <c r="G796" i="3"/>
  <c r="V796" i="3"/>
  <c r="A797" i="3"/>
  <c r="B797" i="3" s="1"/>
  <c r="I796" i="3" l="1"/>
  <c r="W796" i="3" s="1"/>
  <c r="J796" i="3"/>
  <c r="M796" i="3"/>
  <c r="N796" i="3" s="1"/>
  <c r="P797" i="3"/>
  <c r="Q797" i="3" s="1"/>
  <c r="R797" i="3" s="1"/>
  <c r="S797" i="3" s="1"/>
  <c r="AA797" i="3"/>
  <c r="AC797" i="3"/>
  <c r="Z797" i="3"/>
  <c r="AD797" i="3"/>
  <c r="T797" i="3" l="1"/>
  <c r="L796" i="3"/>
  <c r="AH797" i="3" l="1"/>
  <c r="AG797" i="3"/>
  <c r="U796" i="3"/>
  <c r="E797" i="3" s="1"/>
  <c r="H797" i="3" s="1"/>
  <c r="Y795" i="3"/>
  <c r="D797" i="3" l="1"/>
  <c r="G797" i="3" s="1"/>
  <c r="K797" i="3"/>
  <c r="AE797" i="3" s="1"/>
  <c r="F797" i="3" l="1"/>
  <c r="I797" i="3"/>
  <c r="J797" i="3"/>
  <c r="M797" i="3"/>
  <c r="N797" i="3" s="1"/>
  <c r="V797" i="3"/>
  <c r="A798" i="3"/>
  <c r="B798" i="3" s="1"/>
  <c r="W797" i="3" l="1"/>
  <c r="L797" i="3"/>
  <c r="Z798" i="3"/>
  <c r="AA798" i="3"/>
  <c r="P798" i="3"/>
  <c r="Q798" i="3" s="1"/>
  <c r="R798" i="3" s="1"/>
  <c r="S798" i="3" s="1"/>
  <c r="AC798" i="3"/>
  <c r="T798" i="3" l="1"/>
  <c r="U797" i="3"/>
  <c r="Y796" i="3"/>
  <c r="E798" i="3" l="1"/>
  <c r="H798" i="3" s="1"/>
  <c r="K798" i="3" s="1"/>
  <c r="AE798" i="3" s="1"/>
  <c r="D798" i="3"/>
  <c r="G798" i="3" s="1"/>
  <c r="AH798" i="3"/>
  <c r="AG798" i="3"/>
  <c r="F798" i="3" l="1"/>
  <c r="I798" i="3"/>
  <c r="J798" i="3"/>
  <c r="AD798" i="3" s="1"/>
  <c r="M798" i="3"/>
  <c r="N798" i="3" s="1"/>
  <c r="V798" i="3"/>
  <c r="A799" i="3"/>
  <c r="B799" i="3" s="1"/>
  <c r="W798" i="3" l="1"/>
  <c r="L798" i="3"/>
  <c r="Z799" i="3"/>
  <c r="P799" i="3"/>
  <c r="Q799" i="3" s="1"/>
  <c r="R799" i="3" s="1"/>
  <c r="S799" i="3" s="1"/>
  <c r="AD799" i="3"/>
  <c r="AC799" i="3"/>
  <c r="AA799" i="3"/>
  <c r="T799" i="3" l="1"/>
  <c r="AH799" i="3" s="1"/>
  <c r="U798" i="3"/>
  <c r="Y797" i="3"/>
  <c r="AG799" i="3" l="1"/>
  <c r="E799" i="3"/>
  <c r="H799" i="3" s="1"/>
  <c r="D799" i="3"/>
  <c r="K799" i="3" l="1"/>
  <c r="AE799" i="3" s="1"/>
  <c r="F799" i="3"/>
  <c r="G799" i="3"/>
  <c r="V799" i="3" l="1"/>
  <c r="A800" i="3"/>
  <c r="B800" i="3" s="1"/>
  <c r="I799" i="3"/>
  <c r="J799" i="3"/>
  <c r="M799" i="3"/>
  <c r="N799" i="3" s="1"/>
  <c r="W799" i="3" l="1"/>
  <c r="L799" i="3"/>
  <c r="AC800" i="3"/>
  <c r="AA800" i="3"/>
  <c r="P800" i="3"/>
  <c r="Q800" i="3" s="1"/>
  <c r="R800" i="3" s="1"/>
  <c r="S800" i="3" s="1"/>
  <c r="AD800" i="3"/>
  <c r="Z800" i="3"/>
  <c r="U799" i="3" l="1"/>
  <c r="Y798" i="3"/>
  <c r="T800" i="3"/>
  <c r="E800" i="3" l="1"/>
  <c r="H800" i="3" s="1"/>
  <c r="K800" i="3" s="1"/>
  <c r="AE800" i="3" s="1"/>
  <c r="D800" i="3"/>
  <c r="AG800" i="3"/>
  <c r="AH800" i="3"/>
  <c r="V800" i="3" l="1"/>
  <c r="A801" i="3"/>
  <c r="B801" i="3" s="1"/>
  <c r="F800" i="3"/>
  <c r="G800" i="3"/>
  <c r="I800" i="3" l="1"/>
  <c r="W800" i="3" s="1"/>
  <c r="J800" i="3"/>
  <c r="M800" i="3"/>
  <c r="N800" i="3" s="1"/>
  <c r="AA801" i="3"/>
  <c r="AD801" i="3"/>
  <c r="Z801" i="3"/>
  <c r="P801" i="3"/>
  <c r="Q801" i="3" s="1"/>
  <c r="R801" i="3" s="1"/>
  <c r="S801" i="3" s="1"/>
  <c r="AC801" i="3"/>
  <c r="L800" i="3" l="1"/>
  <c r="T801" i="3"/>
  <c r="AG801" i="3" l="1"/>
  <c r="AH801" i="3"/>
  <c r="U800" i="3"/>
  <c r="E801" i="3" s="1"/>
  <c r="H801" i="3" s="1"/>
  <c r="Y799" i="3"/>
  <c r="D801" i="3" l="1"/>
  <c r="G801" i="3" s="1"/>
  <c r="K801" i="3"/>
  <c r="AE801" i="3" s="1"/>
  <c r="F801" i="3" l="1"/>
  <c r="I801" i="3"/>
  <c r="J801" i="3"/>
  <c r="M801" i="3"/>
  <c r="N801" i="3" s="1"/>
  <c r="V801" i="3"/>
  <c r="A802" i="3"/>
  <c r="B802" i="3" s="1"/>
  <c r="W801" i="3" l="1"/>
  <c r="L801" i="3"/>
  <c r="Z802" i="3"/>
  <c r="P802" i="3"/>
  <c r="Q802" i="3" s="1"/>
  <c r="R802" i="3" s="1"/>
  <c r="S802" i="3" s="1"/>
  <c r="AA802" i="3"/>
  <c r="AD802" i="3"/>
  <c r="AC802" i="3"/>
  <c r="U801" i="3" l="1"/>
  <c r="Y800" i="3"/>
  <c r="T802" i="3"/>
  <c r="AG802" i="3" s="1"/>
  <c r="E802" i="3" l="1"/>
  <c r="H802" i="3" s="1"/>
  <c r="D802" i="3"/>
  <c r="AH802" i="3"/>
  <c r="K802" i="3" l="1"/>
  <c r="AE802" i="3" s="1"/>
  <c r="F802" i="3"/>
  <c r="G802" i="3"/>
  <c r="I802" i="3" l="1"/>
  <c r="J802" i="3"/>
  <c r="M802" i="3"/>
  <c r="N802" i="3" s="1"/>
  <c r="V802" i="3"/>
  <c r="A803" i="3"/>
  <c r="B803" i="3" s="1"/>
  <c r="L802" i="3" l="1"/>
  <c r="W802" i="3"/>
  <c r="Z803" i="3"/>
  <c r="AD803" i="3"/>
  <c r="AA803" i="3"/>
  <c r="AC803" i="3"/>
  <c r="P803" i="3"/>
  <c r="Q803" i="3" s="1"/>
  <c r="R803" i="3" s="1"/>
  <c r="S803" i="3" s="1"/>
  <c r="U802" i="3" l="1"/>
  <c r="Y801" i="3"/>
  <c r="T803" i="3"/>
  <c r="AG803" i="3" s="1"/>
  <c r="AH803" i="3" l="1"/>
  <c r="D803" i="3"/>
  <c r="E803" i="3"/>
  <c r="H803" i="3" s="1"/>
  <c r="F803" i="3" l="1"/>
  <c r="G803" i="3"/>
  <c r="K803" i="3"/>
  <c r="AE803" i="3" s="1"/>
  <c r="V803" i="3" l="1"/>
  <c r="A804" i="3"/>
  <c r="B804" i="3" s="1"/>
  <c r="I803" i="3"/>
  <c r="J803" i="3"/>
  <c r="M803" i="3"/>
  <c r="N803" i="3" s="1"/>
  <c r="L803" i="3" l="1"/>
  <c r="W803" i="3"/>
  <c r="AC804" i="3"/>
  <c r="P804" i="3"/>
  <c r="Q804" i="3" s="1"/>
  <c r="R804" i="3" s="1"/>
  <c r="S804" i="3" s="1"/>
  <c r="AA804" i="3"/>
  <c r="Z804" i="3"/>
  <c r="U803" i="3" l="1"/>
  <c r="Y802" i="3"/>
  <c r="T804" i="3"/>
  <c r="AH804" i="3" s="1"/>
  <c r="D804" i="3" l="1"/>
  <c r="G804" i="3" s="1"/>
  <c r="AG804" i="3"/>
  <c r="E804" i="3"/>
  <c r="H804" i="3" s="1"/>
  <c r="K804" i="3" s="1"/>
  <c r="AE804" i="3" s="1"/>
  <c r="F804" i="3" l="1"/>
  <c r="I804" i="3"/>
  <c r="J804" i="3"/>
  <c r="AD804" i="3" s="1"/>
  <c r="M804" i="3"/>
  <c r="N804" i="3" s="1"/>
  <c r="V804" i="3"/>
  <c r="A805" i="3"/>
  <c r="B805" i="3" s="1"/>
  <c r="W804" i="3" l="1"/>
  <c r="L804" i="3"/>
  <c r="Z805" i="3"/>
  <c r="P805" i="3"/>
  <c r="Q805" i="3" s="1"/>
  <c r="R805" i="3" s="1"/>
  <c r="S805" i="3" s="1"/>
  <c r="AD805" i="3"/>
  <c r="AC805" i="3"/>
  <c r="AA805" i="3"/>
  <c r="T805" i="3" l="1"/>
  <c r="AH805" i="3" s="1"/>
  <c r="U804" i="3"/>
  <c r="Y803" i="3"/>
  <c r="E805" i="3" l="1"/>
  <c r="H805" i="3" s="1"/>
  <c r="AG805" i="3"/>
  <c r="D805" i="3"/>
  <c r="K805" i="3" l="1"/>
  <c r="AE805" i="3" s="1"/>
  <c r="F805" i="3"/>
  <c r="G805" i="3"/>
  <c r="I805" i="3" l="1"/>
  <c r="J805" i="3"/>
  <c r="M805" i="3"/>
  <c r="N805" i="3" s="1"/>
  <c r="V805" i="3"/>
  <c r="A806" i="3"/>
  <c r="B806" i="3" s="1"/>
  <c r="W805" i="3" l="1"/>
  <c r="L805" i="3"/>
  <c r="Z806" i="3"/>
  <c r="AA806" i="3"/>
  <c r="P806" i="3"/>
  <c r="Q806" i="3" s="1"/>
  <c r="R806" i="3" s="1"/>
  <c r="S806" i="3" s="1"/>
  <c r="AC806" i="3"/>
  <c r="AD806" i="3"/>
  <c r="T806" i="3" l="1"/>
  <c r="U805" i="3"/>
  <c r="Y804" i="3"/>
  <c r="D806" i="3" l="1"/>
  <c r="G806" i="3" s="1"/>
  <c r="AH806" i="3"/>
  <c r="AG806" i="3"/>
  <c r="E806" i="3"/>
  <c r="H806" i="3" s="1"/>
  <c r="K806" i="3" l="1"/>
  <c r="AE806" i="3" s="1"/>
  <c r="I806" i="3"/>
  <c r="J806" i="3"/>
  <c r="M806" i="3"/>
  <c r="N806" i="3" s="1"/>
  <c r="F806" i="3"/>
  <c r="L806" i="3" l="1"/>
  <c r="V806" i="3"/>
  <c r="W806" i="3" s="1"/>
  <c r="A807" i="3"/>
  <c r="B807" i="3" s="1"/>
  <c r="AC807" i="3" l="1"/>
  <c r="P807" i="3"/>
  <c r="Q807" i="3" s="1"/>
  <c r="R807" i="3" s="1"/>
  <c r="S807" i="3" s="1"/>
  <c r="AA807" i="3"/>
  <c r="AD807" i="3"/>
  <c r="Z807" i="3"/>
  <c r="U806" i="3"/>
  <c r="Y805" i="3"/>
  <c r="T807" i="3" l="1"/>
  <c r="AH807" i="3" l="1"/>
  <c r="AG807" i="3"/>
  <c r="E807" i="3"/>
  <c r="H807" i="3" s="1"/>
  <c r="D807" i="3"/>
  <c r="K807" i="3" l="1"/>
  <c r="AE807" i="3" s="1"/>
  <c r="F807" i="3"/>
  <c r="G807" i="3"/>
  <c r="I807" i="3" l="1"/>
  <c r="J807" i="3"/>
  <c r="M807" i="3"/>
  <c r="N807" i="3" s="1"/>
  <c r="V807" i="3"/>
  <c r="A808" i="3"/>
  <c r="B808" i="3" s="1"/>
  <c r="W807" i="3" l="1"/>
  <c r="L807" i="3"/>
  <c r="P808" i="3"/>
  <c r="Q808" i="3" s="1"/>
  <c r="R808" i="3" s="1"/>
  <c r="S808" i="3" s="1"/>
  <c r="AA808" i="3"/>
  <c r="Z808" i="3"/>
  <c r="AC808" i="3"/>
  <c r="U807" i="3" l="1"/>
  <c r="Y806" i="3"/>
  <c r="T808" i="3"/>
  <c r="AH808" i="3" s="1"/>
  <c r="D808" i="3" l="1"/>
  <c r="G808" i="3" s="1"/>
  <c r="E808" i="3"/>
  <c r="H808" i="3" s="1"/>
  <c r="K808" i="3" s="1"/>
  <c r="AE808" i="3" s="1"/>
  <c r="AG808" i="3"/>
  <c r="F808" i="3" l="1"/>
  <c r="I808" i="3"/>
  <c r="J808" i="3"/>
  <c r="AD808" i="3" s="1"/>
  <c r="M808" i="3"/>
  <c r="N808" i="3" s="1"/>
  <c r="V808" i="3"/>
  <c r="A809" i="3"/>
  <c r="B809" i="3" s="1"/>
  <c r="W808" i="3" l="1"/>
  <c r="AC809" i="3"/>
  <c r="Z809" i="3"/>
  <c r="AA809" i="3"/>
  <c r="P809" i="3"/>
  <c r="Q809" i="3" s="1"/>
  <c r="R809" i="3" s="1"/>
  <c r="S809" i="3" s="1"/>
  <c r="AD809" i="3"/>
  <c r="L808" i="3"/>
  <c r="T809" i="3" l="1"/>
  <c r="U808" i="3"/>
  <c r="Y807" i="3"/>
  <c r="E809" i="3" l="1"/>
  <c r="H809" i="3" s="1"/>
  <c r="K809" i="3" s="1"/>
  <c r="AE809" i="3" s="1"/>
  <c r="AG809" i="3"/>
  <c r="D809" i="3"/>
  <c r="AH809" i="3"/>
  <c r="V809" i="3" l="1"/>
  <c r="A810" i="3"/>
  <c r="B810" i="3" s="1"/>
  <c r="F809" i="3"/>
  <c r="G809" i="3"/>
  <c r="I809" i="3" l="1"/>
  <c r="W809" i="3" s="1"/>
  <c r="J809" i="3"/>
  <c r="M809" i="3"/>
  <c r="N809" i="3" s="1"/>
  <c r="AD810" i="3"/>
  <c r="P810" i="3"/>
  <c r="Q810" i="3" s="1"/>
  <c r="R810" i="3" s="1"/>
  <c r="S810" i="3" s="1"/>
  <c r="AA810" i="3"/>
  <c r="AC810" i="3"/>
  <c r="Z810" i="3"/>
  <c r="T810" i="3" l="1"/>
  <c r="L809" i="3"/>
  <c r="AH810" i="3" l="1"/>
  <c r="AG810" i="3"/>
  <c r="U809" i="3"/>
  <c r="E810" i="3" s="1"/>
  <c r="H810" i="3" s="1"/>
  <c r="Y808" i="3"/>
  <c r="D810" i="3" l="1"/>
  <c r="G810" i="3" s="1"/>
  <c r="K810" i="3"/>
  <c r="AE810" i="3" s="1"/>
  <c r="F810" i="3" l="1"/>
  <c r="I810" i="3"/>
  <c r="J810" i="3"/>
  <c r="M810" i="3"/>
  <c r="N810" i="3" s="1"/>
  <c r="V810" i="3"/>
  <c r="A811" i="3"/>
  <c r="B811" i="3" s="1"/>
  <c r="L810" i="3" l="1"/>
  <c r="W810" i="3"/>
  <c r="AA811" i="3"/>
  <c r="P811" i="3"/>
  <c r="Q811" i="3" s="1"/>
  <c r="R811" i="3" s="1"/>
  <c r="S811" i="3" s="1"/>
  <c r="Z811" i="3"/>
  <c r="AD811" i="3"/>
  <c r="AC811" i="3"/>
  <c r="U810" i="3" l="1"/>
  <c r="Y809" i="3"/>
  <c r="T811" i="3"/>
  <c r="E811" i="3" l="1"/>
  <c r="H811" i="3" s="1"/>
  <c r="K811" i="3" s="1"/>
  <c r="AE811" i="3" s="1"/>
  <c r="AH811" i="3"/>
  <c r="AG811" i="3"/>
  <c r="D811" i="3"/>
  <c r="V811" i="3" l="1"/>
  <c r="A812" i="3"/>
  <c r="B812" i="3" s="1"/>
  <c r="F811" i="3"/>
  <c r="G811" i="3"/>
  <c r="I811" i="3" l="1"/>
  <c r="W811" i="3" s="1"/>
  <c r="J811" i="3"/>
  <c r="M811" i="3"/>
  <c r="N811" i="3" s="1"/>
  <c r="Z812" i="3"/>
  <c r="AA812" i="3"/>
  <c r="AD812" i="3"/>
  <c r="P812" i="3"/>
  <c r="Q812" i="3" s="1"/>
  <c r="R812" i="3" s="1"/>
  <c r="S812" i="3" s="1"/>
  <c r="AC812" i="3"/>
  <c r="T812" i="3" l="1"/>
  <c r="L811" i="3"/>
  <c r="AG812" i="3" l="1"/>
  <c r="U811" i="3"/>
  <c r="D812" i="3" s="1"/>
  <c r="AH812" i="3"/>
  <c r="Y810" i="3"/>
  <c r="G812" i="3" l="1"/>
  <c r="E812" i="3"/>
  <c r="H812" i="3" s="1"/>
  <c r="I812" i="3" l="1"/>
  <c r="J812" i="3"/>
  <c r="M812" i="3"/>
  <c r="N812" i="3" s="1"/>
  <c r="F812" i="3"/>
  <c r="K812" i="3"/>
  <c r="AE812" i="3" s="1"/>
  <c r="L812" i="3" l="1"/>
  <c r="V812" i="3"/>
  <c r="W812" i="3" s="1"/>
  <c r="A813" i="3"/>
  <c r="B813" i="3" s="1"/>
  <c r="U812" i="3" l="1"/>
  <c r="Y811" i="3"/>
  <c r="AA813" i="3"/>
  <c r="P813" i="3"/>
  <c r="Q813" i="3" s="1"/>
  <c r="R813" i="3" s="1"/>
  <c r="S813" i="3" s="1"/>
  <c r="Z813" i="3"/>
  <c r="AC813" i="3"/>
  <c r="AD813" i="3"/>
  <c r="T813" i="3" l="1"/>
  <c r="AG813" i="3" s="1"/>
  <c r="AH813" i="3" l="1"/>
  <c r="D813" i="3"/>
  <c r="E813" i="3"/>
  <c r="H813" i="3" s="1"/>
  <c r="F813" i="3" l="1"/>
  <c r="G813" i="3"/>
  <c r="K813" i="3"/>
  <c r="AE813" i="3" s="1"/>
  <c r="I813" i="3" l="1"/>
  <c r="J813" i="3"/>
  <c r="M813" i="3"/>
  <c r="N813" i="3" s="1"/>
  <c r="V813" i="3"/>
  <c r="A814" i="3"/>
  <c r="B814" i="3" s="1"/>
  <c r="W813" i="3" l="1"/>
  <c r="L813" i="3"/>
  <c r="P814" i="3"/>
  <c r="Q814" i="3" s="1"/>
  <c r="R814" i="3" s="1"/>
  <c r="S814" i="3" s="1"/>
  <c r="AA814" i="3"/>
  <c r="Z814" i="3"/>
  <c r="AC814" i="3"/>
  <c r="U813" i="3" l="1"/>
  <c r="Y812" i="3"/>
  <c r="T814" i="3"/>
  <c r="D814" i="3" l="1"/>
  <c r="G814" i="3" s="1"/>
  <c r="E814" i="3"/>
  <c r="H814" i="3" s="1"/>
  <c r="K814" i="3" s="1"/>
  <c r="AE814" i="3" s="1"/>
  <c r="AH814" i="3"/>
  <c r="AG814" i="3"/>
  <c r="F814" i="3" l="1"/>
  <c r="I814" i="3"/>
  <c r="J814" i="3"/>
  <c r="AD814" i="3" s="1"/>
  <c r="M814" i="3"/>
  <c r="N814" i="3" s="1"/>
  <c r="V814" i="3"/>
  <c r="A815" i="3"/>
  <c r="B815" i="3" s="1"/>
  <c r="W814" i="3" l="1"/>
  <c r="L814" i="3"/>
  <c r="AA815" i="3"/>
  <c r="AD815" i="3"/>
  <c r="AC815" i="3"/>
  <c r="Z815" i="3"/>
  <c r="P815" i="3"/>
  <c r="Q815" i="3" s="1"/>
  <c r="R815" i="3" s="1"/>
  <c r="S815" i="3" s="1"/>
  <c r="T815" i="3" l="1"/>
  <c r="AH815" i="3" s="1"/>
  <c r="U814" i="3"/>
  <c r="Y813" i="3"/>
  <c r="AG815" i="3" l="1"/>
  <c r="E815" i="3"/>
  <c r="H815" i="3" s="1"/>
  <c r="D815" i="3"/>
  <c r="K815" i="3" l="1"/>
  <c r="AE815" i="3" s="1"/>
  <c r="F815" i="3"/>
  <c r="G815" i="3"/>
  <c r="V815" i="3" l="1"/>
  <c r="A816" i="3"/>
  <c r="B816" i="3" s="1"/>
  <c r="I815" i="3"/>
  <c r="J815" i="3"/>
  <c r="M815" i="3"/>
  <c r="N815" i="3" s="1"/>
  <c r="W815" i="3" l="1"/>
  <c r="L815" i="3"/>
  <c r="P816" i="3"/>
  <c r="Q816" i="3" s="1"/>
  <c r="R816" i="3" s="1"/>
  <c r="S816" i="3" s="1"/>
  <c r="AC816" i="3"/>
  <c r="AD816" i="3"/>
  <c r="AA816" i="3"/>
  <c r="Z816" i="3"/>
  <c r="T816" i="3" l="1"/>
  <c r="U815" i="3"/>
  <c r="Y814" i="3"/>
  <c r="E816" i="3" l="1"/>
  <c r="H816" i="3" s="1"/>
  <c r="K816" i="3" s="1"/>
  <c r="AE816" i="3" s="1"/>
  <c r="D816" i="3"/>
  <c r="G816" i="3" s="1"/>
  <c r="AG816" i="3"/>
  <c r="AH816" i="3"/>
  <c r="F816" i="3" l="1"/>
  <c r="I816" i="3"/>
  <c r="J816" i="3"/>
  <c r="M816" i="3"/>
  <c r="N816" i="3" s="1"/>
  <c r="V816" i="3"/>
  <c r="A817" i="3"/>
  <c r="B817" i="3" s="1"/>
  <c r="W816" i="3" l="1"/>
  <c r="L816" i="3"/>
  <c r="P817" i="3"/>
  <c r="Q817" i="3" s="1"/>
  <c r="R817" i="3" s="1"/>
  <c r="S817" i="3" s="1"/>
  <c r="AD817" i="3"/>
  <c r="Z817" i="3"/>
  <c r="AA817" i="3"/>
  <c r="AC817" i="3"/>
  <c r="U816" i="3" l="1"/>
  <c r="Y815" i="3"/>
  <c r="T817" i="3"/>
  <c r="AG817" i="3" s="1"/>
  <c r="E817" i="3" l="1"/>
  <c r="H817" i="3" s="1"/>
  <c r="AH817" i="3"/>
  <c r="D817" i="3"/>
  <c r="F817" i="3" l="1"/>
  <c r="G817" i="3"/>
  <c r="K817" i="3"/>
  <c r="AE817" i="3" s="1"/>
  <c r="V817" i="3" l="1"/>
  <c r="A818" i="3"/>
  <c r="B818" i="3" s="1"/>
  <c r="I817" i="3"/>
  <c r="J817" i="3"/>
  <c r="M817" i="3"/>
  <c r="N817" i="3" s="1"/>
  <c r="W817" i="3" l="1"/>
  <c r="L817" i="3"/>
  <c r="Z818" i="3"/>
  <c r="AA818" i="3"/>
  <c r="P818" i="3"/>
  <c r="Q818" i="3" s="1"/>
  <c r="R818" i="3" s="1"/>
  <c r="S818" i="3" s="1"/>
  <c r="AC818" i="3"/>
  <c r="T818" i="3" l="1"/>
  <c r="U817" i="3"/>
  <c r="Y816" i="3"/>
  <c r="E818" i="3" l="1"/>
  <c r="H818" i="3" s="1"/>
  <c r="K818" i="3" s="1"/>
  <c r="AE818" i="3" s="1"/>
  <c r="D818" i="3"/>
  <c r="G818" i="3" s="1"/>
  <c r="AH818" i="3"/>
  <c r="AG818" i="3"/>
  <c r="F818" i="3" l="1"/>
  <c r="V818" i="3"/>
  <c r="A819" i="3"/>
  <c r="B819" i="3" s="1"/>
  <c r="I818" i="3"/>
  <c r="J818" i="3"/>
  <c r="AD818" i="3" s="1"/>
  <c r="M818" i="3"/>
  <c r="N818" i="3" s="1"/>
  <c r="W818" i="3" l="1"/>
  <c r="L818" i="3"/>
  <c r="AD819" i="3"/>
  <c r="AC819" i="3"/>
  <c r="AA819" i="3"/>
  <c r="Z819" i="3"/>
  <c r="P819" i="3"/>
  <c r="Q819" i="3" s="1"/>
  <c r="R819" i="3" s="1"/>
  <c r="S819" i="3" s="1"/>
  <c r="T819" i="3" l="1"/>
  <c r="AG819" i="3" s="1"/>
  <c r="U818" i="3"/>
  <c r="Y817" i="3"/>
  <c r="AH819" i="3" l="1"/>
  <c r="E819" i="3"/>
  <c r="H819" i="3" s="1"/>
  <c r="K819" i="3" s="1"/>
  <c r="AE819" i="3" s="1"/>
  <c r="D819" i="3"/>
  <c r="V819" i="3" l="1"/>
  <c r="A820" i="3"/>
  <c r="B820" i="3" s="1"/>
  <c r="F819" i="3"/>
  <c r="G819" i="3"/>
  <c r="I819" i="3" l="1"/>
  <c r="W819" i="3" s="1"/>
  <c r="J819" i="3"/>
  <c r="M819" i="3"/>
  <c r="N819" i="3" s="1"/>
  <c r="Z820" i="3"/>
  <c r="AD820" i="3"/>
  <c r="AA820" i="3"/>
  <c r="P820" i="3"/>
  <c r="Q820" i="3" s="1"/>
  <c r="R820" i="3" s="1"/>
  <c r="S820" i="3" s="1"/>
  <c r="AC820" i="3"/>
  <c r="T820" i="3" l="1"/>
  <c r="L819" i="3"/>
  <c r="U819" i="3" l="1"/>
  <c r="E820" i="3" s="1"/>
  <c r="H820" i="3" s="1"/>
  <c r="AG820" i="3"/>
  <c r="AH820" i="3"/>
  <c r="Y818" i="3"/>
  <c r="D820" i="3" l="1"/>
  <c r="G820" i="3" s="1"/>
  <c r="K820" i="3"/>
  <c r="AE820" i="3" s="1"/>
  <c r="F820" i="3" l="1"/>
  <c r="I820" i="3"/>
  <c r="J820" i="3"/>
  <c r="M820" i="3"/>
  <c r="N820" i="3" s="1"/>
  <c r="V820" i="3"/>
  <c r="A821" i="3"/>
  <c r="B821" i="3" s="1"/>
  <c r="W820" i="3" l="1"/>
  <c r="L820" i="3"/>
  <c r="P821" i="3"/>
  <c r="Q821" i="3" s="1"/>
  <c r="R821" i="3" s="1"/>
  <c r="S821" i="3" s="1"/>
  <c r="AA821" i="3"/>
  <c r="Z821" i="3"/>
  <c r="AD821" i="3"/>
  <c r="AC821" i="3"/>
  <c r="U820" i="3" l="1"/>
  <c r="Y819" i="3"/>
  <c r="T821" i="3"/>
  <c r="AH821" i="3" s="1"/>
  <c r="AG821" i="3" l="1"/>
  <c r="D821" i="3"/>
  <c r="G821" i="3" s="1"/>
  <c r="E821" i="3"/>
  <c r="H821" i="3" s="1"/>
  <c r="F821" i="3" l="1"/>
  <c r="K821" i="3"/>
  <c r="AE821" i="3" s="1"/>
  <c r="I821" i="3"/>
  <c r="J821" i="3"/>
  <c r="M821" i="3"/>
  <c r="N821" i="3" s="1"/>
  <c r="L821" i="3" l="1"/>
  <c r="V821" i="3"/>
  <c r="W821" i="3" s="1"/>
  <c r="A822" i="3"/>
  <c r="B822" i="3" s="1"/>
  <c r="P822" i="3" l="1"/>
  <c r="Q822" i="3" s="1"/>
  <c r="R822" i="3" s="1"/>
  <c r="S822" i="3" s="1"/>
  <c r="AA822" i="3"/>
  <c r="Z822" i="3"/>
  <c r="AC822" i="3"/>
  <c r="AD822" i="3"/>
  <c r="U821" i="3"/>
  <c r="Y820" i="3"/>
  <c r="T822" i="3" l="1"/>
  <c r="AH822" i="3" s="1"/>
  <c r="D822" i="3" l="1"/>
  <c r="E822" i="3"/>
  <c r="H822" i="3" s="1"/>
  <c r="AG822" i="3"/>
  <c r="K822" i="3" l="1"/>
  <c r="AE822" i="3" s="1"/>
  <c r="F822" i="3"/>
  <c r="G822" i="3"/>
  <c r="I822" i="3" l="1"/>
  <c r="J822" i="3"/>
  <c r="M822" i="3"/>
  <c r="N822" i="3" s="1"/>
  <c r="V822" i="3"/>
  <c r="A823" i="3"/>
  <c r="B823" i="3" s="1"/>
  <c r="W822" i="3" l="1"/>
  <c r="L822" i="3"/>
  <c r="AC823" i="3"/>
  <c r="Z823" i="3"/>
  <c r="P823" i="3"/>
  <c r="Q823" i="3" s="1"/>
  <c r="R823" i="3" s="1"/>
  <c r="S823" i="3" s="1"/>
  <c r="AD823" i="3"/>
  <c r="AA823" i="3"/>
  <c r="U822" i="3" l="1"/>
  <c r="Y821" i="3"/>
  <c r="T823" i="3"/>
  <c r="D823" i="3" l="1"/>
  <c r="G823" i="3" s="1"/>
  <c r="E823" i="3"/>
  <c r="H823" i="3" s="1"/>
  <c r="AG823" i="3"/>
  <c r="AH823" i="3"/>
  <c r="F823" i="3" l="1"/>
  <c r="I823" i="3"/>
  <c r="J823" i="3"/>
  <c r="M823" i="3"/>
  <c r="N823" i="3" s="1"/>
  <c r="K823" i="3"/>
  <c r="AE823" i="3" s="1"/>
  <c r="V823" i="3" l="1"/>
  <c r="W823" i="3" s="1"/>
  <c r="A824" i="3"/>
  <c r="B824" i="3" s="1"/>
  <c r="L823" i="3"/>
  <c r="U823" i="3" l="1"/>
  <c r="Y822" i="3"/>
  <c r="Z824" i="3"/>
  <c r="P824" i="3"/>
  <c r="Q824" i="3" s="1"/>
  <c r="R824" i="3" s="1"/>
  <c r="S824" i="3" s="1"/>
  <c r="AC824" i="3"/>
  <c r="AA824" i="3"/>
  <c r="T824" i="3" l="1"/>
  <c r="D824" i="3" s="1"/>
  <c r="AH824" i="3" l="1"/>
  <c r="E824" i="3"/>
  <c r="H824" i="3" s="1"/>
  <c r="K824" i="3" s="1"/>
  <c r="AE824" i="3" s="1"/>
  <c r="AG824" i="3"/>
  <c r="G824" i="3"/>
  <c r="F824" i="3" l="1"/>
  <c r="V824" i="3"/>
  <c r="A825" i="3"/>
  <c r="B825" i="3" s="1"/>
  <c r="I824" i="3"/>
  <c r="J824" i="3"/>
  <c r="AD824" i="3" s="1"/>
  <c r="M824" i="3"/>
  <c r="N824" i="3" s="1"/>
  <c r="L824" i="3" l="1"/>
  <c r="W824" i="3"/>
  <c r="Z825" i="3"/>
  <c r="AC825" i="3"/>
  <c r="P825" i="3"/>
  <c r="Q825" i="3" s="1"/>
  <c r="R825" i="3" s="1"/>
  <c r="S825" i="3" s="1"/>
  <c r="AA825" i="3"/>
  <c r="AD825" i="3"/>
  <c r="T825" i="3" l="1"/>
  <c r="AG825" i="3" s="1"/>
  <c r="U824" i="3"/>
  <c r="Y823" i="3"/>
  <c r="D825" i="3" l="1"/>
  <c r="E825" i="3"/>
  <c r="H825" i="3" s="1"/>
  <c r="AH825" i="3"/>
  <c r="F825" i="3" l="1"/>
  <c r="G825" i="3"/>
  <c r="K825" i="3"/>
  <c r="AE825" i="3" s="1"/>
  <c r="I825" i="3" l="1"/>
  <c r="J825" i="3"/>
  <c r="M825" i="3"/>
  <c r="N825" i="3" s="1"/>
  <c r="V825" i="3"/>
  <c r="A826" i="3"/>
  <c r="B826" i="3" s="1"/>
  <c r="W825" i="3" l="1"/>
  <c r="L825" i="3"/>
  <c r="P826" i="3"/>
  <c r="Q826" i="3" s="1"/>
  <c r="R826" i="3" s="1"/>
  <c r="S826" i="3" s="1"/>
  <c r="Z826" i="3"/>
  <c r="AA826" i="3"/>
  <c r="AD826" i="3"/>
  <c r="AC826" i="3"/>
  <c r="U825" i="3" l="1"/>
  <c r="Y824" i="3"/>
  <c r="T826" i="3"/>
  <c r="AG826" i="3" s="1"/>
  <c r="E826" i="3" l="1"/>
  <c r="H826" i="3" s="1"/>
  <c r="K826" i="3" s="1"/>
  <c r="AE826" i="3" s="1"/>
  <c r="AH826" i="3"/>
  <c r="D826" i="3"/>
  <c r="G826" i="3" s="1"/>
  <c r="F826" i="3" l="1"/>
  <c r="I826" i="3"/>
  <c r="J826" i="3"/>
  <c r="M826" i="3"/>
  <c r="N826" i="3" s="1"/>
  <c r="V826" i="3"/>
  <c r="A827" i="3"/>
  <c r="B827" i="3" s="1"/>
  <c r="W826" i="3" l="1"/>
  <c r="L826" i="3"/>
  <c r="Z827" i="3"/>
  <c r="AA827" i="3"/>
  <c r="AD827" i="3"/>
  <c r="P827" i="3"/>
  <c r="Q827" i="3" s="1"/>
  <c r="R827" i="3" s="1"/>
  <c r="S827" i="3" s="1"/>
  <c r="AC827" i="3"/>
  <c r="U826" i="3" l="1"/>
  <c r="Y825" i="3"/>
  <c r="T827" i="3"/>
  <c r="AH827" i="3" s="1"/>
  <c r="D827" i="3" l="1"/>
  <c r="G827" i="3" s="1"/>
  <c r="E827" i="3"/>
  <c r="H827" i="3" s="1"/>
  <c r="K827" i="3" s="1"/>
  <c r="AE827" i="3" s="1"/>
  <c r="AG827" i="3"/>
  <c r="F827" i="3" l="1"/>
  <c r="V827" i="3"/>
  <c r="A828" i="3"/>
  <c r="B828" i="3" s="1"/>
  <c r="I827" i="3"/>
  <c r="J827" i="3"/>
  <c r="M827" i="3"/>
  <c r="N827" i="3" s="1"/>
  <c r="W827" i="3" l="1"/>
  <c r="L827" i="3"/>
  <c r="P828" i="3"/>
  <c r="Q828" i="3" s="1"/>
  <c r="R828" i="3" s="1"/>
  <c r="S828" i="3" s="1"/>
  <c r="AC828" i="3"/>
  <c r="AA828" i="3"/>
  <c r="Z828" i="3"/>
  <c r="U827" i="3" l="1"/>
  <c r="Y826" i="3"/>
  <c r="T828" i="3"/>
  <c r="D828" i="3" l="1"/>
  <c r="G828" i="3" s="1"/>
  <c r="AG828" i="3"/>
  <c r="AH828" i="3"/>
  <c r="E828" i="3"/>
  <c r="H828" i="3" s="1"/>
  <c r="F828" i="3" l="1"/>
  <c r="I828" i="3"/>
  <c r="J828" i="3"/>
  <c r="AD828" i="3" s="1"/>
  <c r="M828" i="3"/>
  <c r="N828" i="3" s="1"/>
  <c r="K828" i="3"/>
  <c r="AE828" i="3" s="1"/>
  <c r="V828" i="3" l="1"/>
  <c r="W828" i="3" s="1"/>
  <c r="A829" i="3"/>
  <c r="B829" i="3" s="1"/>
  <c r="L828" i="3"/>
  <c r="U828" i="3" l="1"/>
  <c r="Y827" i="3"/>
  <c r="AC829" i="3"/>
  <c r="Z829" i="3"/>
  <c r="AA829" i="3"/>
  <c r="P829" i="3"/>
  <c r="Q829" i="3" s="1"/>
  <c r="R829" i="3" s="1"/>
  <c r="S829" i="3" s="1"/>
  <c r="AD829" i="3"/>
  <c r="T829" i="3" l="1"/>
  <c r="E829" i="3" s="1"/>
  <c r="H829" i="3" s="1"/>
  <c r="AH829" i="3" l="1"/>
  <c r="D829" i="3"/>
  <c r="G829" i="3" s="1"/>
  <c r="AG829" i="3"/>
  <c r="K829" i="3"/>
  <c r="AE829" i="3" s="1"/>
  <c r="F829" i="3" l="1"/>
  <c r="I829" i="3"/>
  <c r="J829" i="3"/>
  <c r="M829" i="3"/>
  <c r="N829" i="3" s="1"/>
  <c r="V829" i="3"/>
  <c r="A830" i="3"/>
  <c r="B830" i="3" s="1"/>
  <c r="W829" i="3" l="1"/>
  <c r="L829" i="3"/>
  <c r="AA830" i="3"/>
  <c r="Z830" i="3"/>
  <c r="AC830" i="3"/>
  <c r="AD830" i="3"/>
  <c r="P830" i="3"/>
  <c r="Q830" i="3" s="1"/>
  <c r="R830" i="3" s="1"/>
  <c r="S830" i="3" s="1"/>
  <c r="U829" i="3" l="1"/>
  <c r="Y828" i="3"/>
  <c r="T830" i="3"/>
  <c r="D830" i="3" l="1"/>
  <c r="G830" i="3" s="1"/>
  <c r="E830" i="3"/>
  <c r="H830" i="3" s="1"/>
  <c r="AG830" i="3"/>
  <c r="AH830" i="3"/>
  <c r="F830" i="3" l="1"/>
  <c r="I830" i="3"/>
  <c r="J830" i="3"/>
  <c r="M830" i="3"/>
  <c r="N830" i="3" s="1"/>
  <c r="K830" i="3"/>
  <c r="AE830" i="3" s="1"/>
  <c r="V830" i="3" l="1"/>
  <c r="W830" i="3" s="1"/>
  <c r="A831" i="3"/>
  <c r="B831" i="3" s="1"/>
  <c r="L830" i="3"/>
  <c r="U830" i="3" l="1"/>
  <c r="Y829" i="3"/>
  <c r="Z831" i="3"/>
  <c r="P831" i="3"/>
  <c r="Q831" i="3" s="1"/>
  <c r="R831" i="3" s="1"/>
  <c r="S831" i="3" s="1"/>
  <c r="AA831" i="3"/>
  <c r="AD831" i="3"/>
  <c r="AC831" i="3"/>
  <c r="T831" i="3" l="1"/>
  <c r="AH831" i="3" s="1"/>
  <c r="E831" i="3" l="1"/>
  <c r="H831" i="3" s="1"/>
  <c r="K831" i="3" s="1"/>
  <c r="AE831" i="3" s="1"/>
  <c r="D831" i="3"/>
  <c r="G831" i="3" s="1"/>
  <c r="AG831" i="3"/>
  <c r="F831" i="3" l="1"/>
  <c r="I831" i="3"/>
  <c r="J831" i="3"/>
  <c r="M831" i="3"/>
  <c r="N831" i="3" s="1"/>
  <c r="V831" i="3"/>
  <c r="A832" i="3"/>
  <c r="B832" i="3" s="1"/>
  <c r="W831" i="3" l="1"/>
  <c r="L831" i="3"/>
  <c r="P832" i="3"/>
  <c r="Q832" i="3" s="1"/>
  <c r="R832" i="3" s="1"/>
  <c r="S832" i="3" s="1"/>
  <c r="AC832" i="3"/>
  <c r="AD832" i="3"/>
  <c r="Z832" i="3"/>
  <c r="AA832" i="3"/>
  <c r="U831" i="3" l="1"/>
  <c r="Y830" i="3"/>
  <c r="T832" i="3"/>
  <c r="AH832" i="3" s="1"/>
  <c r="D832" i="3" l="1"/>
  <c r="G832" i="3" s="1"/>
  <c r="AG832" i="3"/>
  <c r="E832" i="3"/>
  <c r="H832" i="3" s="1"/>
  <c r="K832" i="3" l="1"/>
  <c r="AE832" i="3" s="1"/>
  <c r="I832" i="3"/>
  <c r="J832" i="3"/>
  <c r="M832" i="3"/>
  <c r="N832" i="3" s="1"/>
  <c r="F832" i="3"/>
  <c r="L832" i="3" l="1"/>
  <c r="V832" i="3"/>
  <c r="W832" i="3" s="1"/>
  <c r="A833" i="3"/>
  <c r="B833" i="3" s="1"/>
  <c r="U832" i="3" l="1"/>
  <c r="Y831" i="3"/>
  <c r="Z833" i="3"/>
  <c r="AC833" i="3"/>
  <c r="P833" i="3"/>
  <c r="Q833" i="3" s="1"/>
  <c r="R833" i="3" s="1"/>
  <c r="S833" i="3" s="1"/>
  <c r="AD833" i="3"/>
  <c r="AA833" i="3"/>
  <c r="T833" i="3" l="1"/>
  <c r="AH833" i="3" s="1"/>
  <c r="E833" i="3" l="1"/>
  <c r="H833" i="3" s="1"/>
  <c r="K833" i="3" s="1"/>
  <c r="AE833" i="3" s="1"/>
  <c r="AG833" i="3"/>
  <c r="D833" i="3"/>
  <c r="G833" i="3" s="1"/>
  <c r="F833" i="3" l="1"/>
  <c r="I833" i="3"/>
  <c r="J833" i="3"/>
  <c r="M833" i="3"/>
  <c r="N833" i="3" s="1"/>
  <c r="V833" i="3"/>
  <c r="A834" i="3"/>
  <c r="B834" i="3" s="1"/>
  <c r="L833" i="3" l="1"/>
  <c r="W833" i="3"/>
  <c r="AC834" i="3"/>
  <c r="P834" i="3"/>
  <c r="Q834" i="3" s="1"/>
  <c r="R834" i="3" s="1"/>
  <c r="S834" i="3" s="1"/>
  <c r="AA834" i="3"/>
  <c r="Z834" i="3"/>
  <c r="U833" i="3" l="1"/>
  <c r="Y832" i="3"/>
  <c r="T834" i="3"/>
  <c r="D834" i="3" l="1"/>
  <c r="G834" i="3" s="1"/>
  <c r="E834" i="3"/>
  <c r="H834" i="3" s="1"/>
  <c r="K834" i="3" s="1"/>
  <c r="AE834" i="3" s="1"/>
  <c r="AH834" i="3"/>
  <c r="AG834" i="3"/>
  <c r="F834" i="3" l="1"/>
  <c r="V834" i="3"/>
  <c r="A835" i="3"/>
  <c r="B835" i="3" s="1"/>
  <c r="I834" i="3"/>
  <c r="J834" i="3"/>
  <c r="AD834" i="3" s="1"/>
  <c r="M834" i="3"/>
  <c r="N834" i="3" s="1"/>
  <c r="W834" i="3" l="1"/>
  <c r="L834" i="3"/>
  <c r="Z835" i="3"/>
  <c r="P835" i="3"/>
  <c r="Q835" i="3" s="1"/>
  <c r="R835" i="3" s="1"/>
  <c r="S835" i="3" s="1"/>
  <c r="AD835" i="3"/>
  <c r="AC835" i="3"/>
  <c r="AA835" i="3"/>
  <c r="T835" i="3" l="1"/>
  <c r="U834" i="3"/>
  <c r="Y833" i="3"/>
  <c r="E835" i="3" l="1"/>
  <c r="H835" i="3" s="1"/>
  <c r="K835" i="3" s="1"/>
  <c r="AE835" i="3" s="1"/>
  <c r="AH835" i="3"/>
  <c r="AG835" i="3"/>
  <c r="D835" i="3"/>
  <c r="F835" i="3" l="1"/>
  <c r="G835" i="3"/>
  <c r="V835" i="3"/>
  <c r="A836" i="3"/>
  <c r="B836" i="3" s="1"/>
  <c r="I835" i="3" l="1"/>
  <c r="W835" i="3" s="1"/>
  <c r="J835" i="3"/>
  <c r="M835" i="3"/>
  <c r="N835" i="3" s="1"/>
  <c r="Z836" i="3"/>
  <c r="AA836" i="3"/>
  <c r="AC836" i="3"/>
  <c r="P836" i="3"/>
  <c r="Q836" i="3" s="1"/>
  <c r="R836" i="3" s="1"/>
  <c r="S836" i="3" s="1"/>
  <c r="AD836" i="3"/>
  <c r="T836" i="3" l="1"/>
  <c r="L835" i="3"/>
  <c r="AG836" i="3" l="1"/>
  <c r="U835" i="3"/>
  <c r="D836" i="3" s="1"/>
  <c r="AH836" i="3"/>
  <c r="Y834" i="3"/>
  <c r="E836" i="3" l="1"/>
  <c r="H836" i="3" s="1"/>
  <c r="K836" i="3" s="1"/>
  <c r="AE836" i="3" s="1"/>
  <c r="G836" i="3"/>
  <c r="F836" i="3" l="1"/>
  <c r="V836" i="3"/>
  <c r="A837" i="3"/>
  <c r="B837" i="3" s="1"/>
  <c r="I836" i="3"/>
  <c r="J836" i="3"/>
  <c r="M836" i="3"/>
  <c r="N836" i="3" s="1"/>
  <c r="L836" i="3" l="1"/>
  <c r="W836" i="3"/>
  <c r="P837" i="3"/>
  <c r="Q837" i="3" s="1"/>
  <c r="R837" i="3" s="1"/>
  <c r="S837" i="3" s="1"/>
  <c r="AD837" i="3"/>
  <c r="AA837" i="3"/>
  <c r="AC837" i="3"/>
  <c r="Z837" i="3"/>
  <c r="U836" i="3" l="1"/>
  <c r="Y835" i="3"/>
  <c r="T837" i="3"/>
  <c r="AH837" i="3" s="1"/>
  <c r="E837" i="3" l="1"/>
  <c r="H837" i="3" s="1"/>
  <c r="K837" i="3" s="1"/>
  <c r="AE837" i="3" s="1"/>
  <c r="D837" i="3"/>
  <c r="G837" i="3" s="1"/>
  <c r="AG837" i="3"/>
  <c r="F837" i="3" l="1"/>
  <c r="I837" i="3"/>
  <c r="J837" i="3"/>
  <c r="M837" i="3"/>
  <c r="N837" i="3" s="1"/>
  <c r="V837" i="3"/>
  <c r="A838" i="3"/>
  <c r="B838" i="3" s="1"/>
  <c r="W837" i="3" l="1"/>
  <c r="L837" i="3"/>
  <c r="P838" i="3"/>
  <c r="Q838" i="3" s="1"/>
  <c r="R838" i="3" s="1"/>
  <c r="S838" i="3" s="1"/>
  <c r="AA838" i="3"/>
  <c r="AC838" i="3"/>
  <c r="Z838" i="3"/>
  <c r="U837" i="3" l="1"/>
  <c r="Y836" i="3"/>
  <c r="T838" i="3"/>
  <c r="AH838" i="3" s="1"/>
  <c r="E838" i="3" l="1"/>
  <c r="H838" i="3" s="1"/>
  <c r="D838" i="3"/>
  <c r="AG838" i="3"/>
  <c r="K838" i="3" l="1"/>
  <c r="AE838" i="3" s="1"/>
  <c r="F838" i="3"/>
  <c r="G838" i="3"/>
  <c r="V838" i="3" l="1"/>
  <c r="A839" i="3"/>
  <c r="B839" i="3" s="1"/>
  <c r="I838" i="3"/>
  <c r="J838" i="3"/>
  <c r="AD838" i="3" s="1"/>
  <c r="M838" i="3"/>
  <c r="N838" i="3" s="1"/>
  <c r="W838" i="3" l="1"/>
  <c r="L838" i="3"/>
  <c r="AC839" i="3"/>
  <c r="Z839" i="3"/>
  <c r="AA839" i="3"/>
  <c r="P839" i="3"/>
  <c r="Q839" i="3" s="1"/>
  <c r="R839" i="3" s="1"/>
  <c r="S839" i="3" s="1"/>
  <c r="AD839" i="3"/>
  <c r="U838" i="3" l="1"/>
  <c r="Y837" i="3"/>
  <c r="T839" i="3"/>
  <c r="AG839" i="3" s="1"/>
  <c r="D839" i="3" l="1"/>
  <c r="E839" i="3"/>
  <c r="H839" i="3" s="1"/>
  <c r="AH839" i="3"/>
  <c r="F839" i="3" l="1"/>
  <c r="G839" i="3"/>
  <c r="K839" i="3"/>
  <c r="AE839" i="3" s="1"/>
  <c r="V839" i="3" l="1"/>
  <c r="A840" i="3"/>
  <c r="B840" i="3" s="1"/>
  <c r="I839" i="3"/>
  <c r="J839" i="3"/>
  <c r="M839" i="3"/>
  <c r="N839" i="3" s="1"/>
  <c r="W839" i="3" l="1"/>
  <c r="L839" i="3"/>
  <c r="AC840" i="3"/>
  <c r="P840" i="3"/>
  <c r="Q840" i="3" s="1"/>
  <c r="R840" i="3" s="1"/>
  <c r="S840" i="3" s="1"/>
  <c r="AA840" i="3"/>
  <c r="Z840" i="3"/>
  <c r="AD840" i="3"/>
  <c r="T840" i="3" l="1"/>
  <c r="U839" i="3"/>
  <c r="Y838" i="3"/>
  <c r="D840" i="3" l="1"/>
  <c r="G840" i="3" s="1"/>
  <c r="AG840" i="3"/>
  <c r="E840" i="3"/>
  <c r="H840" i="3" s="1"/>
  <c r="AH840" i="3"/>
  <c r="K840" i="3" l="1"/>
  <c r="AE840" i="3" s="1"/>
  <c r="I840" i="3"/>
  <c r="J840" i="3"/>
  <c r="M840" i="3"/>
  <c r="N840" i="3" s="1"/>
  <c r="F840" i="3"/>
  <c r="L840" i="3" l="1"/>
  <c r="V840" i="3"/>
  <c r="W840" i="3" s="1"/>
  <c r="A841" i="3"/>
  <c r="B841" i="3" s="1"/>
  <c r="U840" i="3" l="1"/>
  <c r="Y839" i="3"/>
  <c r="AA841" i="3"/>
  <c r="Z841" i="3"/>
  <c r="AD841" i="3"/>
  <c r="AC841" i="3"/>
  <c r="P841" i="3"/>
  <c r="Q841" i="3" s="1"/>
  <c r="R841" i="3" s="1"/>
  <c r="S841" i="3" s="1"/>
  <c r="T841" i="3" l="1"/>
  <c r="AH841" i="3" s="1"/>
  <c r="E841" i="3" l="1"/>
  <c r="H841" i="3" s="1"/>
  <c r="K841" i="3" s="1"/>
  <c r="AE841" i="3" s="1"/>
  <c r="AG841" i="3"/>
  <c r="D841" i="3"/>
  <c r="G841" i="3" s="1"/>
  <c r="F841" i="3" l="1"/>
  <c r="I841" i="3"/>
  <c r="J841" i="3"/>
  <c r="M841" i="3"/>
  <c r="N841" i="3" s="1"/>
  <c r="V841" i="3"/>
  <c r="A842" i="3"/>
  <c r="B842" i="3" s="1"/>
  <c r="W841" i="3" l="1"/>
  <c r="L841" i="3"/>
  <c r="P842" i="3"/>
  <c r="Q842" i="3" s="1"/>
  <c r="R842" i="3" s="1"/>
  <c r="S842" i="3" s="1"/>
  <c r="AD842" i="3"/>
  <c r="Z842" i="3"/>
  <c r="AC842" i="3"/>
  <c r="AA842" i="3"/>
  <c r="U841" i="3" l="1"/>
  <c r="Y840" i="3"/>
  <c r="T842" i="3"/>
  <c r="AG842" i="3" s="1"/>
  <c r="D842" i="3" l="1"/>
  <c r="G842" i="3" s="1"/>
  <c r="E842" i="3"/>
  <c r="H842" i="3" s="1"/>
  <c r="K842" i="3" s="1"/>
  <c r="AE842" i="3" s="1"/>
  <c r="AH842" i="3"/>
  <c r="F842" i="3" l="1"/>
  <c r="V842" i="3"/>
  <c r="A843" i="3"/>
  <c r="B843" i="3" s="1"/>
  <c r="I842" i="3"/>
  <c r="J842" i="3"/>
  <c r="M842" i="3"/>
  <c r="N842" i="3" s="1"/>
  <c r="W842" i="3" l="1"/>
  <c r="L842" i="3"/>
  <c r="AC843" i="3"/>
  <c r="AD843" i="3"/>
  <c r="AA843" i="3"/>
  <c r="Z843" i="3"/>
  <c r="P843" i="3"/>
  <c r="Q843" i="3" s="1"/>
  <c r="R843" i="3" s="1"/>
  <c r="S843" i="3" s="1"/>
  <c r="U842" i="3" l="1"/>
  <c r="Y841" i="3"/>
  <c r="T843" i="3"/>
  <c r="AG843" i="3" s="1"/>
  <c r="D843" i="3" l="1"/>
  <c r="E843" i="3"/>
  <c r="H843" i="3" s="1"/>
  <c r="AH843" i="3"/>
  <c r="F843" i="3" l="1"/>
  <c r="G843" i="3"/>
  <c r="K843" i="3"/>
  <c r="AE843" i="3" s="1"/>
  <c r="V843" i="3" l="1"/>
  <c r="A844" i="3"/>
  <c r="B844" i="3" s="1"/>
  <c r="I843" i="3"/>
  <c r="J843" i="3"/>
  <c r="M843" i="3"/>
  <c r="N843" i="3" s="1"/>
  <c r="W843" i="3" l="1"/>
  <c r="L843" i="3"/>
  <c r="AC844" i="3"/>
  <c r="P844" i="3"/>
  <c r="Q844" i="3" s="1"/>
  <c r="R844" i="3" s="1"/>
  <c r="S844" i="3" s="1"/>
  <c r="Z844" i="3"/>
  <c r="AA844" i="3"/>
  <c r="U843" i="3" l="1"/>
  <c r="Y842" i="3"/>
  <c r="T844" i="3"/>
  <c r="AH844" i="3" s="1"/>
  <c r="AG844" i="3" l="1"/>
  <c r="E844" i="3"/>
  <c r="H844" i="3" s="1"/>
  <c r="K844" i="3" s="1"/>
  <c r="AE844" i="3" s="1"/>
  <c r="D844" i="3"/>
  <c r="V844" i="3" l="1"/>
  <c r="A845" i="3"/>
  <c r="B845" i="3" s="1"/>
  <c r="F844" i="3"/>
  <c r="G844" i="3"/>
  <c r="I844" i="3" l="1"/>
  <c r="W844" i="3" s="1"/>
  <c r="J844" i="3"/>
  <c r="AD844" i="3" s="1"/>
  <c r="M844" i="3"/>
  <c r="N844" i="3" s="1"/>
  <c r="AD845" i="3"/>
  <c r="AC845" i="3"/>
  <c r="P845" i="3"/>
  <c r="Q845" i="3" s="1"/>
  <c r="R845" i="3" s="1"/>
  <c r="S845" i="3" s="1"/>
  <c r="Z845" i="3"/>
  <c r="AA845" i="3"/>
  <c r="T845" i="3" l="1"/>
  <c r="L844" i="3"/>
  <c r="AH845" i="3" l="1"/>
  <c r="U844" i="3"/>
  <c r="D845" i="3" s="1"/>
  <c r="AG845" i="3"/>
  <c r="Y843" i="3"/>
  <c r="E845" i="3" l="1"/>
  <c r="H845" i="3" s="1"/>
  <c r="K845" i="3" s="1"/>
  <c r="AE845" i="3" s="1"/>
  <c r="G845" i="3"/>
  <c r="F845" i="3" l="1"/>
  <c r="I845" i="3"/>
  <c r="J845" i="3"/>
  <c r="M845" i="3"/>
  <c r="N845" i="3" s="1"/>
  <c r="V845" i="3"/>
  <c r="A846" i="3"/>
  <c r="B846" i="3" s="1"/>
  <c r="W845" i="3" l="1"/>
  <c r="L845" i="3"/>
  <c r="P846" i="3"/>
  <c r="Q846" i="3" s="1"/>
  <c r="R846" i="3" s="1"/>
  <c r="S846" i="3" s="1"/>
  <c r="AD846" i="3"/>
  <c r="AC846" i="3"/>
  <c r="Z846" i="3"/>
  <c r="AA846" i="3"/>
  <c r="U845" i="3" l="1"/>
  <c r="Y844" i="3"/>
  <c r="T846" i="3"/>
  <c r="AH846" i="3" s="1"/>
  <c r="D846" i="3" l="1"/>
  <c r="G846" i="3" s="1"/>
  <c r="E846" i="3"/>
  <c r="H846" i="3" s="1"/>
  <c r="K846" i="3" s="1"/>
  <c r="AE846" i="3" s="1"/>
  <c r="AG846" i="3"/>
  <c r="F846" i="3" l="1"/>
  <c r="I846" i="3"/>
  <c r="J846" i="3"/>
  <c r="M846" i="3"/>
  <c r="N846" i="3" s="1"/>
  <c r="V846" i="3"/>
  <c r="A847" i="3"/>
  <c r="B847" i="3" s="1"/>
  <c r="W846" i="3" l="1"/>
  <c r="L846" i="3"/>
  <c r="AC847" i="3"/>
  <c r="P847" i="3"/>
  <c r="Q847" i="3" s="1"/>
  <c r="R847" i="3" s="1"/>
  <c r="S847" i="3" s="1"/>
  <c r="AD847" i="3"/>
  <c r="AA847" i="3"/>
  <c r="Z847" i="3"/>
  <c r="U846" i="3" l="1"/>
  <c r="Y845" i="3"/>
  <c r="T847" i="3"/>
  <c r="D847" i="3" l="1"/>
  <c r="G847" i="3" s="1"/>
  <c r="E847" i="3"/>
  <c r="H847" i="3" s="1"/>
  <c r="K847" i="3" s="1"/>
  <c r="AE847" i="3" s="1"/>
  <c r="AH847" i="3"/>
  <c r="AG847" i="3"/>
  <c r="F847" i="3" l="1"/>
  <c r="I847" i="3"/>
  <c r="J847" i="3"/>
  <c r="M847" i="3"/>
  <c r="N847" i="3" s="1"/>
  <c r="V847" i="3"/>
  <c r="A848" i="3"/>
  <c r="B848" i="3" s="1"/>
  <c r="W847" i="3" l="1"/>
  <c r="L847" i="3"/>
  <c r="AA848" i="3"/>
  <c r="P848" i="3"/>
  <c r="Q848" i="3" s="1"/>
  <c r="R848" i="3" s="1"/>
  <c r="S848" i="3" s="1"/>
  <c r="Z848" i="3"/>
  <c r="AC848" i="3"/>
  <c r="U847" i="3" l="1"/>
  <c r="Y846" i="3"/>
  <c r="T848" i="3"/>
  <c r="AG848" i="3" s="1"/>
  <c r="D848" i="3" l="1"/>
  <c r="AH848" i="3"/>
  <c r="E848" i="3"/>
  <c r="H848" i="3" s="1"/>
  <c r="F848" i="3" l="1"/>
  <c r="G848" i="3"/>
  <c r="K848" i="3"/>
  <c r="AE848" i="3" s="1"/>
  <c r="V848" i="3" l="1"/>
  <c r="A849" i="3"/>
  <c r="B849" i="3" s="1"/>
  <c r="I848" i="3"/>
  <c r="J848" i="3"/>
  <c r="AD848" i="3" s="1"/>
  <c r="M848" i="3"/>
  <c r="N848" i="3" s="1"/>
  <c r="W848" i="3" l="1"/>
  <c r="L848" i="3"/>
  <c r="P849" i="3"/>
  <c r="Q849" i="3" s="1"/>
  <c r="R849" i="3" s="1"/>
  <c r="S849" i="3" s="1"/>
  <c r="AC849" i="3"/>
  <c r="Z849" i="3"/>
  <c r="AD849" i="3"/>
  <c r="AA849" i="3"/>
  <c r="U848" i="3" l="1"/>
  <c r="Y847" i="3"/>
  <c r="T849" i="3"/>
  <c r="AG849" i="3" s="1"/>
  <c r="E849" i="3" l="1"/>
  <c r="H849" i="3" s="1"/>
  <c r="K849" i="3" s="1"/>
  <c r="AE849" i="3" s="1"/>
  <c r="D849" i="3"/>
  <c r="G849" i="3" s="1"/>
  <c r="AH849" i="3"/>
  <c r="F849" i="3" l="1"/>
  <c r="V849" i="3"/>
  <c r="A850" i="3"/>
  <c r="B850" i="3" s="1"/>
  <c r="I849" i="3"/>
  <c r="J849" i="3"/>
  <c r="M849" i="3"/>
  <c r="N849" i="3" s="1"/>
  <c r="W849" i="3" l="1"/>
  <c r="L849" i="3"/>
  <c r="AA850" i="3"/>
  <c r="AC850" i="3"/>
  <c r="P850" i="3"/>
  <c r="Q850" i="3" s="1"/>
  <c r="R850" i="3" s="1"/>
  <c r="S850" i="3" s="1"/>
  <c r="AD850" i="3"/>
  <c r="Z850" i="3"/>
  <c r="T850" i="3" l="1"/>
  <c r="AG850" i="3" s="1"/>
  <c r="U849" i="3"/>
  <c r="Y848" i="3"/>
  <c r="E850" i="3" l="1"/>
  <c r="H850" i="3" s="1"/>
  <c r="D850" i="3"/>
  <c r="AH850" i="3"/>
  <c r="K850" i="3" l="1"/>
  <c r="AE850" i="3" s="1"/>
  <c r="F850" i="3"/>
  <c r="G850" i="3"/>
  <c r="I850" i="3" l="1"/>
  <c r="J850" i="3"/>
  <c r="M850" i="3"/>
  <c r="N850" i="3" s="1"/>
  <c r="V850" i="3"/>
  <c r="A851" i="3"/>
  <c r="B851" i="3" s="1"/>
  <c r="W850" i="3" l="1"/>
  <c r="L850" i="3"/>
  <c r="P851" i="3"/>
  <c r="Q851" i="3" s="1"/>
  <c r="R851" i="3" s="1"/>
  <c r="S851" i="3" s="1"/>
  <c r="AA851" i="3"/>
  <c r="AC851" i="3"/>
  <c r="AD851" i="3"/>
  <c r="Z851" i="3"/>
  <c r="U850" i="3" l="1"/>
  <c r="Y849" i="3"/>
  <c r="T851" i="3"/>
  <c r="AH851" i="3" s="1"/>
  <c r="E851" i="3" l="1"/>
  <c r="H851" i="3" s="1"/>
  <c r="K851" i="3" s="1"/>
  <c r="AE851" i="3" s="1"/>
  <c r="AG851" i="3"/>
  <c r="D851" i="3"/>
  <c r="F851" i="3" l="1"/>
  <c r="G851" i="3"/>
  <c r="M851" i="3" s="1"/>
  <c r="N851" i="3" s="1"/>
  <c r="V851" i="3"/>
  <c r="A852" i="3"/>
  <c r="B852" i="3" s="1"/>
  <c r="I851" i="3" l="1"/>
  <c r="W851" i="3" s="1"/>
  <c r="J851" i="3"/>
  <c r="L851" i="3" s="1"/>
  <c r="AC852" i="3"/>
  <c r="AA852" i="3"/>
  <c r="AD852" i="3"/>
  <c r="P852" i="3"/>
  <c r="Q852" i="3" s="1"/>
  <c r="R852" i="3" s="1"/>
  <c r="S852" i="3" s="1"/>
  <c r="Z852" i="3"/>
  <c r="T852" i="3" l="1"/>
  <c r="U851" i="3"/>
  <c r="Y850" i="3"/>
  <c r="D852" i="3" l="1"/>
  <c r="G852" i="3" s="1"/>
  <c r="AH852" i="3"/>
  <c r="E852" i="3"/>
  <c r="H852" i="3" s="1"/>
  <c r="AG852" i="3"/>
  <c r="F852" i="3" l="1"/>
  <c r="I852" i="3"/>
  <c r="J852" i="3"/>
  <c r="M852" i="3"/>
  <c r="N852" i="3" s="1"/>
  <c r="K852" i="3"/>
  <c r="AE852" i="3" s="1"/>
  <c r="L852" i="3" l="1"/>
  <c r="V852" i="3"/>
  <c r="W852" i="3" s="1"/>
  <c r="A853" i="3"/>
  <c r="B853" i="3" s="1"/>
  <c r="U852" i="3" l="1"/>
  <c r="Y851" i="3"/>
  <c r="AD853" i="3"/>
  <c r="AC853" i="3"/>
  <c r="P853" i="3"/>
  <c r="Q853" i="3" s="1"/>
  <c r="R853" i="3" s="1"/>
  <c r="S853" i="3" s="1"/>
  <c r="Z853" i="3"/>
  <c r="AA853" i="3"/>
  <c r="T853" i="3" l="1"/>
  <c r="AG853" i="3" s="1"/>
  <c r="E853" i="3" l="1"/>
  <c r="H853" i="3" s="1"/>
  <c r="AH853" i="3"/>
  <c r="D853" i="3"/>
  <c r="K853" i="3" l="1"/>
  <c r="AE853" i="3" s="1"/>
  <c r="F853" i="3"/>
  <c r="G853" i="3"/>
  <c r="I853" i="3" l="1"/>
  <c r="J853" i="3"/>
  <c r="M853" i="3"/>
  <c r="N853" i="3" s="1"/>
  <c r="V853" i="3"/>
  <c r="A854" i="3"/>
  <c r="B854" i="3" s="1"/>
  <c r="W853" i="3" l="1"/>
  <c r="L853" i="3"/>
  <c r="Z854" i="3"/>
  <c r="P854" i="3"/>
  <c r="Q854" i="3" s="1"/>
  <c r="R854" i="3" s="1"/>
  <c r="S854" i="3" s="1"/>
  <c r="AC854" i="3"/>
  <c r="AA854" i="3"/>
  <c r="U853" i="3" l="1"/>
  <c r="Y852" i="3"/>
  <c r="T854" i="3"/>
  <c r="AG854" i="3" s="1"/>
  <c r="E854" i="3" l="1"/>
  <c r="H854" i="3" s="1"/>
  <c r="K854" i="3" s="1"/>
  <c r="AE854" i="3" s="1"/>
  <c r="AH854" i="3"/>
  <c r="D854" i="3"/>
  <c r="G854" i="3" s="1"/>
  <c r="F854" i="3" l="1"/>
  <c r="I854" i="3"/>
  <c r="J854" i="3"/>
  <c r="AD854" i="3" s="1"/>
  <c r="M854" i="3"/>
  <c r="N854" i="3" s="1"/>
  <c r="V854" i="3"/>
  <c r="A855" i="3"/>
  <c r="B855" i="3" s="1"/>
  <c r="W854" i="3" l="1"/>
  <c r="L854" i="3"/>
  <c r="Z855" i="3"/>
  <c r="P855" i="3"/>
  <c r="Q855" i="3" s="1"/>
  <c r="R855" i="3" s="1"/>
  <c r="S855" i="3" s="1"/>
  <c r="AA855" i="3"/>
  <c r="AC855" i="3"/>
  <c r="AD855" i="3"/>
  <c r="T855" i="3" l="1"/>
  <c r="AG855" i="3" s="1"/>
  <c r="U854" i="3"/>
  <c r="Y853" i="3"/>
  <c r="E855" i="3" l="1"/>
  <c r="H855" i="3" s="1"/>
  <c r="K855" i="3" s="1"/>
  <c r="AE855" i="3" s="1"/>
  <c r="D855" i="3"/>
  <c r="AH855" i="3"/>
  <c r="F855" i="3" l="1"/>
  <c r="G855" i="3"/>
  <c r="V855" i="3"/>
  <c r="A856" i="3"/>
  <c r="B856" i="3" s="1"/>
  <c r="AA856" i="3" l="1"/>
  <c r="P856" i="3"/>
  <c r="Q856" i="3" s="1"/>
  <c r="R856" i="3" s="1"/>
  <c r="S856" i="3" s="1"/>
  <c r="Z856" i="3"/>
  <c r="AD856" i="3"/>
  <c r="AC856" i="3"/>
  <c r="I855" i="3"/>
  <c r="W855" i="3" s="1"/>
  <c r="J855" i="3"/>
  <c r="M855" i="3"/>
  <c r="N855" i="3" s="1"/>
  <c r="L855" i="3" l="1"/>
  <c r="T856" i="3"/>
  <c r="U855" i="3" l="1"/>
  <c r="D856" i="3" s="1"/>
  <c r="AH856" i="3"/>
  <c r="AG856" i="3"/>
  <c r="Y854" i="3"/>
  <c r="G856" i="3" l="1"/>
  <c r="E856" i="3"/>
  <c r="H856" i="3" s="1"/>
  <c r="F856" i="3" l="1"/>
  <c r="K856" i="3"/>
  <c r="AE856" i="3" s="1"/>
  <c r="I856" i="3"/>
  <c r="J856" i="3"/>
  <c r="M856" i="3"/>
  <c r="N856" i="3" s="1"/>
  <c r="L856" i="3" l="1"/>
  <c r="V856" i="3"/>
  <c r="W856" i="3" s="1"/>
  <c r="A857" i="3"/>
  <c r="B857" i="3" s="1"/>
  <c r="Z857" i="3" l="1"/>
  <c r="AC857" i="3"/>
  <c r="AD857" i="3"/>
  <c r="AA857" i="3"/>
  <c r="P857" i="3"/>
  <c r="Q857" i="3" s="1"/>
  <c r="R857" i="3" s="1"/>
  <c r="S857" i="3" s="1"/>
  <c r="U856" i="3"/>
  <c r="Y855" i="3"/>
  <c r="T857" i="3" l="1"/>
  <c r="E857" i="3" l="1"/>
  <c r="H857" i="3" s="1"/>
  <c r="AG857" i="3"/>
  <c r="D857" i="3"/>
  <c r="AH857" i="3"/>
  <c r="K857" i="3" l="1"/>
  <c r="AE857" i="3" s="1"/>
  <c r="F857" i="3"/>
  <c r="G857" i="3"/>
  <c r="I857" i="3" l="1"/>
  <c r="J857" i="3"/>
  <c r="M857" i="3"/>
  <c r="N857" i="3" s="1"/>
  <c r="V857" i="3"/>
  <c r="A858" i="3"/>
  <c r="B858" i="3" s="1"/>
  <c r="W857" i="3" l="1"/>
  <c r="L857" i="3"/>
  <c r="AA858" i="3"/>
  <c r="Z858" i="3"/>
  <c r="P858" i="3"/>
  <c r="Q858" i="3" s="1"/>
  <c r="R858" i="3" s="1"/>
  <c r="S858" i="3" s="1"/>
  <c r="AC858" i="3"/>
  <c r="U857" i="3" l="1"/>
  <c r="Y856" i="3"/>
  <c r="T858" i="3"/>
  <c r="D858" i="3" l="1"/>
  <c r="G858" i="3" s="1"/>
  <c r="E858" i="3"/>
  <c r="H858" i="3" s="1"/>
  <c r="K858" i="3" s="1"/>
  <c r="AE858" i="3" s="1"/>
  <c r="AG858" i="3"/>
  <c r="AH858" i="3"/>
  <c r="F858" i="3" l="1"/>
  <c r="V858" i="3"/>
  <c r="A859" i="3"/>
  <c r="B859" i="3" s="1"/>
  <c r="I858" i="3"/>
  <c r="J858" i="3"/>
  <c r="AD858" i="3" s="1"/>
  <c r="M858" i="3"/>
  <c r="N858" i="3" s="1"/>
  <c r="W858" i="3" l="1"/>
  <c r="L858" i="3"/>
  <c r="AC859" i="3"/>
  <c r="P859" i="3"/>
  <c r="Q859" i="3" s="1"/>
  <c r="R859" i="3" s="1"/>
  <c r="S859" i="3" s="1"/>
  <c r="AA859" i="3"/>
  <c r="Z859" i="3"/>
  <c r="AD859" i="3"/>
  <c r="U858" i="3" l="1"/>
  <c r="Y857" i="3"/>
  <c r="T859" i="3"/>
  <c r="D859" i="3" l="1"/>
  <c r="G859" i="3" s="1"/>
  <c r="AH859" i="3"/>
  <c r="AG859" i="3"/>
  <c r="E859" i="3"/>
  <c r="H859" i="3" s="1"/>
  <c r="K859" i="3" s="1"/>
  <c r="AE859" i="3" s="1"/>
  <c r="F859" i="3" l="1"/>
  <c r="I859" i="3"/>
  <c r="J859" i="3"/>
  <c r="M859" i="3"/>
  <c r="N859" i="3" s="1"/>
  <c r="V859" i="3"/>
  <c r="A860" i="3"/>
  <c r="B860" i="3" s="1"/>
  <c r="W859" i="3" l="1"/>
  <c r="AC860" i="3"/>
  <c r="AD860" i="3"/>
  <c r="Z860" i="3"/>
  <c r="AA860" i="3"/>
  <c r="P860" i="3"/>
  <c r="Q860" i="3" s="1"/>
  <c r="R860" i="3" s="1"/>
  <c r="S860" i="3" s="1"/>
  <c r="L859" i="3"/>
  <c r="T860" i="3" l="1"/>
  <c r="U859" i="3"/>
  <c r="Y858" i="3"/>
  <c r="D860" i="3" l="1"/>
  <c r="G860" i="3" s="1"/>
  <c r="AG860" i="3"/>
  <c r="AH860" i="3"/>
  <c r="E860" i="3"/>
  <c r="H860" i="3" s="1"/>
  <c r="I860" i="3" l="1"/>
  <c r="J860" i="3"/>
  <c r="M860" i="3"/>
  <c r="N860" i="3" s="1"/>
  <c r="K860" i="3"/>
  <c r="AE860" i="3" s="1"/>
  <c r="F860" i="3"/>
  <c r="L860" i="3" l="1"/>
  <c r="V860" i="3"/>
  <c r="W860" i="3" s="1"/>
  <c r="A861" i="3"/>
  <c r="B861" i="3" s="1"/>
  <c r="U860" i="3" l="1"/>
  <c r="Y859" i="3"/>
  <c r="Z861" i="3"/>
  <c r="AD861" i="3"/>
  <c r="P861" i="3"/>
  <c r="Q861" i="3" s="1"/>
  <c r="R861" i="3" s="1"/>
  <c r="S861" i="3" s="1"/>
  <c r="AC861" i="3"/>
  <c r="AA861" i="3"/>
  <c r="T861" i="3" l="1"/>
  <c r="E861" i="3" s="1"/>
  <c r="H861" i="3" s="1"/>
  <c r="K861" i="3" l="1"/>
  <c r="AE861" i="3" s="1"/>
  <c r="D861" i="3"/>
  <c r="AH861" i="3"/>
  <c r="AG861" i="3"/>
  <c r="F861" i="3" l="1"/>
  <c r="G861" i="3"/>
  <c r="V861" i="3"/>
  <c r="A862" i="3"/>
  <c r="B862" i="3" s="1"/>
  <c r="AD862" i="3" l="1"/>
  <c r="Z862" i="3"/>
  <c r="P862" i="3"/>
  <c r="Q862" i="3" s="1"/>
  <c r="R862" i="3" s="1"/>
  <c r="S862" i="3" s="1"/>
  <c r="AC862" i="3"/>
  <c r="AA862" i="3"/>
  <c r="I861" i="3"/>
  <c r="W861" i="3" s="1"/>
  <c r="J861" i="3"/>
  <c r="M861" i="3"/>
  <c r="N861" i="3" s="1"/>
  <c r="T862" i="3" l="1"/>
  <c r="L861" i="3"/>
  <c r="AH862" i="3" l="1"/>
  <c r="U861" i="3"/>
  <c r="D862" i="3" s="1"/>
  <c r="AG862" i="3"/>
  <c r="Y860" i="3"/>
  <c r="E862" i="3" l="1"/>
  <c r="H862" i="3" s="1"/>
  <c r="K862" i="3" s="1"/>
  <c r="AE862" i="3" s="1"/>
  <c r="G862" i="3"/>
  <c r="F862" i="3" l="1"/>
  <c r="I862" i="3"/>
  <c r="J862" i="3"/>
  <c r="M862" i="3"/>
  <c r="N862" i="3" s="1"/>
  <c r="V862" i="3"/>
  <c r="A863" i="3"/>
  <c r="B863" i="3" s="1"/>
  <c r="W862" i="3" l="1"/>
  <c r="L862" i="3"/>
  <c r="AA863" i="3"/>
  <c r="Z863" i="3"/>
  <c r="P863" i="3"/>
  <c r="Q863" i="3" s="1"/>
  <c r="R863" i="3" s="1"/>
  <c r="S863" i="3" s="1"/>
  <c r="AD863" i="3"/>
  <c r="AC863" i="3"/>
  <c r="T863" i="3" l="1"/>
  <c r="U862" i="3"/>
  <c r="Y861" i="3"/>
  <c r="E863" i="3" l="1"/>
  <c r="H863" i="3" s="1"/>
  <c r="K863" i="3" s="1"/>
  <c r="AE863" i="3" s="1"/>
  <c r="D863" i="3"/>
  <c r="G863" i="3" s="1"/>
  <c r="AH863" i="3"/>
  <c r="AG863" i="3"/>
  <c r="F863" i="3" l="1"/>
  <c r="I863" i="3"/>
  <c r="J863" i="3"/>
  <c r="M863" i="3"/>
  <c r="N863" i="3" s="1"/>
  <c r="V863" i="3"/>
  <c r="A864" i="3"/>
  <c r="B864" i="3" s="1"/>
  <c r="W863" i="3" l="1"/>
  <c r="L863" i="3"/>
  <c r="AC864" i="3"/>
  <c r="Z864" i="3"/>
  <c r="AA864" i="3"/>
  <c r="P864" i="3"/>
  <c r="Q864" i="3" s="1"/>
  <c r="R864" i="3" s="1"/>
  <c r="S864" i="3" s="1"/>
  <c r="U863" i="3" l="1"/>
  <c r="Y862" i="3"/>
  <c r="T864" i="3"/>
  <c r="AH864" i="3" s="1"/>
  <c r="E864" i="3" l="1"/>
  <c r="H864" i="3" s="1"/>
  <c r="D864" i="3"/>
  <c r="AG864" i="3"/>
  <c r="K864" i="3" l="1"/>
  <c r="AE864" i="3" s="1"/>
  <c r="F864" i="3"/>
  <c r="G864" i="3"/>
  <c r="I864" i="3" l="1"/>
  <c r="J864" i="3"/>
  <c r="AD864" i="3" s="1"/>
  <c r="M864" i="3"/>
  <c r="N864" i="3" s="1"/>
  <c r="V864" i="3"/>
  <c r="A865" i="3"/>
  <c r="B865" i="3" s="1"/>
  <c r="W864" i="3" l="1"/>
  <c r="L864" i="3"/>
  <c r="AD865" i="3"/>
  <c r="P865" i="3"/>
  <c r="Q865" i="3" s="1"/>
  <c r="R865" i="3" s="1"/>
  <c r="S865" i="3" s="1"/>
  <c r="AC865" i="3"/>
  <c r="Z865" i="3"/>
  <c r="AA865" i="3"/>
  <c r="U864" i="3" l="1"/>
  <c r="Y863" i="3"/>
  <c r="T865" i="3"/>
  <c r="AG865" i="3" s="1"/>
  <c r="E865" i="3" l="1"/>
  <c r="H865" i="3" s="1"/>
  <c r="K865" i="3" s="1"/>
  <c r="AE865" i="3" s="1"/>
  <c r="D865" i="3"/>
  <c r="G865" i="3" s="1"/>
  <c r="AH865" i="3"/>
  <c r="F865" i="3" l="1"/>
  <c r="V865" i="3"/>
  <c r="A866" i="3"/>
  <c r="B866" i="3" s="1"/>
  <c r="I865" i="3"/>
  <c r="J865" i="3"/>
  <c r="M865" i="3"/>
  <c r="N865" i="3" s="1"/>
  <c r="W865" i="3" l="1"/>
  <c r="L865" i="3"/>
  <c r="P866" i="3"/>
  <c r="Q866" i="3" s="1"/>
  <c r="R866" i="3" s="1"/>
  <c r="S866" i="3" s="1"/>
  <c r="AA866" i="3"/>
  <c r="Z866" i="3"/>
  <c r="AC866" i="3"/>
  <c r="AD866" i="3"/>
  <c r="T866" i="3" l="1"/>
  <c r="U865" i="3"/>
  <c r="Y864" i="3"/>
  <c r="D866" i="3" l="1"/>
  <c r="G866" i="3" s="1"/>
  <c r="AG866" i="3"/>
  <c r="AH866" i="3"/>
  <c r="E866" i="3"/>
  <c r="H866" i="3" s="1"/>
  <c r="F866" i="3" l="1"/>
  <c r="K866" i="3"/>
  <c r="AE866" i="3" s="1"/>
  <c r="I866" i="3"/>
  <c r="J866" i="3"/>
  <c r="M866" i="3"/>
  <c r="N866" i="3" s="1"/>
  <c r="L866" i="3" l="1"/>
  <c r="V866" i="3"/>
  <c r="W866" i="3" s="1"/>
  <c r="A867" i="3"/>
  <c r="B867" i="3" s="1"/>
  <c r="Z867" i="3" l="1"/>
  <c r="AA867" i="3"/>
  <c r="P867" i="3"/>
  <c r="Q867" i="3" s="1"/>
  <c r="R867" i="3" s="1"/>
  <c r="S867" i="3" s="1"/>
  <c r="AC867" i="3"/>
  <c r="AD867" i="3"/>
  <c r="U866" i="3"/>
  <c r="Y865" i="3"/>
  <c r="T867" i="3" l="1"/>
  <c r="D867" i="3" s="1"/>
  <c r="AG867" i="3" l="1"/>
  <c r="E867" i="3"/>
  <c r="H867" i="3" s="1"/>
  <c r="K867" i="3" s="1"/>
  <c r="AE867" i="3" s="1"/>
  <c r="AH867" i="3"/>
  <c r="G867" i="3"/>
  <c r="F867" i="3" l="1"/>
  <c r="I867" i="3"/>
  <c r="J867" i="3"/>
  <c r="M867" i="3"/>
  <c r="N867" i="3" s="1"/>
  <c r="V867" i="3"/>
  <c r="A868" i="3"/>
  <c r="B868" i="3" s="1"/>
  <c r="W867" i="3" l="1"/>
  <c r="L867" i="3"/>
  <c r="Z868" i="3"/>
  <c r="AA868" i="3"/>
  <c r="AC868" i="3"/>
  <c r="P868" i="3"/>
  <c r="Q868" i="3" s="1"/>
  <c r="R868" i="3" s="1"/>
  <c r="S868" i="3" s="1"/>
  <c r="T868" i="3" l="1"/>
  <c r="U867" i="3"/>
  <c r="Y866" i="3"/>
  <c r="E868" i="3" l="1"/>
  <c r="H868" i="3" s="1"/>
  <c r="K868" i="3" s="1"/>
  <c r="AE868" i="3" s="1"/>
  <c r="AH868" i="3"/>
  <c r="D868" i="3"/>
  <c r="G868" i="3" s="1"/>
  <c r="AG868" i="3"/>
  <c r="F868" i="3" l="1"/>
  <c r="I868" i="3"/>
  <c r="J868" i="3"/>
  <c r="AD868" i="3" s="1"/>
  <c r="M868" i="3"/>
  <c r="N868" i="3" s="1"/>
  <c r="V868" i="3"/>
  <c r="A869" i="3"/>
  <c r="B869" i="3" s="1"/>
  <c r="W868" i="3" l="1"/>
  <c r="L868" i="3"/>
  <c r="P869" i="3"/>
  <c r="Q869" i="3" s="1"/>
  <c r="R869" i="3" s="1"/>
  <c r="S869" i="3" s="1"/>
  <c r="Z869" i="3"/>
  <c r="AC869" i="3"/>
  <c r="AA869" i="3"/>
  <c r="AD869" i="3"/>
  <c r="T869" i="3" l="1"/>
  <c r="U868" i="3"/>
  <c r="Y867" i="3"/>
  <c r="E869" i="3" l="1"/>
  <c r="H869" i="3" s="1"/>
  <c r="K869" i="3" s="1"/>
  <c r="AE869" i="3" s="1"/>
  <c r="AG869" i="3"/>
  <c r="D869" i="3"/>
  <c r="AH869" i="3"/>
  <c r="V869" i="3" l="1"/>
  <c r="A870" i="3"/>
  <c r="B870" i="3" s="1"/>
  <c r="F869" i="3"/>
  <c r="G869" i="3"/>
  <c r="I869" i="3" l="1"/>
  <c r="W869" i="3" s="1"/>
  <c r="J869" i="3"/>
  <c r="M869" i="3"/>
  <c r="N869" i="3" s="1"/>
  <c r="AD870" i="3"/>
  <c r="Z870" i="3"/>
  <c r="AA870" i="3"/>
  <c r="P870" i="3"/>
  <c r="Q870" i="3" s="1"/>
  <c r="R870" i="3" s="1"/>
  <c r="S870" i="3" s="1"/>
  <c r="AC870" i="3"/>
  <c r="L869" i="3" l="1"/>
  <c r="T870" i="3"/>
  <c r="U869" i="3" l="1"/>
  <c r="E870" i="3" s="1"/>
  <c r="H870" i="3" s="1"/>
  <c r="AH870" i="3"/>
  <c r="AG870" i="3"/>
  <c r="Y868" i="3"/>
  <c r="D870" i="3" l="1"/>
  <c r="G870" i="3" s="1"/>
  <c r="K870" i="3"/>
  <c r="AE870" i="3" s="1"/>
  <c r="F870" i="3" l="1"/>
  <c r="V870" i="3"/>
  <c r="A871" i="3"/>
  <c r="B871" i="3" s="1"/>
  <c r="I870" i="3"/>
  <c r="J870" i="3"/>
  <c r="M870" i="3"/>
  <c r="N870" i="3" s="1"/>
  <c r="W870" i="3" l="1"/>
  <c r="L870" i="3"/>
  <c r="Z871" i="3"/>
  <c r="P871" i="3"/>
  <c r="Q871" i="3" s="1"/>
  <c r="R871" i="3" s="1"/>
  <c r="S871" i="3" s="1"/>
  <c r="AD871" i="3"/>
  <c r="AA871" i="3"/>
  <c r="AC871" i="3"/>
  <c r="T871" i="3" l="1"/>
  <c r="AH871" i="3" s="1"/>
  <c r="U870" i="3"/>
  <c r="Y869" i="3"/>
  <c r="E871" i="3" l="1"/>
  <c r="H871" i="3" s="1"/>
  <c r="K871" i="3" s="1"/>
  <c r="AE871" i="3" s="1"/>
  <c r="AG871" i="3"/>
  <c r="D871" i="3"/>
  <c r="F871" i="3" l="1"/>
  <c r="G871" i="3"/>
  <c r="V871" i="3"/>
  <c r="A872" i="3"/>
  <c r="B872" i="3" s="1"/>
  <c r="AC872" i="3" l="1"/>
  <c r="AA872" i="3"/>
  <c r="P872" i="3"/>
  <c r="Q872" i="3" s="1"/>
  <c r="R872" i="3" s="1"/>
  <c r="S872" i="3" s="1"/>
  <c r="Z872" i="3"/>
  <c r="AD872" i="3"/>
  <c r="I871" i="3"/>
  <c r="W871" i="3" s="1"/>
  <c r="J871" i="3"/>
  <c r="M871" i="3"/>
  <c r="N871" i="3" s="1"/>
  <c r="L871" i="3" l="1"/>
  <c r="T872" i="3"/>
  <c r="AG872" i="3" l="1"/>
  <c r="AH872" i="3"/>
  <c r="U871" i="3"/>
  <c r="E872" i="3" s="1"/>
  <c r="H872" i="3" s="1"/>
  <c r="Y870" i="3"/>
  <c r="D872" i="3" l="1"/>
  <c r="G872" i="3" s="1"/>
  <c r="K872" i="3"/>
  <c r="AE872" i="3" s="1"/>
  <c r="F872" i="3" l="1"/>
  <c r="I872" i="3"/>
  <c r="J872" i="3"/>
  <c r="M872" i="3"/>
  <c r="N872" i="3" s="1"/>
  <c r="V872" i="3"/>
  <c r="A873" i="3"/>
  <c r="B873" i="3" s="1"/>
  <c r="W872" i="3" l="1"/>
  <c r="L872" i="3"/>
  <c r="AA873" i="3"/>
  <c r="AC873" i="3"/>
  <c r="AD873" i="3"/>
  <c r="P873" i="3"/>
  <c r="Q873" i="3" s="1"/>
  <c r="R873" i="3" s="1"/>
  <c r="S873" i="3" s="1"/>
  <c r="Z873" i="3"/>
  <c r="T873" i="3" l="1"/>
  <c r="AH873" i="3" s="1"/>
  <c r="U872" i="3"/>
  <c r="Y871" i="3"/>
  <c r="AG873" i="3" l="1"/>
  <c r="E873" i="3"/>
  <c r="H873" i="3" s="1"/>
  <c r="D873" i="3"/>
  <c r="K873" i="3" l="1"/>
  <c r="AE873" i="3" s="1"/>
  <c r="F873" i="3"/>
  <c r="G873" i="3"/>
  <c r="I873" i="3" l="1"/>
  <c r="J873" i="3"/>
  <c r="M873" i="3"/>
  <c r="N873" i="3" s="1"/>
  <c r="V873" i="3"/>
  <c r="A874" i="3"/>
  <c r="B874" i="3" s="1"/>
  <c r="W873" i="3" l="1"/>
  <c r="L873" i="3"/>
  <c r="AA874" i="3"/>
  <c r="P874" i="3"/>
  <c r="Q874" i="3" s="1"/>
  <c r="R874" i="3" s="1"/>
  <c r="S874" i="3" s="1"/>
  <c r="Z874" i="3"/>
  <c r="AC874" i="3"/>
  <c r="T874" i="3" l="1"/>
  <c r="AH874" i="3" s="1"/>
  <c r="U873" i="3"/>
  <c r="Y872" i="3"/>
  <c r="E874" i="3" l="1"/>
  <c r="H874" i="3" s="1"/>
  <c r="D874" i="3"/>
  <c r="AG874" i="3"/>
  <c r="K874" i="3" l="1"/>
  <c r="AE874" i="3" s="1"/>
  <c r="F874" i="3"/>
  <c r="G874" i="3"/>
  <c r="I874" i="3" l="1"/>
  <c r="J874" i="3"/>
  <c r="AD874" i="3" s="1"/>
  <c r="M874" i="3"/>
  <c r="N874" i="3" s="1"/>
  <c r="V874" i="3"/>
  <c r="A875" i="3"/>
  <c r="B875" i="3" s="1"/>
  <c r="W874" i="3" l="1"/>
  <c r="L874" i="3"/>
  <c r="AA875" i="3"/>
  <c r="Z875" i="3"/>
  <c r="P875" i="3"/>
  <c r="Q875" i="3" s="1"/>
  <c r="R875" i="3" s="1"/>
  <c r="S875" i="3" s="1"/>
  <c r="AD875" i="3"/>
  <c r="AC875" i="3"/>
  <c r="T875" i="3" l="1"/>
  <c r="U874" i="3"/>
  <c r="Y873" i="3"/>
  <c r="D875" i="3" l="1"/>
  <c r="G875" i="3" s="1"/>
  <c r="E875" i="3"/>
  <c r="H875" i="3" s="1"/>
  <c r="K875" i="3" s="1"/>
  <c r="AE875" i="3" s="1"/>
  <c r="AH875" i="3"/>
  <c r="AG875" i="3"/>
  <c r="F875" i="3" l="1"/>
  <c r="V875" i="3"/>
  <c r="A876" i="3"/>
  <c r="B876" i="3" s="1"/>
  <c r="I875" i="3"/>
  <c r="J875" i="3"/>
  <c r="M875" i="3"/>
  <c r="N875" i="3" s="1"/>
  <c r="W875" i="3" l="1"/>
  <c r="L875" i="3"/>
  <c r="AC876" i="3"/>
  <c r="P876" i="3"/>
  <c r="Q876" i="3" s="1"/>
  <c r="R876" i="3" s="1"/>
  <c r="S876" i="3" s="1"/>
  <c r="Z876" i="3"/>
  <c r="AA876" i="3"/>
  <c r="AD876" i="3"/>
  <c r="U875" i="3" l="1"/>
  <c r="Y874" i="3"/>
  <c r="T876" i="3"/>
  <c r="AG876" i="3" s="1"/>
  <c r="D876" i="3" l="1"/>
  <c r="E876" i="3"/>
  <c r="H876" i="3" s="1"/>
  <c r="AH876" i="3"/>
  <c r="K876" i="3" l="1"/>
  <c r="AE876" i="3" s="1"/>
  <c r="F876" i="3"/>
  <c r="G876" i="3"/>
  <c r="I876" i="3" l="1"/>
  <c r="J876" i="3"/>
  <c r="M876" i="3"/>
  <c r="N876" i="3" s="1"/>
  <c r="V876" i="3"/>
  <c r="A877" i="3"/>
  <c r="B877" i="3" s="1"/>
  <c r="W876" i="3" l="1"/>
  <c r="L876" i="3"/>
  <c r="P877" i="3"/>
  <c r="Q877" i="3" s="1"/>
  <c r="R877" i="3" s="1"/>
  <c r="S877" i="3" s="1"/>
  <c r="AA877" i="3"/>
  <c r="Z877" i="3"/>
  <c r="AD877" i="3"/>
  <c r="AC877" i="3"/>
  <c r="U876" i="3" l="1"/>
  <c r="Y875" i="3"/>
  <c r="T877" i="3"/>
  <c r="D877" i="3" l="1"/>
  <c r="G877" i="3" s="1"/>
  <c r="AH877" i="3"/>
  <c r="AG877" i="3"/>
  <c r="E877" i="3"/>
  <c r="H877" i="3" s="1"/>
  <c r="I877" i="3" l="1"/>
  <c r="J877" i="3"/>
  <c r="M877" i="3"/>
  <c r="N877" i="3" s="1"/>
  <c r="K877" i="3"/>
  <c r="AE877" i="3" s="1"/>
  <c r="F877" i="3"/>
  <c r="V877" i="3" l="1"/>
  <c r="W877" i="3" s="1"/>
  <c r="A878" i="3"/>
  <c r="B878" i="3" s="1"/>
  <c r="L877" i="3"/>
  <c r="U877" i="3" l="1"/>
  <c r="Y876" i="3"/>
  <c r="Z878" i="3"/>
  <c r="AC878" i="3"/>
  <c r="AA878" i="3"/>
  <c r="P878" i="3"/>
  <c r="Q878" i="3" s="1"/>
  <c r="R878" i="3" s="1"/>
  <c r="S878" i="3" s="1"/>
  <c r="T878" i="3" l="1"/>
  <c r="E878" i="3" s="1"/>
  <c r="H878" i="3" s="1"/>
  <c r="D878" i="3" l="1"/>
  <c r="G878" i="3" s="1"/>
  <c r="AG878" i="3"/>
  <c r="AH878" i="3"/>
  <c r="K878" i="3"/>
  <c r="AE878" i="3" s="1"/>
  <c r="F878" i="3" l="1"/>
  <c r="I878" i="3"/>
  <c r="J878" i="3"/>
  <c r="AD878" i="3" s="1"/>
  <c r="M878" i="3"/>
  <c r="N878" i="3" s="1"/>
  <c r="V878" i="3"/>
  <c r="A879" i="3"/>
  <c r="B879" i="3" s="1"/>
  <c r="W878" i="3" l="1"/>
  <c r="L878" i="3"/>
  <c r="AC879" i="3"/>
  <c r="AD879" i="3"/>
  <c r="P879" i="3"/>
  <c r="Q879" i="3" s="1"/>
  <c r="R879" i="3" s="1"/>
  <c r="S879" i="3" s="1"/>
  <c r="AA879" i="3"/>
  <c r="Z879" i="3"/>
  <c r="T879" i="3" l="1"/>
  <c r="AG879" i="3" s="1"/>
  <c r="U878" i="3"/>
  <c r="Y877" i="3"/>
  <c r="E879" i="3" l="1"/>
  <c r="H879" i="3" s="1"/>
  <c r="D879" i="3"/>
  <c r="AH879" i="3"/>
  <c r="F879" i="3" l="1"/>
  <c r="G879" i="3"/>
  <c r="K879" i="3"/>
  <c r="AE879" i="3" s="1"/>
  <c r="I879" i="3" l="1"/>
  <c r="J879" i="3"/>
  <c r="M879" i="3"/>
  <c r="N879" i="3" s="1"/>
  <c r="V879" i="3"/>
  <c r="A880" i="3"/>
  <c r="B880" i="3" s="1"/>
  <c r="W879" i="3" l="1"/>
  <c r="L879" i="3"/>
  <c r="AD880" i="3"/>
  <c r="AA880" i="3"/>
  <c r="AC880" i="3"/>
  <c r="Z880" i="3"/>
  <c r="P880" i="3"/>
  <c r="Q880" i="3" s="1"/>
  <c r="R880" i="3" s="1"/>
  <c r="S880" i="3" s="1"/>
  <c r="T880" i="3" l="1"/>
  <c r="AG880" i="3" s="1"/>
  <c r="U879" i="3"/>
  <c r="Y878" i="3"/>
  <c r="D880" i="3" l="1"/>
  <c r="AH880" i="3"/>
  <c r="E880" i="3"/>
  <c r="H880" i="3" s="1"/>
  <c r="F880" i="3" l="1"/>
  <c r="G880" i="3"/>
  <c r="K880" i="3"/>
  <c r="AE880" i="3" s="1"/>
  <c r="V880" i="3" l="1"/>
  <c r="A881" i="3"/>
  <c r="B881" i="3" s="1"/>
  <c r="I880" i="3"/>
  <c r="J880" i="3"/>
  <c r="M880" i="3"/>
  <c r="N880" i="3" s="1"/>
  <c r="W880" i="3" l="1"/>
  <c r="L880" i="3"/>
  <c r="AA881" i="3"/>
  <c r="AD881" i="3"/>
  <c r="P881" i="3"/>
  <c r="Q881" i="3" s="1"/>
  <c r="R881" i="3" s="1"/>
  <c r="S881" i="3" s="1"/>
  <c r="Z881" i="3"/>
  <c r="AC881" i="3"/>
  <c r="U880" i="3" l="1"/>
  <c r="Y879" i="3"/>
  <c r="T881" i="3"/>
  <c r="E881" i="3" l="1"/>
  <c r="H881" i="3" s="1"/>
  <c r="K881" i="3" s="1"/>
  <c r="AE881" i="3" s="1"/>
  <c r="D881" i="3"/>
  <c r="AG881" i="3"/>
  <c r="AH881" i="3"/>
  <c r="F881" i="3" l="1"/>
  <c r="G881" i="3"/>
  <c r="I881" i="3" s="1"/>
  <c r="V881" i="3"/>
  <c r="A882" i="3"/>
  <c r="B882" i="3" s="1"/>
  <c r="W881" i="3" l="1"/>
  <c r="M881" i="3"/>
  <c r="N881" i="3" s="1"/>
  <c r="J881" i="3"/>
  <c r="L881" i="3" s="1"/>
  <c r="Z882" i="3"/>
  <c r="P882" i="3"/>
  <c r="Q882" i="3" s="1"/>
  <c r="R882" i="3" s="1"/>
  <c r="S882" i="3" s="1"/>
  <c r="AD882" i="3"/>
  <c r="AC882" i="3"/>
  <c r="AA882" i="3"/>
  <c r="T882" i="3" l="1"/>
  <c r="AG882" i="3" s="1"/>
  <c r="U881" i="3"/>
  <c r="Y880" i="3"/>
  <c r="AH882" i="3" l="1"/>
  <c r="D882" i="3"/>
  <c r="E882" i="3"/>
  <c r="H882" i="3" s="1"/>
  <c r="F882" i="3" l="1"/>
  <c r="G882" i="3"/>
  <c r="K882" i="3"/>
  <c r="AE882" i="3" s="1"/>
  <c r="I882" i="3" l="1"/>
  <c r="J882" i="3"/>
  <c r="M882" i="3"/>
  <c r="N882" i="3" s="1"/>
  <c r="V882" i="3"/>
  <c r="A883" i="3"/>
  <c r="B883" i="3" s="1"/>
  <c r="W882" i="3" l="1"/>
  <c r="L882" i="3"/>
  <c r="AC883" i="3"/>
  <c r="AA883" i="3"/>
  <c r="Z883" i="3"/>
  <c r="AD883" i="3"/>
  <c r="P883" i="3"/>
  <c r="Q883" i="3" s="1"/>
  <c r="R883" i="3" s="1"/>
  <c r="S883" i="3" s="1"/>
  <c r="T883" i="3" l="1"/>
  <c r="AG883" i="3" s="1"/>
  <c r="U882" i="3"/>
  <c r="Y881" i="3"/>
  <c r="E883" i="3" l="1"/>
  <c r="H883" i="3" s="1"/>
  <c r="K883" i="3" s="1"/>
  <c r="AE883" i="3" s="1"/>
  <c r="D883" i="3"/>
  <c r="AH883" i="3"/>
  <c r="V883" i="3" l="1"/>
  <c r="A884" i="3"/>
  <c r="B884" i="3" s="1"/>
  <c r="F883" i="3"/>
  <c r="G883" i="3"/>
  <c r="I883" i="3" l="1"/>
  <c r="W883" i="3" s="1"/>
  <c r="J883" i="3"/>
  <c r="M883" i="3"/>
  <c r="N883" i="3" s="1"/>
  <c r="AA884" i="3"/>
  <c r="Z884" i="3"/>
  <c r="P884" i="3"/>
  <c r="Q884" i="3" s="1"/>
  <c r="R884" i="3" s="1"/>
  <c r="S884" i="3" s="1"/>
  <c r="AC884" i="3"/>
  <c r="T884" i="3" l="1"/>
  <c r="L883" i="3"/>
  <c r="AG884" i="3" l="1"/>
  <c r="U883" i="3"/>
  <c r="D884" i="3" s="1"/>
  <c r="AH884" i="3"/>
  <c r="Y882" i="3"/>
  <c r="E884" i="3" l="1"/>
  <c r="H884" i="3" s="1"/>
  <c r="K884" i="3" s="1"/>
  <c r="AE884" i="3" s="1"/>
  <c r="G884" i="3"/>
  <c r="F884" i="3" l="1"/>
  <c r="V884" i="3"/>
  <c r="A885" i="3"/>
  <c r="B885" i="3" s="1"/>
  <c r="I884" i="3"/>
  <c r="J884" i="3"/>
  <c r="AD884" i="3" s="1"/>
  <c r="M884" i="3"/>
  <c r="N884" i="3" s="1"/>
  <c r="W884" i="3" l="1"/>
  <c r="L884" i="3"/>
  <c r="P885" i="3"/>
  <c r="Q885" i="3" s="1"/>
  <c r="R885" i="3" s="1"/>
  <c r="S885" i="3" s="1"/>
  <c r="AD885" i="3"/>
  <c r="Z885" i="3"/>
  <c r="AC885" i="3"/>
  <c r="AA885" i="3"/>
  <c r="U884" i="3" l="1"/>
  <c r="Y883" i="3"/>
  <c r="T885" i="3"/>
  <c r="AH885" i="3" s="1"/>
  <c r="D885" i="3" l="1"/>
  <c r="G885" i="3" s="1"/>
  <c r="E885" i="3"/>
  <c r="H885" i="3" s="1"/>
  <c r="K885" i="3" s="1"/>
  <c r="AE885" i="3" s="1"/>
  <c r="AG885" i="3"/>
  <c r="F885" i="3" l="1"/>
  <c r="V885" i="3"/>
  <c r="A886" i="3"/>
  <c r="B886" i="3" s="1"/>
  <c r="I885" i="3"/>
  <c r="J885" i="3"/>
  <c r="M885" i="3"/>
  <c r="N885" i="3" s="1"/>
  <c r="W885" i="3" l="1"/>
  <c r="L885" i="3"/>
  <c r="P886" i="3"/>
  <c r="Q886" i="3" s="1"/>
  <c r="R886" i="3" s="1"/>
  <c r="S886" i="3" s="1"/>
  <c r="AA886" i="3"/>
  <c r="AC886" i="3"/>
  <c r="AD886" i="3"/>
  <c r="Z886" i="3"/>
  <c r="U885" i="3" l="1"/>
  <c r="Y884" i="3"/>
  <c r="T886" i="3"/>
  <c r="E886" i="3" l="1"/>
  <c r="H886" i="3" s="1"/>
  <c r="K886" i="3" s="1"/>
  <c r="AE886" i="3" s="1"/>
  <c r="AH886" i="3"/>
  <c r="AG886" i="3"/>
  <c r="D886" i="3"/>
  <c r="F886" i="3" l="1"/>
  <c r="G886" i="3"/>
  <c r="V886" i="3"/>
  <c r="A887" i="3"/>
  <c r="B887" i="3" s="1"/>
  <c r="I886" i="3" l="1"/>
  <c r="W886" i="3" s="1"/>
  <c r="J886" i="3"/>
  <c r="M886" i="3"/>
  <c r="N886" i="3" s="1"/>
  <c r="P887" i="3"/>
  <c r="Q887" i="3" s="1"/>
  <c r="R887" i="3" s="1"/>
  <c r="S887" i="3" s="1"/>
  <c r="Z887" i="3"/>
  <c r="AD887" i="3"/>
  <c r="AA887" i="3"/>
  <c r="AC887" i="3"/>
  <c r="T887" i="3" l="1"/>
  <c r="L886" i="3"/>
  <c r="AG887" i="3" l="1"/>
  <c r="AH887" i="3"/>
  <c r="U886" i="3"/>
  <c r="D887" i="3" s="1"/>
  <c r="Y885" i="3"/>
  <c r="E887" i="3" l="1"/>
  <c r="H887" i="3" s="1"/>
  <c r="K887" i="3" s="1"/>
  <c r="AE887" i="3" s="1"/>
  <c r="G887" i="3"/>
  <c r="F887" i="3" l="1"/>
  <c r="I887" i="3"/>
  <c r="J887" i="3"/>
  <c r="M887" i="3"/>
  <c r="N887" i="3" s="1"/>
  <c r="V887" i="3"/>
  <c r="A888" i="3"/>
  <c r="B888" i="3" s="1"/>
  <c r="W887" i="3" l="1"/>
  <c r="L887" i="3"/>
  <c r="AC888" i="3"/>
  <c r="AA888" i="3"/>
  <c r="Z888" i="3"/>
  <c r="P888" i="3"/>
  <c r="Q888" i="3" s="1"/>
  <c r="R888" i="3" s="1"/>
  <c r="S888" i="3" s="1"/>
  <c r="T888" i="3" l="1"/>
  <c r="U887" i="3"/>
  <c r="Y886" i="3"/>
  <c r="E888" i="3" l="1"/>
  <c r="H888" i="3" s="1"/>
  <c r="K888" i="3" s="1"/>
  <c r="AE888" i="3" s="1"/>
  <c r="D888" i="3"/>
  <c r="G888" i="3" s="1"/>
  <c r="AG888" i="3"/>
  <c r="AH888" i="3"/>
  <c r="F888" i="3" l="1"/>
  <c r="I888" i="3"/>
  <c r="J888" i="3"/>
  <c r="AD888" i="3" s="1"/>
  <c r="M888" i="3"/>
  <c r="N888" i="3" s="1"/>
  <c r="V888" i="3"/>
  <c r="A889" i="3"/>
  <c r="B889" i="3" s="1"/>
  <c r="W888" i="3" l="1"/>
  <c r="L888" i="3"/>
  <c r="AA889" i="3"/>
  <c r="Z889" i="3"/>
  <c r="AD889" i="3"/>
  <c r="P889" i="3"/>
  <c r="Q889" i="3" s="1"/>
  <c r="R889" i="3" s="1"/>
  <c r="S889" i="3" s="1"/>
  <c r="AC889" i="3"/>
  <c r="T889" i="3" l="1"/>
  <c r="AG889" i="3" s="1"/>
  <c r="U888" i="3"/>
  <c r="Y887" i="3"/>
  <c r="AH889" i="3" l="1"/>
  <c r="D889" i="3"/>
  <c r="G889" i="3" s="1"/>
  <c r="E889" i="3"/>
  <c r="H889" i="3" s="1"/>
  <c r="I889" i="3" l="1"/>
  <c r="J889" i="3"/>
  <c r="M889" i="3"/>
  <c r="N889" i="3" s="1"/>
  <c r="K889" i="3"/>
  <c r="AE889" i="3" s="1"/>
  <c r="F889" i="3"/>
  <c r="L889" i="3" l="1"/>
  <c r="V889" i="3"/>
  <c r="W889" i="3" s="1"/>
  <c r="A890" i="3"/>
  <c r="B890" i="3" s="1"/>
  <c r="AA890" i="3" l="1"/>
  <c r="P890" i="3"/>
  <c r="Q890" i="3" s="1"/>
  <c r="R890" i="3" s="1"/>
  <c r="S890" i="3" s="1"/>
  <c r="Z890" i="3"/>
  <c r="AC890" i="3"/>
  <c r="AD890" i="3"/>
  <c r="U889" i="3"/>
  <c r="Y888" i="3"/>
  <c r="T890" i="3" l="1"/>
  <c r="AG890" i="3" s="1"/>
  <c r="E890" i="3" l="1"/>
  <c r="H890" i="3" s="1"/>
  <c r="K890" i="3" s="1"/>
  <c r="AE890" i="3" s="1"/>
  <c r="AH890" i="3"/>
  <c r="D890" i="3"/>
  <c r="F890" i="3" l="1"/>
  <c r="G890" i="3"/>
  <c r="V890" i="3"/>
  <c r="A891" i="3"/>
  <c r="B891" i="3" s="1"/>
  <c r="AD891" i="3" l="1"/>
  <c r="P891" i="3"/>
  <c r="Q891" i="3" s="1"/>
  <c r="R891" i="3" s="1"/>
  <c r="S891" i="3" s="1"/>
  <c r="AC891" i="3"/>
  <c r="Z891" i="3"/>
  <c r="AA891" i="3"/>
  <c r="I890" i="3"/>
  <c r="W890" i="3" s="1"/>
  <c r="J890" i="3"/>
  <c r="M890" i="3"/>
  <c r="N890" i="3" s="1"/>
  <c r="L890" i="3" l="1"/>
  <c r="T891" i="3"/>
  <c r="U890" i="3" l="1"/>
  <c r="D891" i="3" s="1"/>
  <c r="AH891" i="3"/>
  <c r="AG891" i="3"/>
  <c r="Y889" i="3"/>
  <c r="E891" i="3" l="1"/>
  <c r="H891" i="3" s="1"/>
  <c r="K891" i="3" s="1"/>
  <c r="AE891" i="3" s="1"/>
  <c r="G891" i="3"/>
  <c r="F891" i="3" l="1"/>
  <c r="I891" i="3"/>
  <c r="J891" i="3"/>
  <c r="M891" i="3"/>
  <c r="N891" i="3" s="1"/>
  <c r="V891" i="3"/>
  <c r="A892" i="3"/>
  <c r="B892" i="3" s="1"/>
  <c r="W891" i="3" l="1"/>
  <c r="L891" i="3"/>
  <c r="P892" i="3"/>
  <c r="Q892" i="3" s="1"/>
  <c r="R892" i="3" s="1"/>
  <c r="S892" i="3" s="1"/>
  <c r="AC892" i="3"/>
  <c r="AD892" i="3"/>
  <c r="Z892" i="3"/>
  <c r="AA892" i="3"/>
  <c r="U891" i="3" l="1"/>
  <c r="Y890" i="3"/>
  <c r="T892" i="3"/>
  <c r="AG892" i="3" s="1"/>
  <c r="AH892" i="3" l="1"/>
  <c r="D892" i="3"/>
  <c r="G892" i="3" s="1"/>
  <c r="E892" i="3"/>
  <c r="H892" i="3" s="1"/>
  <c r="F892" i="3" l="1"/>
  <c r="I892" i="3"/>
  <c r="J892" i="3"/>
  <c r="M892" i="3"/>
  <c r="N892" i="3" s="1"/>
  <c r="K892" i="3"/>
  <c r="AE892" i="3" s="1"/>
  <c r="V892" i="3" l="1"/>
  <c r="W892" i="3" s="1"/>
  <c r="A893" i="3"/>
  <c r="B893" i="3" s="1"/>
  <c r="L892" i="3"/>
  <c r="U892" i="3" l="1"/>
  <c r="Y891" i="3"/>
  <c r="AC893" i="3"/>
  <c r="P893" i="3"/>
  <c r="Q893" i="3" s="1"/>
  <c r="R893" i="3" s="1"/>
  <c r="S893" i="3" s="1"/>
  <c r="AD893" i="3"/>
  <c r="AA893" i="3"/>
  <c r="Z893" i="3"/>
  <c r="T893" i="3" l="1"/>
  <c r="E893" i="3" s="1"/>
  <c r="H893" i="3" s="1"/>
  <c r="AH893" i="3" l="1"/>
  <c r="D893" i="3"/>
  <c r="F893" i="3" s="1"/>
  <c r="AG893" i="3"/>
  <c r="K893" i="3"/>
  <c r="AE893" i="3" s="1"/>
  <c r="G893" i="3" l="1"/>
  <c r="M893" i="3" s="1"/>
  <c r="N893" i="3" s="1"/>
  <c r="V893" i="3"/>
  <c r="A894" i="3"/>
  <c r="B894" i="3" s="1"/>
  <c r="I893" i="3" l="1"/>
  <c r="W893" i="3" s="1"/>
  <c r="J893" i="3"/>
  <c r="L893" i="3" s="1"/>
  <c r="Z894" i="3"/>
  <c r="P894" i="3"/>
  <c r="Q894" i="3" s="1"/>
  <c r="R894" i="3" s="1"/>
  <c r="S894" i="3" s="1"/>
  <c r="AC894" i="3"/>
  <c r="AA894" i="3"/>
  <c r="U893" i="3" l="1"/>
  <c r="Y892" i="3"/>
  <c r="T894" i="3"/>
  <c r="AH894" i="3" s="1"/>
  <c r="D894" i="3" l="1"/>
  <c r="G894" i="3" s="1"/>
  <c r="AG894" i="3"/>
  <c r="E894" i="3"/>
  <c r="H894" i="3" s="1"/>
  <c r="F894" i="3" l="1"/>
  <c r="I894" i="3"/>
  <c r="J894" i="3"/>
  <c r="AD894" i="3" s="1"/>
  <c r="M894" i="3"/>
  <c r="N894" i="3" s="1"/>
  <c r="K894" i="3"/>
  <c r="AE894" i="3" s="1"/>
  <c r="V894" i="3" l="1"/>
  <c r="W894" i="3" s="1"/>
  <c r="A895" i="3"/>
  <c r="B895" i="3" s="1"/>
  <c r="L894" i="3"/>
  <c r="U894" i="3" l="1"/>
  <c r="Y893" i="3"/>
  <c r="AD895" i="3"/>
  <c r="P895" i="3"/>
  <c r="Q895" i="3" s="1"/>
  <c r="R895" i="3" s="1"/>
  <c r="S895" i="3" s="1"/>
  <c r="AA895" i="3"/>
  <c r="AC895" i="3"/>
  <c r="Z895" i="3"/>
  <c r="T895" i="3" l="1"/>
  <c r="AH895" i="3" s="1"/>
  <c r="E895" i="3" l="1"/>
  <c r="H895" i="3" s="1"/>
  <c r="K895" i="3" s="1"/>
  <c r="AE895" i="3" s="1"/>
  <c r="D895" i="3"/>
  <c r="AG895" i="3"/>
  <c r="F895" i="3" l="1"/>
  <c r="G895" i="3"/>
  <c r="V895" i="3"/>
  <c r="A896" i="3"/>
  <c r="B896" i="3" s="1"/>
  <c r="I895" i="3" l="1"/>
  <c r="W895" i="3" s="1"/>
  <c r="J895" i="3"/>
  <c r="M895" i="3"/>
  <c r="N895" i="3" s="1"/>
  <c r="Z896" i="3"/>
  <c r="P896" i="3"/>
  <c r="Q896" i="3" s="1"/>
  <c r="R896" i="3" s="1"/>
  <c r="S896" i="3" s="1"/>
  <c r="AC896" i="3"/>
  <c r="AD896" i="3"/>
  <c r="AA896" i="3"/>
  <c r="T896" i="3" l="1"/>
  <c r="L895" i="3"/>
  <c r="AG896" i="3" l="1"/>
  <c r="AH896" i="3"/>
  <c r="U895" i="3"/>
  <c r="E896" i="3" s="1"/>
  <c r="H896" i="3" s="1"/>
  <c r="Y894" i="3"/>
  <c r="D896" i="3" l="1"/>
  <c r="G896" i="3" s="1"/>
  <c r="K896" i="3"/>
  <c r="AE896" i="3" s="1"/>
  <c r="F896" i="3" l="1"/>
  <c r="V896" i="3"/>
  <c r="A897" i="3"/>
  <c r="B897" i="3" s="1"/>
  <c r="I896" i="3"/>
  <c r="J896" i="3"/>
  <c r="M896" i="3"/>
  <c r="N896" i="3" s="1"/>
  <c r="W896" i="3" l="1"/>
  <c r="L896" i="3"/>
  <c r="Z897" i="3"/>
  <c r="AC897" i="3"/>
  <c r="AA897" i="3"/>
  <c r="P897" i="3"/>
  <c r="Q897" i="3" s="1"/>
  <c r="R897" i="3" s="1"/>
  <c r="S897" i="3" s="1"/>
  <c r="AD897" i="3"/>
  <c r="U896" i="3" l="1"/>
  <c r="Y895" i="3"/>
  <c r="T897" i="3"/>
  <c r="D897" i="3" l="1"/>
  <c r="E897" i="3"/>
  <c r="H897" i="3" s="1"/>
  <c r="AH897" i="3"/>
  <c r="AG897" i="3"/>
  <c r="F897" i="3" l="1"/>
  <c r="G897" i="3"/>
  <c r="M897" i="3" s="1"/>
  <c r="N897" i="3" s="1"/>
  <c r="K897" i="3"/>
  <c r="AE897" i="3" s="1"/>
  <c r="I897" i="3" l="1"/>
  <c r="J897" i="3"/>
  <c r="L897" i="3" s="1"/>
  <c r="V897" i="3"/>
  <c r="A898" i="3"/>
  <c r="B898" i="3" s="1"/>
  <c r="W897" i="3" l="1"/>
  <c r="AA898" i="3"/>
  <c r="P898" i="3"/>
  <c r="Q898" i="3" s="1"/>
  <c r="R898" i="3" s="1"/>
  <c r="S898" i="3" s="1"/>
  <c r="Z898" i="3"/>
  <c r="AC898" i="3"/>
  <c r="U897" i="3"/>
  <c r="Y896" i="3"/>
  <c r="T898" i="3" l="1"/>
  <c r="D898" i="3" s="1"/>
  <c r="G898" i="3" l="1"/>
  <c r="AG898" i="3"/>
  <c r="E898" i="3"/>
  <c r="H898" i="3" s="1"/>
  <c r="AH898" i="3"/>
  <c r="F898" i="3" l="1"/>
  <c r="I898" i="3"/>
  <c r="J898" i="3"/>
  <c r="AD898" i="3" s="1"/>
  <c r="M898" i="3"/>
  <c r="N898" i="3" s="1"/>
  <c r="K898" i="3"/>
  <c r="AE898" i="3" s="1"/>
  <c r="V898" i="3" l="1"/>
  <c r="W898" i="3" s="1"/>
  <c r="A899" i="3"/>
  <c r="B899" i="3" s="1"/>
  <c r="L898" i="3"/>
  <c r="U898" i="3" l="1"/>
  <c r="Y897" i="3"/>
  <c r="AC899" i="3"/>
  <c r="Z899" i="3"/>
  <c r="P899" i="3"/>
  <c r="Q899" i="3" s="1"/>
  <c r="R899" i="3" s="1"/>
  <c r="S899" i="3" s="1"/>
  <c r="AD899" i="3"/>
  <c r="AA899" i="3"/>
  <c r="T899" i="3" l="1"/>
  <c r="E899" i="3" s="1"/>
  <c r="H899" i="3" s="1"/>
  <c r="D899" i="3" l="1"/>
  <c r="G899" i="3" s="1"/>
  <c r="AG899" i="3"/>
  <c r="AH899" i="3"/>
  <c r="K899" i="3"/>
  <c r="AE899" i="3" s="1"/>
  <c r="F899" i="3" l="1"/>
  <c r="I899" i="3"/>
  <c r="J899" i="3"/>
  <c r="M899" i="3"/>
  <c r="N899" i="3" s="1"/>
  <c r="V899" i="3"/>
  <c r="A900" i="3"/>
  <c r="B900" i="3" s="1"/>
  <c r="W899" i="3" l="1"/>
  <c r="L899" i="3"/>
  <c r="P900" i="3"/>
  <c r="Q900" i="3" s="1"/>
  <c r="R900" i="3" s="1"/>
  <c r="S900" i="3" s="1"/>
  <c r="AC900" i="3"/>
  <c r="Z900" i="3"/>
  <c r="AD900" i="3"/>
  <c r="AA900" i="3"/>
  <c r="U899" i="3" l="1"/>
  <c r="Y898" i="3"/>
  <c r="T900" i="3"/>
  <c r="D900" i="3" l="1"/>
  <c r="G900" i="3" s="1"/>
  <c r="AH900" i="3"/>
  <c r="AG900" i="3"/>
  <c r="E900" i="3"/>
  <c r="H900" i="3" s="1"/>
  <c r="K900" i="3" s="1"/>
  <c r="AE900" i="3" s="1"/>
  <c r="F900" i="3" l="1"/>
  <c r="V900" i="3"/>
  <c r="A901" i="3"/>
  <c r="B901" i="3" s="1"/>
  <c r="I900" i="3"/>
  <c r="J900" i="3"/>
  <c r="M900" i="3"/>
  <c r="N900" i="3" s="1"/>
  <c r="L900" i="3" l="1"/>
  <c r="W900" i="3"/>
  <c r="AD901" i="3"/>
  <c r="P901" i="3"/>
  <c r="Q901" i="3" s="1"/>
  <c r="R901" i="3" s="1"/>
  <c r="S901" i="3" s="1"/>
  <c r="AA901" i="3"/>
  <c r="AC901" i="3"/>
  <c r="Z901" i="3"/>
  <c r="U900" i="3" l="1"/>
  <c r="Y899" i="3"/>
  <c r="T901" i="3"/>
  <c r="E901" i="3" l="1"/>
  <c r="H901" i="3" s="1"/>
  <c r="K901" i="3" s="1"/>
  <c r="AE901" i="3" s="1"/>
  <c r="AG901" i="3"/>
  <c r="D901" i="3"/>
  <c r="AH901" i="3"/>
  <c r="F901" i="3" l="1"/>
  <c r="G901" i="3"/>
  <c r="V901" i="3"/>
  <c r="A902" i="3"/>
  <c r="B902" i="3" s="1"/>
  <c r="AD902" i="3" l="1"/>
  <c r="AC902" i="3"/>
  <c r="P902" i="3"/>
  <c r="Q902" i="3" s="1"/>
  <c r="R902" i="3" s="1"/>
  <c r="S902" i="3" s="1"/>
  <c r="Z902" i="3"/>
  <c r="AA902" i="3"/>
  <c r="I901" i="3"/>
  <c r="W901" i="3" s="1"/>
  <c r="J901" i="3"/>
  <c r="M901" i="3"/>
  <c r="N901" i="3" s="1"/>
  <c r="T902" i="3" l="1"/>
  <c r="L901" i="3"/>
  <c r="U901" i="3" l="1"/>
  <c r="E902" i="3" s="1"/>
  <c r="H902" i="3" s="1"/>
  <c r="AH902" i="3"/>
  <c r="AG902" i="3"/>
  <c r="Y900" i="3"/>
  <c r="D902" i="3" l="1"/>
  <c r="F902" i="3" s="1"/>
  <c r="K902" i="3"/>
  <c r="AE902" i="3" s="1"/>
  <c r="G902" i="3" l="1"/>
  <c r="J902" i="3" s="1"/>
  <c r="V902" i="3"/>
  <c r="A903" i="3"/>
  <c r="B903" i="3" s="1"/>
  <c r="M902" i="3" l="1"/>
  <c r="N902" i="3" s="1"/>
  <c r="I902" i="3"/>
  <c r="W902" i="3" s="1"/>
  <c r="L902" i="3"/>
  <c r="Z903" i="3"/>
  <c r="AC903" i="3"/>
  <c r="P903" i="3"/>
  <c r="Q903" i="3" s="1"/>
  <c r="R903" i="3" s="1"/>
  <c r="S903" i="3" s="1"/>
  <c r="AD903" i="3"/>
  <c r="AA903" i="3"/>
  <c r="T903" i="3" l="1"/>
  <c r="AH903" i="3" s="1"/>
  <c r="U902" i="3"/>
  <c r="Y901" i="3"/>
  <c r="D903" i="3" l="1"/>
  <c r="E903" i="3"/>
  <c r="H903" i="3" s="1"/>
  <c r="AG903" i="3"/>
  <c r="K903" i="3" l="1"/>
  <c r="AE903" i="3" s="1"/>
  <c r="F903" i="3"/>
  <c r="G903" i="3"/>
  <c r="I903" i="3" l="1"/>
  <c r="J903" i="3"/>
  <c r="M903" i="3"/>
  <c r="N903" i="3" s="1"/>
  <c r="V903" i="3"/>
  <c r="A904" i="3"/>
  <c r="B904" i="3" s="1"/>
  <c r="W903" i="3" l="1"/>
  <c r="L903" i="3"/>
  <c r="AC904" i="3"/>
  <c r="Z904" i="3"/>
  <c r="P904" i="3"/>
  <c r="Q904" i="3" s="1"/>
  <c r="R904" i="3" s="1"/>
  <c r="S904" i="3" s="1"/>
  <c r="AA904" i="3"/>
  <c r="U903" i="3" l="1"/>
  <c r="Y902" i="3"/>
  <c r="T904" i="3"/>
  <c r="AH904" i="3" s="1"/>
  <c r="E904" i="3" l="1"/>
  <c r="H904" i="3" s="1"/>
  <c r="AG904" i="3"/>
  <c r="D904" i="3"/>
  <c r="K904" i="3" l="1"/>
  <c r="AE904" i="3" s="1"/>
  <c r="F904" i="3"/>
  <c r="G904" i="3"/>
  <c r="V904" i="3" l="1"/>
  <c r="A905" i="3"/>
  <c r="B905" i="3" s="1"/>
  <c r="I904" i="3"/>
  <c r="J904" i="3"/>
  <c r="AD904" i="3" s="1"/>
  <c r="M904" i="3"/>
  <c r="N904" i="3" s="1"/>
  <c r="L904" i="3" l="1"/>
  <c r="W904" i="3"/>
  <c r="AA905" i="3"/>
  <c r="Z905" i="3"/>
  <c r="AD905" i="3"/>
  <c r="AC905" i="3"/>
  <c r="P905" i="3"/>
  <c r="Q905" i="3" s="1"/>
  <c r="R905" i="3" s="1"/>
  <c r="S905" i="3" s="1"/>
  <c r="U904" i="3" l="1"/>
  <c r="Y903" i="3"/>
  <c r="T905" i="3"/>
  <c r="D905" i="3" l="1"/>
  <c r="G905" i="3" s="1"/>
  <c r="E905" i="3"/>
  <c r="H905" i="3" s="1"/>
  <c r="K905" i="3" s="1"/>
  <c r="AE905" i="3" s="1"/>
  <c r="AG905" i="3"/>
  <c r="AH905" i="3"/>
  <c r="F905" i="3" l="1"/>
  <c r="I905" i="3"/>
  <c r="J905" i="3"/>
  <c r="M905" i="3"/>
  <c r="N905" i="3" s="1"/>
  <c r="V905" i="3"/>
  <c r="A906" i="3"/>
  <c r="B906" i="3" s="1"/>
  <c r="L905" i="3" l="1"/>
  <c r="W905" i="3"/>
  <c r="AC906" i="3"/>
  <c r="P906" i="3"/>
  <c r="Q906" i="3" s="1"/>
  <c r="R906" i="3" s="1"/>
  <c r="S906" i="3" s="1"/>
  <c r="Z906" i="3"/>
  <c r="AD906" i="3"/>
  <c r="AA906" i="3"/>
  <c r="T906" i="3" l="1"/>
  <c r="U905" i="3"/>
  <c r="Y904" i="3"/>
  <c r="D906" i="3" l="1"/>
  <c r="G906" i="3" s="1"/>
  <c r="AG906" i="3"/>
  <c r="E906" i="3"/>
  <c r="H906" i="3" s="1"/>
  <c r="AH906" i="3"/>
  <c r="F906" i="3" l="1"/>
  <c r="I906" i="3"/>
  <c r="J906" i="3"/>
  <c r="M906" i="3"/>
  <c r="N906" i="3" s="1"/>
  <c r="K906" i="3"/>
  <c r="AE906" i="3" s="1"/>
  <c r="V906" i="3" l="1"/>
  <c r="W906" i="3" s="1"/>
  <c r="A907" i="3"/>
  <c r="B907" i="3" s="1"/>
  <c r="L906" i="3"/>
  <c r="U906" i="3" l="1"/>
  <c r="Y905" i="3"/>
  <c r="Z907" i="3"/>
  <c r="AC907" i="3"/>
  <c r="AA907" i="3"/>
  <c r="P907" i="3"/>
  <c r="Q907" i="3" s="1"/>
  <c r="R907" i="3" s="1"/>
  <c r="S907" i="3" s="1"/>
  <c r="AD907" i="3"/>
  <c r="T907" i="3" l="1"/>
  <c r="AG907" i="3" s="1"/>
  <c r="E907" i="3" l="1"/>
  <c r="H907" i="3" s="1"/>
  <c r="K907" i="3" s="1"/>
  <c r="AE907" i="3" s="1"/>
  <c r="D907" i="3"/>
  <c r="AH907" i="3"/>
  <c r="V907" i="3" l="1"/>
  <c r="A908" i="3"/>
  <c r="B908" i="3" s="1"/>
  <c r="F907" i="3"/>
  <c r="G907" i="3"/>
  <c r="I907" i="3" l="1"/>
  <c r="W907" i="3" s="1"/>
  <c r="J907" i="3"/>
  <c r="M907" i="3"/>
  <c r="N907" i="3" s="1"/>
  <c r="P908" i="3"/>
  <c r="Q908" i="3" s="1"/>
  <c r="R908" i="3" s="1"/>
  <c r="S908" i="3" s="1"/>
  <c r="AA908" i="3"/>
  <c r="Z908" i="3"/>
  <c r="AC908" i="3"/>
  <c r="T908" i="3" l="1"/>
  <c r="L907" i="3"/>
  <c r="AG908" i="3" l="1"/>
  <c r="AH908" i="3"/>
  <c r="U907" i="3"/>
  <c r="E908" i="3" s="1"/>
  <c r="H908" i="3" s="1"/>
  <c r="Y906" i="3"/>
  <c r="D908" i="3" l="1"/>
  <c r="G908" i="3" s="1"/>
  <c r="K908" i="3"/>
  <c r="AE908" i="3" s="1"/>
  <c r="F908" i="3" l="1"/>
  <c r="I908" i="3"/>
  <c r="J908" i="3"/>
  <c r="AD908" i="3" s="1"/>
  <c r="M908" i="3"/>
  <c r="N908" i="3" s="1"/>
  <c r="V908" i="3"/>
  <c r="A909" i="3"/>
  <c r="B909" i="3" s="1"/>
  <c r="W908" i="3" l="1"/>
  <c r="L908" i="3"/>
  <c r="AA909" i="3"/>
  <c r="Z909" i="3"/>
  <c r="P909" i="3"/>
  <c r="Q909" i="3" s="1"/>
  <c r="R909" i="3" s="1"/>
  <c r="S909" i="3" s="1"/>
  <c r="AD909" i="3"/>
  <c r="AC909" i="3"/>
  <c r="U908" i="3" l="1"/>
  <c r="Y907" i="3"/>
  <c r="T909" i="3"/>
  <c r="AH909" i="3" s="1"/>
  <c r="AG909" i="3" l="1"/>
  <c r="D909" i="3"/>
  <c r="G909" i="3" s="1"/>
  <c r="E909" i="3"/>
  <c r="H909" i="3" s="1"/>
  <c r="K909" i="3" s="1"/>
  <c r="AE909" i="3" s="1"/>
  <c r="F909" i="3" l="1"/>
  <c r="V909" i="3"/>
  <c r="A910" i="3"/>
  <c r="B910" i="3" s="1"/>
  <c r="I909" i="3"/>
  <c r="J909" i="3"/>
  <c r="M909" i="3"/>
  <c r="N909" i="3" s="1"/>
  <c r="W909" i="3" l="1"/>
  <c r="L909" i="3"/>
  <c r="AA910" i="3"/>
  <c r="AC910" i="3"/>
  <c r="P910" i="3"/>
  <c r="Q910" i="3" s="1"/>
  <c r="R910" i="3" s="1"/>
  <c r="S910" i="3" s="1"/>
  <c r="AD910" i="3"/>
  <c r="Z910" i="3"/>
  <c r="U909" i="3" l="1"/>
  <c r="Y908" i="3"/>
  <c r="T910" i="3"/>
  <c r="AH910" i="3" s="1"/>
  <c r="D910" i="3" l="1"/>
  <c r="G910" i="3" s="1"/>
  <c r="AG910" i="3"/>
  <c r="E910" i="3"/>
  <c r="H910" i="3" s="1"/>
  <c r="F910" i="3" l="1"/>
  <c r="I910" i="3"/>
  <c r="J910" i="3"/>
  <c r="M910" i="3"/>
  <c r="N910" i="3" s="1"/>
  <c r="K910" i="3"/>
  <c r="AE910" i="3" s="1"/>
  <c r="V910" i="3" l="1"/>
  <c r="W910" i="3" s="1"/>
  <c r="A911" i="3"/>
  <c r="B911" i="3" s="1"/>
  <c r="L910" i="3"/>
  <c r="U910" i="3" l="1"/>
  <c r="Y909" i="3"/>
  <c r="AD911" i="3"/>
  <c r="AA911" i="3"/>
  <c r="P911" i="3"/>
  <c r="Q911" i="3" s="1"/>
  <c r="R911" i="3" s="1"/>
  <c r="S911" i="3" s="1"/>
  <c r="Z911" i="3"/>
  <c r="AC911" i="3"/>
  <c r="T911" i="3" l="1"/>
  <c r="E911" i="3" s="1"/>
  <c r="H911" i="3" s="1"/>
  <c r="AH911" i="3" l="1"/>
  <c r="D911" i="3"/>
  <c r="G911" i="3" s="1"/>
  <c r="AG911" i="3"/>
  <c r="K911" i="3"/>
  <c r="AE911" i="3" s="1"/>
  <c r="F911" i="3" l="1"/>
  <c r="I911" i="3"/>
  <c r="J911" i="3"/>
  <c r="M911" i="3"/>
  <c r="N911" i="3" s="1"/>
  <c r="V911" i="3"/>
  <c r="A912" i="3"/>
  <c r="B912" i="3" s="1"/>
  <c r="W911" i="3" l="1"/>
  <c r="L911" i="3"/>
  <c r="AA912" i="3"/>
  <c r="AD912" i="3"/>
  <c r="AC912" i="3"/>
  <c r="P912" i="3"/>
  <c r="Q912" i="3" s="1"/>
  <c r="R912" i="3" s="1"/>
  <c r="S912" i="3" s="1"/>
  <c r="Z912" i="3"/>
  <c r="T912" i="3" l="1"/>
  <c r="U911" i="3"/>
  <c r="Y910" i="3"/>
  <c r="D912" i="3" l="1"/>
  <c r="G912" i="3" s="1"/>
  <c r="AG912" i="3"/>
  <c r="AH912" i="3"/>
  <c r="E912" i="3"/>
  <c r="H912" i="3" s="1"/>
  <c r="I912" i="3" l="1"/>
  <c r="J912" i="3"/>
  <c r="M912" i="3"/>
  <c r="N912" i="3" s="1"/>
  <c r="F912" i="3"/>
  <c r="K912" i="3"/>
  <c r="AE912" i="3" s="1"/>
  <c r="L912" i="3" l="1"/>
  <c r="V912" i="3"/>
  <c r="W912" i="3" s="1"/>
  <c r="A913" i="3"/>
  <c r="B913" i="3" s="1"/>
  <c r="U912" i="3" l="1"/>
  <c r="Y911" i="3"/>
  <c r="Z913" i="3"/>
  <c r="AD913" i="3"/>
  <c r="P913" i="3"/>
  <c r="Q913" i="3" s="1"/>
  <c r="R913" i="3" s="1"/>
  <c r="S913" i="3" s="1"/>
  <c r="AA913" i="3"/>
  <c r="AC913" i="3"/>
  <c r="T913" i="3" l="1"/>
  <c r="AH913" i="3" s="1"/>
  <c r="D913" i="3" l="1"/>
  <c r="G913" i="3" s="1"/>
  <c r="AG913" i="3"/>
  <c r="E913" i="3"/>
  <c r="H913" i="3" s="1"/>
  <c r="F913" i="3" l="1"/>
  <c r="I913" i="3"/>
  <c r="J913" i="3"/>
  <c r="M913" i="3"/>
  <c r="N913" i="3" s="1"/>
  <c r="K913" i="3"/>
  <c r="AE913" i="3" s="1"/>
  <c r="V913" i="3" l="1"/>
  <c r="W913" i="3" s="1"/>
  <c r="A914" i="3"/>
  <c r="B914" i="3" s="1"/>
  <c r="L913" i="3"/>
  <c r="U913" i="3" l="1"/>
  <c r="Y912" i="3"/>
  <c r="AA914" i="3"/>
  <c r="Z914" i="3"/>
  <c r="AC914" i="3"/>
  <c r="P914" i="3"/>
  <c r="Q914" i="3" s="1"/>
  <c r="R914" i="3" s="1"/>
  <c r="S914" i="3" s="1"/>
  <c r="T914" i="3" l="1"/>
  <c r="D914" i="3" s="1"/>
  <c r="E914" i="3" l="1"/>
  <c r="H914" i="3" s="1"/>
  <c r="K914" i="3" s="1"/>
  <c r="AE914" i="3" s="1"/>
  <c r="G914" i="3"/>
  <c r="AH914" i="3"/>
  <c r="AG914" i="3"/>
  <c r="F914" i="3" l="1"/>
  <c r="I914" i="3"/>
  <c r="J914" i="3"/>
  <c r="AD914" i="3" s="1"/>
  <c r="M914" i="3"/>
  <c r="N914" i="3" s="1"/>
  <c r="V914" i="3"/>
  <c r="A915" i="3"/>
  <c r="B915" i="3" s="1"/>
  <c r="W914" i="3" l="1"/>
  <c r="L914" i="3"/>
  <c r="P915" i="3"/>
  <c r="Q915" i="3" s="1"/>
  <c r="R915" i="3" s="1"/>
  <c r="S915" i="3" s="1"/>
  <c r="AA915" i="3"/>
  <c r="AC915" i="3"/>
  <c r="Z915" i="3"/>
  <c r="AD915" i="3"/>
  <c r="U914" i="3" l="1"/>
  <c r="Y913" i="3"/>
  <c r="T915" i="3"/>
  <c r="AH915" i="3" s="1"/>
  <c r="E915" i="3" l="1"/>
  <c r="H915" i="3" s="1"/>
  <c r="D915" i="3"/>
  <c r="AG915" i="3"/>
  <c r="K915" i="3" l="1"/>
  <c r="AE915" i="3" s="1"/>
  <c r="F915" i="3"/>
  <c r="G915" i="3"/>
  <c r="I915" i="3" l="1"/>
  <c r="J915" i="3"/>
  <c r="M915" i="3"/>
  <c r="N915" i="3" s="1"/>
  <c r="V915" i="3"/>
  <c r="A916" i="3"/>
  <c r="B916" i="3" s="1"/>
  <c r="W915" i="3" l="1"/>
  <c r="L915" i="3"/>
  <c r="AC916" i="3"/>
  <c r="AA916" i="3"/>
  <c r="Z916" i="3"/>
  <c r="P916" i="3"/>
  <c r="Q916" i="3" s="1"/>
  <c r="R916" i="3" s="1"/>
  <c r="S916" i="3" s="1"/>
  <c r="AD916" i="3"/>
  <c r="U915" i="3" l="1"/>
  <c r="Y914" i="3"/>
  <c r="T916" i="3"/>
  <c r="D916" i="3" l="1"/>
  <c r="G916" i="3" s="1"/>
  <c r="AG916" i="3"/>
  <c r="AH916" i="3"/>
  <c r="E916" i="3"/>
  <c r="H916" i="3" s="1"/>
  <c r="K916" i="3" l="1"/>
  <c r="AE916" i="3" s="1"/>
  <c r="I916" i="3"/>
  <c r="J916" i="3"/>
  <c r="M916" i="3"/>
  <c r="N916" i="3" s="1"/>
  <c r="F916" i="3"/>
  <c r="L916" i="3" l="1"/>
  <c r="V916" i="3"/>
  <c r="W916" i="3" s="1"/>
  <c r="A917" i="3"/>
  <c r="B917" i="3" s="1"/>
  <c r="U916" i="3" l="1"/>
  <c r="Y915" i="3"/>
  <c r="AD917" i="3"/>
  <c r="AC917" i="3"/>
  <c r="Z917" i="3"/>
  <c r="P917" i="3"/>
  <c r="Q917" i="3" s="1"/>
  <c r="R917" i="3" s="1"/>
  <c r="S917" i="3" s="1"/>
  <c r="AA917" i="3"/>
  <c r="T917" i="3" l="1"/>
  <c r="AG917" i="3" s="1"/>
  <c r="E917" i="3" l="1"/>
  <c r="H917" i="3" s="1"/>
  <c r="K917" i="3" s="1"/>
  <c r="AE917" i="3" s="1"/>
  <c r="AH917" i="3"/>
  <c r="D917" i="3"/>
  <c r="F917" i="3" l="1"/>
  <c r="G917" i="3"/>
  <c r="J917" i="3" s="1"/>
  <c r="V917" i="3"/>
  <c r="A918" i="3"/>
  <c r="B918" i="3" s="1"/>
  <c r="M917" i="3" l="1"/>
  <c r="N917" i="3" s="1"/>
  <c r="I917" i="3"/>
  <c r="W917" i="3" s="1"/>
  <c r="L917" i="3"/>
  <c r="AC918" i="3"/>
  <c r="AA918" i="3"/>
  <c r="Z918" i="3"/>
  <c r="P918" i="3"/>
  <c r="Q918" i="3" s="1"/>
  <c r="R918" i="3" s="1"/>
  <c r="S918" i="3" s="1"/>
  <c r="T918" i="3" l="1"/>
  <c r="U917" i="3"/>
  <c r="Y916" i="3"/>
  <c r="E918" i="3" l="1"/>
  <c r="H918" i="3" s="1"/>
  <c r="K918" i="3" s="1"/>
  <c r="AE918" i="3" s="1"/>
  <c r="AH918" i="3"/>
  <c r="D918" i="3"/>
  <c r="G918" i="3" s="1"/>
  <c r="AG918" i="3"/>
  <c r="F918" i="3" l="1"/>
  <c r="I918" i="3"/>
  <c r="J918" i="3"/>
  <c r="AD918" i="3" s="1"/>
  <c r="M918" i="3"/>
  <c r="N918" i="3" s="1"/>
  <c r="V918" i="3"/>
  <c r="A919" i="3"/>
  <c r="B919" i="3" s="1"/>
  <c r="L918" i="3" l="1"/>
  <c r="W918" i="3"/>
  <c r="P919" i="3"/>
  <c r="Q919" i="3" s="1"/>
  <c r="R919" i="3" s="1"/>
  <c r="S919" i="3" s="1"/>
  <c r="Z919" i="3"/>
  <c r="AC919" i="3"/>
  <c r="AD919" i="3"/>
  <c r="AA919" i="3"/>
  <c r="U918" i="3" l="1"/>
  <c r="Y917" i="3"/>
  <c r="T919" i="3"/>
  <c r="AG919" i="3" s="1"/>
  <c r="E919" i="3" l="1"/>
  <c r="H919" i="3" s="1"/>
  <c r="K919" i="3" s="1"/>
  <c r="AE919" i="3" s="1"/>
  <c r="AH919" i="3"/>
  <c r="D919" i="3"/>
  <c r="V919" i="3" l="1"/>
  <c r="A920" i="3"/>
  <c r="B920" i="3" s="1"/>
  <c r="F919" i="3"/>
  <c r="G919" i="3"/>
  <c r="I919" i="3" l="1"/>
  <c r="W919" i="3" s="1"/>
  <c r="J919" i="3"/>
  <c r="M919" i="3"/>
  <c r="N919" i="3" s="1"/>
  <c r="AD920" i="3"/>
  <c r="AC920" i="3"/>
  <c r="P920" i="3"/>
  <c r="Q920" i="3" s="1"/>
  <c r="R920" i="3" s="1"/>
  <c r="S920" i="3" s="1"/>
  <c r="AA920" i="3"/>
  <c r="Z920" i="3"/>
  <c r="T920" i="3" l="1"/>
  <c r="L919" i="3"/>
  <c r="AH920" i="3" l="1"/>
  <c r="U919" i="3"/>
  <c r="E920" i="3" s="1"/>
  <c r="H920" i="3" s="1"/>
  <c r="AG920" i="3"/>
  <c r="Y918" i="3"/>
  <c r="D920" i="3" l="1"/>
  <c r="G920" i="3" s="1"/>
  <c r="K920" i="3"/>
  <c r="AE920" i="3" s="1"/>
  <c r="F920" i="3" l="1"/>
  <c r="V920" i="3"/>
  <c r="A921" i="3"/>
  <c r="B921" i="3" s="1"/>
  <c r="I920" i="3"/>
  <c r="J920" i="3"/>
  <c r="M920" i="3"/>
  <c r="N920" i="3" s="1"/>
  <c r="W920" i="3" l="1"/>
  <c r="L920" i="3"/>
  <c r="AA921" i="3"/>
  <c r="Z921" i="3"/>
  <c r="P921" i="3"/>
  <c r="Q921" i="3" s="1"/>
  <c r="R921" i="3" s="1"/>
  <c r="S921" i="3" s="1"/>
  <c r="AD921" i="3"/>
  <c r="AC921" i="3"/>
  <c r="U920" i="3" l="1"/>
  <c r="Y919" i="3"/>
  <c r="T921" i="3"/>
  <c r="AG921" i="3" s="1"/>
  <c r="E921" i="3" l="1"/>
  <c r="H921" i="3" s="1"/>
  <c r="K921" i="3" s="1"/>
  <c r="AE921" i="3" s="1"/>
  <c r="AH921" i="3"/>
  <c r="D921" i="3"/>
  <c r="G921" i="3" s="1"/>
  <c r="F921" i="3" l="1"/>
  <c r="I921" i="3"/>
  <c r="J921" i="3"/>
  <c r="M921" i="3"/>
  <c r="N921" i="3" s="1"/>
  <c r="V921" i="3"/>
  <c r="A922" i="3"/>
  <c r="B922" i="3" s="1"/>
  <c r="W921" i="3" l="1"/>
  <c r="L921" i="3"/>
  <c r="AC922" i="3"/>
  <c r="AA922" i="3"/>
  <c r="Z922" i="3"/>
  <c r="P922" i="3"/>
  <c r="Q922" i="3" s="1"/>
  <c r="R922" i="3" s="1"/>
  <c r="S922" i="3" s="1"/>
  <c r="AD922" i="3"/>
  <c r="U921" i="3" l="1"/>
  <c r="Y920" i="3"/>
  <c r="T922" i="3"/>
  <c r="E922" i="3" l="1"/>
  <c r="H922" i="3" s="1"/>
  <c r="K922" i="3" s="1"/>
  <c r="AE922" i="3" s="1"/>
  <c r="AH922" i="3"/>
  <c r="D922" i="3"/>
  <c r="AG922" i="3"/>
  <c r="F922" i="3" l="1"/>
  <c r="G922" i="3"/>
  <c r="V922" i="3"/>
  <c r="A923" i="3"/>
  <c r="B923" i="3" s="1"/>
  <c r="AD923" i="3" l="1"/>
  <c r="AC923" i="3"/>
  <c r="Z923" i="3"/>
  <c r="AA923" i="3"/>
  <c r="P923" i="3"/>
  <c r="Q923" i="3" s="1"/>
  <c r="R923" i="3" s="1"/>
  <c r="S923" i="3" s="1"/>
  <c r="I922" i="3"/>
  <c r="W922" i="3" s="1"/>
  <c r="J922" i="3"/>
  <c r="M922" i="3"/>
  <c r="N922" i="3" s="1"/>
  <c r="L922" i="3" l="1"/>
  <c r="T923" i="3"/>
  <c r="AH923" i="3" l="1"/>
  <c r="AG923" i="3"/>
  <c r="U922" i="3"/>
  <c r="D923" i="3" s="1"/>
  <c r="Y921" i="3"/>
  <c r="E923" i="3" l="1"/>
  <c r="H923" i="3" s="1"/>
  <c r="K923" i="3" s="1"/>
  <c r="AE923" i="3" s="1"/>
  <c r="G923" i="3"/>
  <c r="F923" i="3" l="1"/>
  <c r="V923" i="3"/>
  <c r="A924" i="3"/>
  <c r="B924" i="3" s="1"/>
  <c r="I923" i="3"/>
  <c r="J923" i="3"/>
  <c r="M923" i="3"/>
  <c r="N923" i="3" s="1"/>
  <c r="W923" i="3" l="1"/>
  <c r="L923" i="3"/>
  <c r="Z924" i="3"/>
  <c r="AC924" i="3"/>
  <c r="P924" i="3"/>
  <c r="Q924" i="3" s="1"/>
  <c r="R924" i="3" s="1"/>
  <c r="S924" i="3" s="1"/>
  <c r="AA924" i="3"/>
  <c r="U923" i="3" l="1"/>
  <c r="Y922" i="3"/>
  <c r="T924" i="3"/>
  <c r="AH924" i="3" s="1"/>
  <c r="D924" i="3" l="1"/>
  <c r="G924" i="3" s="1"/>
  <c r="AG924" i="3"/>
  <c r="E924" i="3"/>
  <c r="H924" i="3" s="1"/>
  <c r="K924" i="3" s="1"/>
  <c r="AE924" i="3" s="1"/>
  <c r="F924" i="3" l="1"/>
  <c r="I924" i="3"/>
  <c r="J924" i="3"/>
  <c r="AD924" i="3" s="1"/>
  <c r="M924" i="3"/>
  <c r="N924" i="3" s="1"/>
  <c r="V924" i="3"/>
  <c r="A925" i="3"/>
  <c r="B925" i="3" s="1"/>
  <c r="W924" i="3" l="1"/>
  <c r="L924" i="3"/>
  <c r="Z925" i="3"/>
  <c r="AA925" i="3"/>
  <c r="AD925" i="3"/>
  <c r="AC925" i="3"/>
  <c r="P925" i="3"/>
  <c r="Q925" i="3" s="1"/>
  <c r="R925" i="3" s="1"/>
  <c r="S925" i="3" s="1"/>
  <c r="T925" i="3" l="1"/>
  <c r="AG925" i="3" s="1"/>
  <c r="U924" i="3"/>
  <c r="Y923" i="3"/>
  <c r="AH925" i="3" l="1"/>
  <c r="E925" i="3"/>
  <c r="H925" i="3" s="1"/>
  <c r="D925" i="3"/>
  <c r="K925" i="3" l="1"/>
  <c r="AE925" i="3" s="1"/>
  <c r="F925" i="3"/>
  <c r="G925" i="3"/>
  <c r="I925" i="3" l="1"/>
  <c r="J925" i="3"/>
  <c r="M925" i="3"/>
  <c r="N925" i="3" s="1"/>
  <c r="V925" i="3"/>
  <c r="A926" i="3"/>
  <c r="B926" i="3" s="1"/>
  <c r="W925" i="3" l="1"/>
  <c r="L925" i="3"/>
  <c r="AC926" i="3"/>
  <c r="AA926" i="3"/>
  <c r="AD926" i="3"/>
  <c r="P926" i="3"/>
  <c r="Q926" i="3" s="1"/>
  <c r="R926" i="3" s="1"/>
  <c r="S926" i="3" s="1"/>
  <c r="Z926" i="3"/>
  <c r="U925" i="3" l="1"/>
  <c r="Y924" i="3"/>
  <c r="T926" i="3"/>
  <c r="AG926" i="3" s="1"/>
  <c r="E926" i="3" l="1"/>
  <c r="H926" i="3" s="1"/>
  <c r="K926" i="3" s="1"/>
  <c r="AE926" i="3" s="1"/>
  <c r="AH926" i="3"/>
  <c r="D926" i="3"/>
  <c r="V926" i="3" l="1"/>
  <c r="A927" i="3"/>
  <c r="B927" i="3" s="1"/>
  <c r="F926" i="3"/>
  <c r="G926" i="3"/>
  <c r="I926" i="3" l="1"/>
  <c r="W926" i="3" s="1"/>
  <c r="J926" i="3"/>
  <c r="M926" i="3"/>
  <c r="N926" i="3" s="1"/>
  <c r="AD927" i="3"/>
  <c r="Z927" i="3"/>
  <c r="P927" i="3"/>
  <c r="Q927" i="3" s="1"/>
  <c r="R927" i="3" s="1"/>
  <c r="S927" i="3" s="1"/>
  <c r="AA927" i="3"/>
  <c r="AC927" i="3"/>
  <c r="T927" i="3" l="1"/>
  <c r="L926" i="3"/>
  <c r="U926" i="3" l="1"/>
  <c r="D927" i="3" s="1"/>
  <c r="AG927" i="3"/>
  <c r="AH927" i="3"/>
  <c r="Y925" i="3"/>
  <c r="G927" i="3" l="1"/>
  <c r="E927" i="3"/>
  <c r="H927" i="3" s="1"/>
  <c r="F927" i="3" l="1"/>
  <c r="K927" i="3"/>
  <c r="AE927" i="3" s="1"/>
  <c r="I927" i="3"/>
  <c r="J927" i="3"/>
  <c r="M927" i="3"/>
  <c r="N927" i="3" s="1"/>
  <c r="L927" i="3" l="1"/>
  <c r="V927" i="3"/>
  <c r="W927" i="3" s="1"/>
  <c r="A928" i="3"/>
  <c r="B928" i="3" s="1"/>
  <c r="U927" i="3" l="1"/>
  <c r="Y926" i="3"/>
  <c r="AC928" i="3"/>
  <c r="AA928" i="3"/>
  <c r="Z928" i="3"/>
  <c r="P928" i="3"/>
  <c r="Q928" i="3" s="1"/>
  <c r="R928" i="3" s="1"/>
  <c r="S928" i="3" s="1"/>
  <c r="T928" i="3" l="1"/>
  <c r="D928" i="3" s="1"/>
  <c r="AH928" i="3" l="1"/>
  <c r="E928" i="3"/>
  <c r="H928" i="3" s="1"/>
  <c r="K928" i="3" s="1"/>
  <c r="AE928" i="3" s="1"/>
  <c r="AG928" i="3"/>
  <c r="G928" i="3"/>
  <c r="F928" i="3" l="1"/>
  <c r="I928" i="3"/>
  <c r="J928" i="3"/>
  <c r="AD928" i="3" s="1"/>
  <c r="M928" i="3"/>
  <c r="N928" i="3" s="1"/>
  <c r="V928" i="3"/>
  <c r="A929" i="3"/>
  <c r="B929" i="3" s="1"/>
  <c r="L928" i="3" l="1"/>
  <c r="P929" i="3"/>
  <c r="Q929" i="3" s="1"/>
  <c r="R929" i="3" s="1"/>
  <c r="S929" i="3" s="1"/>
  <c r="AD929" i="3"/>
  <c r="AC929" i="3"/>
  <c r="Z929" i="3"/>
  <c r="AA929" i="3"/>
  <c r="W928" i="3"/>
  <c r="T929" i="3" l="1"/>
  <c r="AG929" i="3" s="1"/>
  <c r="U928" i="3"/>
  <c r="Y927" i="3"/>
  <c r="AH929" i="3" l="1"/>
  <c r="D929" i="3"/>
  <c r="E929" i="3"/>
  <c r="H929" i="3" s="1"/>
  <c r="F929" i="3" l="1"/>
  <c r="G929" i="3"/>
  <c r="K929" i="3"/>
  <c r="AE929" i="3" s="1"/>
  <c r="V929" i="3" l="1"/>
  <c r="A930" i="3"/>
  <c r="B930" i="3" s="1"/>
  <c r="I929" i="3"/>
  <c r="J929" i="3"/>
  <c r="M929" i="3"/>
  <c r="N929" i="3" s="1"/>
  <c r="L929" i="3" l="1"/>
  <c r="AD930" i="3"/>
  <c r="P930" i="3"/>
  <c r="Q930" i="3" s="1"/>
  <c r="R930" i="3" s="1"/>
  <c r="S930" i="3" s="1"/>
  <c r="AC930" i="3"/>
  <c r="Z930" i="3"/>
  <c r="AA930" i="3"/>
  <c r="W929" i="3"/>
  <c r="T930" i="3" l="1"/>
  <c r="U929" i="3"/>
  <c r="Y928" i="3"/>
  <c r="D930" i="3" l="1"/>
  <c r="G930" i="3" s="1"/>
  <c r="AH930" i="3"/>
  <c r="E930" i="3"/>
  <c r="H930" i="3" s="1"/>
  <c r="AG930" i="3"/>
  <c r="F930" i="3" l="1"/>
  <c r="I930" i="3"/>
  <c r="J930" i="3"/>
  <c r="M930" i="3"/>
  <c r="N930" i="3" s="1"/>
  <c r="K930" i="3"/>
  <c r="AE930" i="3" s="1"/>
  <c r="V930" i="3" l="1"/>
  <c r="W930" i="3" s="1"/>
  <c r="A931" i="3"/>
  <c r="B931" i="3" s="1"/>
  <c r="L930" i="3"/>
  <c r="U930" i="3" l="1"/>
  <c r="Y929" i="3"/>
  <c r="AC931" i="3"/>
  <c r="AA931" i="3"/>
  <c r="Z931" i="3"/>
  <c r="P931" i="3"/>
  <c r="Q931" i="3" s="1"/>
  <c r="R931" i="3" s="1"/>
  <c r="S931" i="3" s="1"/>
  <c r="AD931" i="3"/>
  <c r="T931" i="3" l="1"/>
  <c r="AH931" i="3" s="1"/>
  <c r="E931" i="3" l="1"/>
  <c r="H931" i="3" s="1"/>
  <c r="D931" i="3"/>
  <c r="AG931" i="3"/>
  <c r="K931" i="3" l="1"/>
  <c r="AE931" i="3" s="1"/>
  <c r="F931" i="3"/>
  <c r="G931" i="3"/>
  <c r="I931" i="3" l="1"/>
  <c r="J931" i="3"/>
  <c r="M931" i="3"/>
  <c r="N931" i="3" s="1"/>
  <c r="V931" i="3"/>
  <c r="A932" i="3"/>
  <c r="B932" i="3" s="1"/>
  <c r="W931" i="3" l="1"/>
  <c r="L931" i="3"/>
  <c r="AA932" i="3"/>
  <c r="AD932" i="3"/>
  <c r="Z932" i="3"/>
  <c r="AC932" i="3"/>
  <c r="P932" i="3"/>
  <c r="Q932" i="3" s="1"/>
  <c r="R932" i="3" s="1"/>
  <c r="S932" i="3" s="1"/>
  <c r="U931" i="3" l="1"/>
  <c r="Y930" i="3"/>
  <c r="T932" i="3"/>
  <c r="AH932" i="3" s="1"/>
  <c r="E932" i="3" l="1"/>
  <c r="H932" i="3" s="1"/>
  <c r="D932" i="3"/>
  <c r="AG932" i="3"/>
  <c r="K932" i="3" l="1"/>
  <c r="AE932" i="3" s="1"/>
  <c r="F932" i="3"/>
  <c r="G932" i="3"/>
  <c r="V932" i="3" l="1"/>
  <c r="A933" i="3"/>
  <c r="B933" i="3" s="1"/>
  <c r="I932" i="3"/>
  <c r="J932" i="3"/>
  <c r="M932" i="3"/>
  <c r="N932" i="3" s="1"/>
  <c r="L932" i="3" l="1"/>
  <c r="W932" i="3"/>
  <c r="AA933" i="3"/>
  <c r="P933" i="3"/>
  <c r="Q933" i="3" s="1"/>
  <c r="R933" i="3" s="1"/>
  <c r="S933" i="3" s="1"/>
  <c r="Z933" i="3"/>
  <c r="AD933" i="3"/>
  <c r="AC933" i="3"/>
  <c r="U932" i="3" l="1"/>
  <c r="Y931" i="3"/>
  <c r="T933" i="3"/>
  <c r="D933" i="3" l="1"/>
  <c r="G933" i="3" s="1"/>
  <c r="AH933" i="3"/>
  <c r="AG933" i="3"/>
  <c r="E933" i="3"/>
  <c r="H933" i="3" s="1"/>
  <c r="K933" i="3" l="1"/>
  <c r="AE933" i="3" s="1"/>
  <c r="I933" i="3"/>
  <c r="J933" i="3"/>
  <c r="M933" i="3"/>
  <c r="N933" i="3" s="1"/>
  <c r="F933" i="3"/>
  <c r="V933" i="3" l="1"/>
  <c r="W933" i="3" s="1"/>
  <c r="A934" i="3"/>
  <c r="B934" i="3" s="1"/>
  <c r="L933" i="3"/>
  <c r="U933" i="3" l="1"/>
  <c r="Y932" i="3"/>
  <c r="AC934" i="3"/>
  <c r="Z934" i="3"/>
  <c r="P934" i="3"/>
  <c r="Q934" i="3" s="1"/>
  <c r="R934" i="3" s="1"/>
  <c r="S934" i="3" s="1"/>
  <c r="AA934" i="3"/>
  <c r="T934" i="3" l="1"/>
  <c r="AH934" i="3" s="1"/>
  <c r="AG934" i="3" l="1"/>
  <c r="D934" i="3"/>
  <c r="E934" i="3"/>
  <c r="H934" i="3" s="1"/>
  <c r="K934" i="3" l="1"/>
  <c r="AE934" i="3" s="1"/>
  <c r="F934" i="3"/>
  <c r="G934" i="3"/>
  <c r="V934" i="3" l="1"/>
  <c r="A935" i="3"/>
  <c r="B935" i="3" s="1"/>
  <c r="I934" i="3"/>
  <c r="J934" i="3"/>
  <c r="AD934" i="3" s="1"/>
  <c r="M934" i="3"/>
  <c r="N934" i="3" s="1"/>
  <c r="W934" i="3" l="1"/>
  <c r="L934" i="3"/>
  <c r="AD935" i="3"/>
  <c r="P935" i="3"/>
  <c r="Q935" i="3" s="1"/>
  <c r="R935" i="3" s="1"/>
  <c r="S935" i="3" s="1"/>
  <c r="AA935" i="3"/>
  <c r="AC935" i="3"/>
  <c r="Z935" i="3"/>
  <c r="T935" i="3" l="1"/>
  <c r="U934" i="3"/>
  <c r="Y933" i="3"/>
  <c r="E935" i="3" l="1"/>
  <c r="H935" i="3" s="1"/>
  <c r="K935" i="3" s="1"/>
  <c r="AE935" i="3" s="1"/>
  <c r="AH935" i="3"/>
  <c r="AG935" i="3"/>
  <c r="D935" i="3"/>
  <c r="V935" i="3" l="1"/>
  <c r="A936" i="3"/>
  <c r="B936" i="3" s="1"/>
  <c r="F935" i="3"/>
  <c r="G935" i="3"/>
  <c r="I935" i="3" l="1"/>
  <c r="W935" i="3" s="1"/>
  <c r="J935" i="3"/>
  <c r="M935" i="3"/>
  <c r="N935" i="3" s="1"/>
  <c r="P936" i="3"/>
  <c r="Q936" i="3" s="1"/>
  <c r="R936" i="3" s="1"/>
  <c r="S936" i="3" s="1"/>
  <c r="AD936" i="3"/>
  <c r="AC936" i="3"/>
  <c r="Z936" i="3"/>
  <c r="AA936" i="3"/>
  <c r="T936" i="3" l="1"/>
  <c r="L935" i="3"/>
  <c r="AH936" i="3" l="1"/>
  <c r="U935" i="3"/>
  <c r="E936" i="3" s="1"/>
  <c r="H936" i="3" s="1"/>
  <c r="AG936" i="3"/>
  <c r="Y934" i="3"/>
  <c r="D936" i="3" l="1"/>
  <c r="F936" i="3" s="1"/>
  <c r="K936" i="3"/>
  <c r="AE936" i="3" s="1"/>
  <c r="G936" i="3" l="1"/>
  <c r="J936" i="3" s="1"/>
  <c r="V936" i="3"/>
  <c r="A937" i="3"/>
  <c r="B937" i="3" s="1"/>
  <c r="M936" i="3" l="1"/>
  <c r="N936" i="3" s="1"/>
  <c r="I936" i="3"/>
  <c r="W936" i="3" s="1"/>
  <c r="L936" i="3"/>
  <c r="AD937" i="3"/>
  <c r="P937" i="3"/>
  <c r="Q937" i="3" s="1"/>
  <c r="R937" i="3" s="1"/>
  <c r="S937" i="3" s="1"/>
  <c r="AA937" i="3"/>
  <c r="Z937" i="3"/>
  <c r="AC937" i="3"/>
  <c r="U936" i="3" l="1"/>
  <c r="Y935" i="3"/>
  <c r="T937" i="3"/>
  <c r="AG937" i="3" s="1"/>
  <c r="E937" i="3" l="1"/>
  <c r="H937" i="3" s="1"/>
  <c r="K937" i="3" s="1"/>
  <c r="AE937" i="3" s="1"/>
  <c r="D937" i="3"/>
  <c r="G937" i="3" s="1"/>
  <c r="AH937" i="3"/>
  <c r="F937" i="3" l="1"/>
  <c r="V937" i="3"/>
  <c r="A938" i="3"/>
  <c r="B938" i="3" s="1"/>
  <c r="I937" i="3"/>
  <c r="J937" i="3"/>
  <c r="M937" i="3"/>
  <c r="N937" i="3" s="1"/>
  <c r="W937" i="3" l="1"/>
  <c r="L937" i="3"/>
  <c r="Z938" i="3"/>
  <c r="P938" i="3"/>
  <c r="Q938" i="3" s="1"/>
  <c r="R938" i="3" s="1"/>
  <c r="S938" i="3" s="1"/>
  <c r="AA938" i="3"/>
  <c r="AC938" i="3"/>
  <c r="T938" i="3" l="1"/>
  <c r="AG938" i="3" s="1"/>
  <c r="U937" i="3"/>
  <c r="Y936" i="3"/>
  <c r="D938" i="3" l="1"/>
  <c r="AH938" i="3"/>
  <c r="E938" i="3"/>
  <c r="H938" i="3" s="1"/>
  <c r="F938" i="3" l="1"/>
  <c r="G938" i="3"/>
  <c r="J938" i="3" s="1"/>
  <c r="AD938" i="3" s="1"/>
  <c r="K938" i="3"/>
  <c r="AE938" i="3" s="1"/>
  <c r="I938" i="3" l="1"/>
  <c r="M938" i="3"/>
  <c r="N938" i="3" s="1"/>
  <c r="V938" i="3"/>
  <c r="A939" i="3"/>
  <c r="B939" i="3" s="1"/>
  <c r="L938" i="3"/>
  <c r="W938" i="3" l="1"/>
  <c r="U938" i="3"/>
  <c r="Y937" i="3"/>
  <c r="AA939" i="3"/>
  <c r="P939" i="3"/>
  <c r="Q939" i="3" s="1"/>
  <c r="R939" i="3" s="1"/>
  <c r="S939" i="3" s="1"/>
  <c r="Z939" i="3"/>
  <c r="AD939" i="3"/>
  <c r="AC939" i="3"/>
  <c r="T939" i="3" l="1"/>
  <c r="E939" i="3" s="1"/>
  <c r="H939" i="3" s="1"/>
  <c r="K939" i="3" l="1"/>
  <c r="AE939" i="3" s="1"/>
  <c r="AG939" i="3"/>
  <c r="D939" i="3"/>
  <c r="AH939" i="3"/>
  <c r="F939" i="3" l="1"/>
  <c r="G939" i="3"/>
  <c r="V939" i="3"/>
  <c r="A940" i="3"/>
  <c r="B940" i="3" s="1"/>
  <c r="AC940" i="3" l="1"/>
  <c r="Z940" i="3"/>
  <c r="P940" i="3"/>
  <c r="Q940" i="3" s="1"/>
  <c r="R940" i="3" s="1"/>
  <c r="S940" i="3" s="1"/>
  <c r="AA940" i="3"/>
  <c r="AD940" i="3"/>
  <c r="I939" i="3"/>
  <c r="W939" i="3" s="1"/>
  <c r="J939" i="3"/>
  <c r="M939" i="3"/>
  <c r="N939" i="3" s="1"/>
  <c r="T940" i="3" l="1"/>
  <c r="L939" i="3"/>
  <c r="AG940" i="3" l="1"/>
  <c r="AH940" i="3"/>
  <c r="U939" i="3"/>
  <c r="D940" i="3" s="1"/>
  <c r="Y938" i="3"/>
  <c r="E940" i="3" l="1"/>
  <c r="H940" i="3" s="1"/>
  <c r="K940" i="3" s="1"/>
  <c r="AE940" i="3" s="1"/>
  <c r="G940" i="3"/>
  <c r="F940" i="3" l="1"/>
  <c r="I940" i="3"/>
  <c r="J940" i="3"/>
  <c r="M940" i="3"/>
  <c r="N940" i="3" s="1"/>
  <c r="V940" i="3"/>
  <c r="A941" i="3"/>
  <c r="B941" i="3" s="1"/>
  <c r="W940" i="3" l="1"/>
  <c r="L940" i="3"/>
  <c r="AD941" i="3"/>
  <c r="P941" i="3"/>
  <c r="Q941" i="3" s="1"/>
  <c r="R941" i="3" s="1"/>
  <c r="S941" i="3" s="1"/>
  <c r="Z941" i="3"/>
  <c r="AC941" i="3"/>
  <c r="AA941" i="3"/>
  <c r="T941" i="3" l="1"/>
  <c r="U940" i="3"/>
  <c r="Y939" i="3"/>
  <c r="E941" i="3" l="1"/>
  <c r="H941" i="3" s="1"/>
  <c r="K941" i="3" s="1"/>
  <c r="AE941" i="3" s="1"/>
  <c r="AH941" i="3"/>
  <c r="AG941" i="3"/>
  <c r="D941" i="3"/>
  <c r="F941" i="3" l="1"/>
  <c r="G941" i="3"/>
  <c r="V941" i="3"/>
  <c r="A942" i="3"/>
  <c r="B942" i="3" s="1"/>
  <c r="Z942" i="3" l="1"/>
  <c r="AD942" i="3"/>
  <c r="AC942" i="3"/>
  <c r="AA942" i="3"/>
  <c r="P942" i="3"/>
  <c r="Q942" i="3" s="1"/>
  <c r="R942" i="3" s="1"/>
  <c r="S942" i="3" s="1"/>
  <c r="I941" i="3"/>
  <c r="W941" i="3" s="1"/>
  <c r="J941" i="3"/>
  <c r="M941" i="3"/>
  <c r="N941" i="3" s="1"/>
  <c r="T942" i="3" l="1"/>
  <c r="L941" i="3"/>
  <c r="U941" i="3" l="1"/>
  <c r="E942" i="3" s="1"/>
  <c r="H942" i="3" s="1"/>
  <c r="AG942" i="3"/>
  <c r="AH942" i="3"/>
  <c r="Y940" i="3"/>
  <c r="D942" i="3" l="1"/>
  <c r="G942" i="3" s="1"/>
  <c r="K942" i="3"/>
  <c r="AE942" i="3" s="1"/>
  <c r="F942" i="3" l="1"/>
  <c r="I942" i="3"/>
  <c r="J942" i="3"/>
  <c r="M942" i="3"/>
  <c r="N942" i="3" s="1"/>
  <c r="V942" i="3"/>
  <c r="A943" i="3"/>
  <c r="B943" i="3" s="1"/>
  <c r="W942" i="3" l="1"/>
  <c r="L942" i="3"/>
  <c r="AA943" i="3"/>
  <c r="AC943" i="3"/>
  <c r="P943" i="3"/>
  <c r="Q943" i="3" s="1"/>
  <c r="R943" i="3" s="1"/>
  <c r="S943" i="3" s="1"/>
  <c r="Z943" i="3"/>
  <c r="AD943" i="3"/>
  <c r="U942" i="3" l="1"/>
  <c r="Y941" i="3"/>
  <c r="T943" i="3"/>
  <c r="AG943" i="3" s="1"/>
  <c r="E943" i="3" l="1"/>
  <c r="H943" i="3" s="1"/>
  <c r="K943" i="3" s="1"/>
  <c r="AE943" i="3" s="1"/>
  <c r="D943" i="3"/>
  <c r="AH943" i="3"/>
  <c r="F943" i="3" l="1"/>
  <c r="G943" i="3"/>
  <c r="M943" i="3" s="1"/>
  <c r="N943" i="3" s="1"/>
  <c r="V943" i="3"/>
  <c r="A944" i="3"/>
  <c r="B944" i="3" s="1"/>
  <c r="I943" i="3" l="1"/>
  <c r="W943" i="3" s="1"/>
  <c r="J943" i="3"/>
  <c r="L943" i="3" s="1"/>
  <c r="P944" i="3"/>
  <c r="Q944" i="3" s="1"/>
  <c r="R944" i="3" s="1"/>
  <c r="S944" i="3" s="1"/>
  <c r="AC944" i="3"/>
  <c r="Z944" i="3"/>
  <c r="AA944" i="3"/>
  <c r="U943" i="3" l="1"/>
  <c r="Y942" i="3"/>
  <c r="T944" i="3"/>
  <c r="AH944" i="3" s="1"/>
  <c r="D944" i="3" l="1"/>
  <c r="E944" i="3"/>
  <c r="H944" i="3" s="1"/>
  <c r="AG944" i="3"/>
  <c r="F944" i="3" l="1"/>
  <c r="G944" i="3"/>
  <c r="K944" i="3"/>
  <c r="AE944" i="3" s="1"/>
  <c r="I944" i="3" l="1"/>
  <c r="J944" i="3"/>
  <c r="AD944" i="3" s="1"/>
  <c r="M944" i="3"/>
  <c r="N944" i="3" s="1"/>
  <c r="V944" i="3"/>
  <c r="A945" i="3"/>
  <c r="B945" i="3" s="1"/>
  <c r="W944" i="3" l="1"/>
  <c r="L944" i="3"/>
  <c r="P945" i="3"/>
  <c r="Q945" i="3" s="1"/>
  <c r="R945" i="3" s="1"/>
  <c r="S945" i="3" s="1"/>
  <c r="AC945" i="3"/>
  <c r="Z945" i="3"/>
  <c r="AD945" i="3"/>
  <c r="AA945" i="3"/>
  <c r="U944" i="3" l="1"/>
  <c r="Y943" i="3"/>
  <c r="T945" i="3"/>
  <c r="D945" i="3" l="1"/>
  <c r="G945" i="3" s="1"/>
  <c r="AH945" i="3"/>
  <c r="E945" i="3"/>
  <c r="H945" i="3" s="1"/>
  <c r="AG945" i="3"/>
  <c r="F945" i="3" l="1"/>
  <c r="I945" i="3"/>
  <c r="J945" i="3"/>
  <c r="M945" i="3"/>
  <c r="N945" i="3" s="1"/>
  <c r="K945" i="3"/>
  <c r="AE945" i="3" s="1"/>
  <c r="V945" i="3" l="1"/>
  <c r="W945" i="3" s="1"/>
  <c r="A946" i="3"/>
  <c r="B946" i="3" s="1"/>
  <c r="L945" i="3"/>
  <c r="U945" i="3" l="1"/>
  <c r="Y944" i="3"/>
  <c r="P946" i="3"/>
  <c r="Q946" i="3" s="1"/>
  <c r="R946" i="3" s="1"/>
  <c r="S946" i="3" s="1"/>
  <c r="AC946" i="3"/>
  <c r="AA946" i="3"/>
  <c r="AD946" i="3"/>
  <c r="Z946" i="3"/>
  <c r="T946" i="3" l="1"/>
  <c r="E946" i="3" s="1"/>
  <c r="H946" i="3" s="1"/>
  <c r="K946" i="3" l="1"/>
  <c r="AE946" i="3" s="1"/>
  <c r="AG946" i="3"/>
  <c r="D946" i="3"/>
  <c r="AH946" i="3"/>
  <c r="F946" i="3" l="1"/>
  <c r="G946" i="3"/>
  <c r="V946" i="3"/>
  <c r="A947" i="3"/>
  <c r="B947" i="3" s="1"/>
  <c r="Z947" i="3" l="1"/>
  <c r="AC947" i="3"/>
  <c r="P947" i="3"/>
  <c r="Q947" i="3" s="1"/>
  <c r="R947" i="3" s="1"/>
  <c r="S947" i="3" s="1"/>
  <c r="AA947" i="3"/>
  <c r="AD947" i="3"/>
  <c r="I946" i="3"/>
  <c r="W946" i="3" s="1"/>
  <c r="J946" i="3"/>
  <c r="M946" i="3"/>
  <c r="N946" i="3" s="1"/>
  <c r="L946" i="3" l="1"/>
  <c r="T947" i="3"/>
  <c r="AH947" i="3" l="1"/>
  <c r="AG947" i="3"/>
  <c r="U946" i="3"/>
  <c r="E947" i="3" s="1"/>
  <c r="H947" i="3" s="1"/>
  <c r="Y945" i="3"/>
  <c r="D947" i="3" l="1"/>
  <c r="G947" i="3" s="1"/>
  <c r="K947" i="3"/>
  <c r="AE947" i="3" s="1"/>
  <c r="F947" i="3" l="1"/>
  <c r="V947" i="3"/>
  <c r="A948" i="3"/>
  <c r="B948" i="3" s="1"/>
  <c r="I947" i="3"/>
  <c r="J947" i="3"/>
  <c r="M947" i="3"/>
  <c r="N947" i="3" s="1"/>
  <c r="W947" i="3" l="1"/>
  <c r="L947" i="3"/>
  <c r="P948" i="3"/>
  <c r="Q948" i="3" s="1"/>
  <c r="R948" i="3" s="1"/>
  <c r="S948" i="3" s="1"/>
  <c r="AA948" i="3"/>
  <c r="Z948" i="3"/>
  <c r="AC948" i="3"/>
  <c r="U947" i="3" l="1"/>
  <c r="Y946" i="3"/>
  <c r="T948" i="3"/>
  <c r="AH948" i="3" s="1"/>
  <c r="AG948" i="3" l="1"/>
  <c r="E948" i="3"/>
  <c r="H948" i="3" s="1"/>
  <c r="D948" i="3"/>
  <c r="K948" i="3" l="1"/>
  <c r="AE948" i="3" s="1"/>
  <c r="F948" i="3"/>
  <c r="G948" i="3"/>
  <c r="I948" i="3" l="1"/>
  <c r="J948" i="3"/>
  <c r="AD948" i="3" s="1"/>
  <c r="M948" i="3"/>
  <c r="N948" i="3" s="1"/>
  <c r="V948" i="3"/>
  <c r="A949" i="3"/>
  <c r="B949" i="3" s="1"/>
  <c r="W948" i="3" l="1"/>
  <c r="L948" i="3"/>
  <c r="AD949" i="3"/>
  <c r="AA949" i="3"/>
  <c r="AC949" i="3"/>
  <c r="Z949" i="3"/>
  <c r="P949" i="3"/>
  <c r="Q949" i="3" s="1"/>
  <c r="R949" i="3" s="1"/>
  <c r="S949" i="3" s="1"/>
  <c r="U948" i="3" l="1"/>
  <c r="Y947" i="3"/>
  <c r="T949" i="3"/>
  <c r="AH949" i="3" s="1"/>
  <c r="AG949" i="3" l="1"/>
  <c r="D949" i="3"/>
  <c r="G949" i="3" s="1"/>
  <c r="E949" i="3"/>
  <c r="H949" i="3" s="1"/>
  <c r="K949" i="3" s="1"/>
  <c r="AE949" i="3" s="1"/>
  <c r="F949" i="3" l="1"/>
  <c r="I949" i="3"/>
  <c r="J949" i="3"/>
  <c r="M949" i="3"/>
  <c r="N949" i="3" s="1"/>
  <c r="V949" i="3"/>
  <c r="A950" i="3"/>
  <c r="B950" i="3" s="1"/>
  <c r="W949" i="3" l="1"/>
  <c r="L949" i="3"/>
  <c r="Z950" i="3"/>
  <c r="AC950" i="3"/>
  <c r="P950" i="3"/>
  <c r="Q950" i="3" s="1"/>
  <c r="R950" i="3" s="1"/>
  <c r="S950" i="3" s="1"/>
  <c r="AD950" i="3"/>
  <c r="AA950" i="3"/>
  <c r="T950" i="3" l="1"/>
  <c r="U949" i="3"/>
  <c r="Y948" i="3"/>
  <c r="D950" i="3" l="1"/>
  <c r="G950" i="3" s="1"/>
  <c r="AG950" i="3"/>
  <c r="E950" i="3"/>
  <c r="H950" i="3" s="1"/>
  <c r="K950" i="3" s="1"/>
  <c r="AE950" i="3" s="1"/>
  <c r="AH950" i="3"/>
  <c r="F950" i="3" l="1"/>
  <c r="I950" i="3"/>
  <c r="J950" i="3"/>
  <c r="M950" i="3"/>
  <c r="N950" i="3" s="1"/>
  <c r="V950" i="3"/>
  <c r="A951" i="3"/>
  <c r="B951" i="3" s="1"/>
  <c r="W950" i="3" l="1"/>
  <c r="P951" i="3"/>
  <c r="Q951" i="3" s="1"/>
  <c r="R951" i="3" s="1"/>
  <c r="S951" i="3" s="1"/>
  <c r="AA951" i="3"/>
  <c r="AC951" i="3"/>
  <c r="AD951" i="3"/>
  <c r="Z951" i="3"/>
  <c r="L950" i="3"/>
  <c r="T951" i="3" l="1"/>
  <c r="U950" i="3"/>
  <c r="Y949" i="3"/>
  <c r="D951" i="3" l="1"/>
  <c r="G951" i="3" s="1"/>
  <c r="AH951" i="3"/>
  <c r="AG951" i="3"/>
  <c r="E951" i="3"/>
  <c r="H951" i="3" s="1"/>
  <c r="K951" i="3" s="1"/>
  <c r="AE951" i="3" s="1"/>
  <c r="F951" i="3" l="1"/>
  <c r="I951" i="3"/>
  <c r="J951" i="3"/>
  <c r="M951" i="3"/>
  <c r="N951" i="3" s="1"/>
  <c r="V951" i="3"/>
  <c r="A952" i="3"/>
  <c r="B952" i="3" s="1"/>
  <c r="AC952" i="3" l="1"/>
  <c r="Z952" i="3"/>
  <c r="AD952" i="3"/>
  <c r="P952" i="3"/>
  <c r="Q952" i="3" s="1"/>
  <c r="R952" i="3" s="1"/>
  <c r="S952" i="3" s="1"/>
  <c r="AA952" i="3"/>
  <c r="W951" i="3"/>
  <c r="L951" i="3"/>
  <c r="U951" i="3" l="1"/>
  <c r="Y950" i="3"/>
  <c r="T952" i="3"/>
  <c r="D952" i="3" l="1"/>
  <c r="G952" i="3" s="1"/>
  <c r="E952" i="3"/>
  <c r="H952" i="3" s="1"/>
  <c r="AH952" i="3"/>
  <c r="AG952" i="3"/>
  <c r="F952" i="3" l="1"/>
  <c r="I952" i="3"/>
  <c r="J952" i="3"/>
  <c r="M952" i="3"/>
  <c r="N952" i="3" s="1"/>
  <c r="K952" i="3"/>
  <c r="AE952" i="3" s="1"/>
  <c r="V952" i="3" l="1"/>
  <c r="W952" i="3" s="1"/>
  <c r="A953" i="3"/>
  <c r="B953" i="3" s="1"/>
  <c r="L952" i="3"/>
  <c r="U952" i="3" l="1"/>
  <c r="Y951" i="3"/>
  <c r="Z953" i="3"/>
  <c r="AA953" i="3"/>
  <c r="AD953" i="3"/>
  <c r="P953" i="3"/>
  <c r="Q953" i="3" s="1"/>
  <c r="R953" i="3" s="1"/>
  <c r="S953" i="3" s="1"/>
  <c r="AC953" i="3"/>
  <c r="T953" i="3" l="1"/>
  <c r="AG953" i="3" s="1"/>
  <c r="E953" i="3" l="1"/>
  <c r="H953" i="3" s="1"/>
  <c r="K953" i="3" s="1"/>
  <c r="AE953" i="3" s="1"/>
  <c r="AH953" i="3"/>
  <c r="D953" i="3"/>
  <c r="G953" i="3" s="1"/>
  <c r="F953" i="3" l="1"/>
  <c r="I953" i="3"/>
  <c r="J953" i="3"/>
  <c r="M953" i="3"/>
  <c r="N953" i="3" s="1"/>
  <c r="V953" i="3"/>
  <c r="A954" i="3"/>
  <c r="B954" i="3" s="1"/>
  <c r="W953" i="3" l="1"/>
  <c r="L953" i="3"/>
  <c r="AA954" i="3"/>
  <c r="P954" i="3"/>
  <c r="Q954" i="3" s="1"/>
  <c r="R954" i="3" s="1"/>
  <c r="S954" i="3" s="1"/>
  <c r="AC954" i="3"/>
  <c r="Z954" i="3"/>
  <c r="T954" i="3" l="1"/>
  <c r="U953" i="3"/>
  <c r="Y952" i="3"/>
  <c r="E954" i="3" l="1"/>
  <c r="H954" i="3" s="1"/>
  <c r="K954" i="3" s="1"/>
  <c r="AE954" i="3" s="1"/>
  <c r="AG954" i="3"/>
  <c r="AH954" i="3"/>
  <c r="D954" i="3"/>
  <c r="G954" i="3" s="1"/>
  <c r="F954" i="3" l="1"/>
  <c r="V954" i="3"/>
  <c r="A955" i="3"/>
  <c r="B955" i="3" s="1"/>
  <c r="I954" i="3"/>
  <c r="J954" i="3"/>
  <c r="AD954" i="3" s="1"/>
  <c r="M954" i="3"/>
  <c r="N954" i="3" s="1"/>
  <c r="W954" i="3" l="1"/>
  <c r="L954" i="3"/>
  <c r="P955" i="3"/>
  <c r="Q955" i="3" s="1"/>
  <c r="R955" i="3" s="1"/>
  <c r="S955" i="3" s="1"/>
  <c r="AA955" i="3"/>
  <c r="AC955" i="3"/>
  <c r="Z955" i="3"/>
  <c r="U954" i="3" l="1"/>
  <c r="Y953" i="3"/>
  <c r="T955" i="3"/>
  <c r="AG955" i="3" s="1"/>
  <c r="AH955" i="3" l="1"/>
  <c r="D955" i="3"/>
  <c r="E955" i="3"/>
  <c r="H955" i="3" s="1"/>
  <c r="F955" i="3" l="1"/>
  <c r="G955" i="3"/>
  <c r="K955" i="3"/>
  <c r="AE955" i="3" s="1"/>
  <c r="I955" i="3" l="1"/>
  <c r="J955" i="3"/>
  <c r="AD955" i="3" s="1"/>
  <c r="M955" i="3"/>
  <c r="N955" i="3" s="1"/>
  <c r="V955" i="3"/>
  <c r="A956" i="3"/>
  <c r="B956" i="3" s="1"/>
  <c r="W955" i="3" l="1"/>
  <c r="L955" i="3"/>
  <c r="AA956" i="3"/>
  <c r="P956" i="3"/>
  <c r="Q956" i="3" s="1"/>
  <c r="R956" i="3" s="1"/>
  <c r="S956" i="3" s="1"/>
  <c r="Z956" i="3"/>
  <c r="AC956" i="3"/>
  <c r="U955" i="3" l="1"/>
  <c r="Y954" i="3"/>
  <c r="T956" i="3"/>
  <c r="AH956" i="3" s="1"/>
  <c r="AG956" i="3" l="1"/>
  <c r="E956" i="3"/>
  <c r="H956" i="3" s="1"/>
  <c r="K956" i="3" s="1"/>
  <c r="AE956" i="3" s="1"/>
  <c r="D956" i="3"/>
  <c r="V956" i="3" l="1"/>
  <c r="A957" i="3"/>
  <c r="B957" i="3" s="1"/>
  <c r="F956" i="3"/>
  <c r="G956" i="3"/>
  <c r="I956" i="3" l="1"/>
  <c r="W956" i="3" s="1"/>
  <c r="J956" i="3"/>
  <c r="AD956" i="3" s="1"/>
  <c r="M956" i="3"/>
  <c r="N956" i="3" s="1"/>
  <c r="AA957" i="3"/>
  <c r="Z957" i="3"/>
  <c r="P957" i="3"/>
  <c r="Q957" i="3" s="1"/>
  <c r="R957" i="3" s="1"/>
  <c r="S957" i="3" s="1"/>
  <c r="AC957" i="3"/>
  <c r="T957" i="3" l="1"/>
  <c r="L956" i="3"/>
  <c r="AG957" i="3" l="1"/>
  <c r="U956" i="3"/>
  <c r="E957" i="3" s="1"/>
  <c r="H957" i="3" s="1"/>
  <c r="AH957" i="3"/>
  <c r="Y955" i="3"/>
  <c r="D957" i="3" l="1"/>
  <c r="G957" i="3" s="1"/>
  <c r="K957" i="3"/>
  <c r="AE957" i="3" s="1"/>
  <c r="F957" i="3" l="1"/>
  <c r="I957" i="3"/>
  <c r="J957" i="3"/>
  <c r="AD957" i="3" s="1"/>
  <c r="M957" i="3"/>
  <c r="N957" i="3" s="1"/>
  <c r="V957" i="3"/>
  <c r="A958" i="3"/>
  <c r="B958" i="3" s="1"/>
  <c r="W957" i="3" l="1"/>
  <c r="L957" i="3"/>
  <c r="AC958" i="3"/>
  <c r="AA958" i="3"/>
  <c r="P958" i="3"/>
  <c r="Q958" i="3" s="1"/>
  <c r="R958" i="3" s="1"/>
  <c r="S958" i="3" s="1"/>
  <c r="Z958" i="3"/>
  <c r="T958" i="3" l="1"/>
  <c r="AH958" i="3" s="1"/>
  <c r="U957" i="3"/>
  <c r="Y956" i="3"/>
  <c r="AG958" i="3" l="1"/>
  <c r="D958" i="3"/>
  <c r="E958" i="3"/>
  <c r="H958" i="3" s="1"/>
  <c r="K958" i="3" l="1"/>
  <c r="AE958" i="3" s="1"/>
  <c r="F958" i="3"/>
  <c r="G958" i="3"/>
  <c r="V958" i="3" l="1"/>
  <c r="A959" i="3"/>
  <c r="B959" i="3" s="1"/>
  <c r="I958" i="3"/>
  <c r="J958" i="3"/>
  <c r="AD958" i="3" s="1"/>
  <c r="M958" i="3"/>
  <c r="N958" i="3" s="1"/>
  <c r="W958" i="3" l="1"/>
  <c r="L958" i="3"/>
  <c r="Z959" i="3"/>
  <c r="AC959" i="3"/>
  <c r="P959" i="3"/>
  <c r="Q959" i="3" s="1"/>
  <c r="R959" i="3" s="1"/>
  <c r="S959" i="3" s="1"/>
  <c r="AA959" i="3"/>
  <c r="T959" i="3" l="1"/>
  <c r="AH959" i="3" s="1"/>
  <c r="U958" i="3"/>
  <c r="Y957" i="3"/>
  <c r="AG959" i="3" l="1"/>
  <c r="E959" i="3"/>
  <c r="H959" i="3" s="1"/>
  <c r="K959" i="3" s="1"/>
  <c r="AE959" i="3" s="1"/>
  <c r="D959" i="3"/>
  <c r="F959" i="3" l="1"/>
  <c r="G959" i="3"/>
  <c r="V959" i="3"/>
  <c r="A960" i="3"/>
  <c r="B960" i="3" s="1"/>
  <c r="Z960" i="3" l="1"/>
  <c r="AA960" i="3"/>
  <c r="P960" i="3"/>
  <c r="Q960" i="3" s="1"/>
  <c r="R960" i="3" s="1"/>
  <c r="S960" i="3" s="1"/>
  <c r="AC960" i="3"/>
  <c r="I959" i="3"/>
  <c r="W959" i="3" s="1"/>
  <c r="J959" i="3"/>
  <c r="AD959" i="3" s="1"/>
  <c r="M959" i="3"/>
  <c r="N959" i="3" s="1"/>
  <c r="T960" i="3" l="1"/>
  <c r="L959" i="3"/>
  <c r="U959" i="3" l="1"/>
  <c r="E960" i="3" s="1"/>
  <c r="H960" i="3" s="1"/>
  <c r="AG960" i="3"/>
  <c r="AH960" i="3"/>
  <c r="Y958" i="3"/>
  <c r="D960" i="3" l="1"/>
  <c r="G960" i="3" s="1"/>
  <c r="K960" i="3"/>
  <c r="AE960" i="3" s="1"/>
  <c r="F960" i="3" l="1"/>
  <c r="I960" i="3"/>
  <c r="J960" i="3"/>
  <c r="AD960" i="3" s="1"/>
  <c r="M960" i="3"/>
  <c r="N960" i="3" s="1"/>
  <c r="V960" i="3"/>
  <c r="A961" i="3"/>
  <c r="B961" i="3" s="1"/>
  <c r="W960" i="3" l="1"/>
  <c r="P961" i="3"/>
  <c r="Q961" i="3" s="1"/>
  <c r="R961" i="3" s="1"/>
  <c r="S961" i="3" s="1"/>
  <c r="AC961" i="3"/>
  <c r="Z961" i="3"/>
  <c r="AA961" i="3"/>
  <c r="L960" i="3"/>
  <c r="U960" i="3" l="1"/>
  <c r="Y959" i="3"/>
  <c r="T961" i="3"/>
  <c r="D961" i="3" l="1"/>
  <c r="G961" i="3" s="1"/>
  <c r="AH961" i="3"/>
  <c r="AG961" i="3"/>
  <c r="E961" i="3"/>
  <c r="H961" i="3" s="1"/>
  <c r="K961" i="3" l="1"/>
  <c r="AE961" i="3" s="1"/>
  <c r="I961" i="3"/>
  <c r="J961" i="3"/>
  <c r="AD961" i="3" s="1"/>
  <c r="M961" i="3"/>
  <c r="N961" i="3" s="1"/>
  <c r="F961" i="3"/>
  <c r="L961" i="3" l="1"/>
  <c r="V961" i="3"/>
  <c r="W961" i="3" s="1"/>
  <c r="A962" i="3"/>
  <c r="B962" i="3" s="1"/>
  <c r="Z962" i="3" l="1"/>
  <c r="AA962" i="3"/>
  <c r="P962" i="3"/>
  <c r="Q962" i="3" s="1"/>
  <c r="R962" i="3" s="1"/>
  <c r="S962" i="3" s="1"/>
  <c r="AC962" i="3"/>
  <c r="U961" i="3"/>
  <c r="Y960" i="3"/>
  <c r="T962" i="3" l="1"/>
  <c r="E962" i="3" s="1"/>
  <c r="H962" i="3" s="1"/>
  <c r="AH962" i="3" l="1"/>
  <c r="K962" i="3"/>
  <c r="AE962" i="3" s="1"/>
  <c r="D962" i="3"/>
  <c r="AG962" i="3"/>
  <c r="V962" i="3" l="1"/>
  <c r="A963" i="3"/>
  <c r="B963" i="3" s="1"/>
  <c r="F962" i="3"/>
  <c r="G962" i="3"/>
  <c r="P963" i="3" l="1"/>
  <c r="Q963" i="3" s="1"/>
  <c r="R963" i="3" s="1"/>
  <c r="S963" i="3" s="1"/>
  <c r="AC963" i="3"/>
  <c r="Z963" i="3"/>
  <c r="AA963" i="3"/>
  <c r="I962" i="3"/>
  <c r="W962" i="3" s="1"/>
  <c r="J962" i="3"/>
  <c r="AD962" i="3" s="1"/>
  <c r="M962" i="3"/>
  <c r="N962" i="3" s="1"/>
  <c r="T963" i="3" l="1"/>
  <c r="L962" i="3"/>
  <c r="U962" i="3" l="1"/>
  <c r="E963" i="3" s="1"/>
  <c r="H963" i="3" s="1"/>
  <c r="AG963" i="3"/>
  <c r="AH963" i="3"/>
  <c r="Y961" i="3"/>
  <c r="D963" i="3" l="1"/>
  <c r="G963" i="3" s="1"/>
  <c r="K963" i="3"/>
  <c r="AE963" i="3" s="1"/>
  <c r="F963" i="3" l="1"/>
  <c r="I963" i="3"/>
  <c r="J963" i="3"/>
  <c r="AD963" i="3" s="1"/>
  <c r="M963" i="3"/>
  <c r="N963" i="3" s="1"/>
  <c r="V963" i="3"/>
  <c r="A964" i="3"/>
  <c r="B964" i="3" s="1"/>
  <c r="W963" i="3" l="1"/>
  <c r="L963" i="3"/>
  <c r="Z964" i="3"/>
  <c r="P964" i="3"/>
  <c r="Q964" i="3" s="1"/>
  <c r="R964" i="3" s="1"/>
  <c r="S964" i="3" s="1"/>
  <c r="AA964" i="3"/>
  <c r="AC964" i="3"/>
  <c r="U963" i="3" l="1"/>
  <c r="Y962" i="3"/>
  <c r="T964" i="3"/>
  <c r="D964" i="3" l="1"/>
  <c r="G964" i="3" s="1"/>
  <c r="E964" i="3"/>
  <c r="H964" i="3" s="1"/>
  <c r="K964" i="3" s="1"/>
  <c r="AE964" i="3" s="1"/>
  <c r="AH964" i="3"/>
  <c r="AG964" i="3"/>
  <c r="F964" i="3" l="1"/>
  <c r="I964" i="3"/>
  <c r="J964" i="3"/>
  <c r="AD964" i="3" s="1"/>
  <c r="M964" i="3"/>
  <c r="N964" i="3" s="1"/>
  <c r="V964" i="3"/>
  <c r="A965" i="3"/>
  <c r="B965" i="3" s="1"/>
  <c r="W964" i="3" l="1"/>
  <c r="L964" i="3"/>
  <c r="AC965" i="3"/>
  <c r="AD965" i="3"/>
  <c r="P965" i="3"/>
  <c r="Q965" i="3" s="1"/>
  <c r="R965" i="3" s="1"/>
  <c r="S965" i="3" s="1"/>
  <c r="AA965" i="3"/>
  <c r="Z965" i="3"/>
  <c r="U964" i="3" l="1"/>
  <c r="Y963" i="3"/>
  <c r="T965" i="3"/>
  <c r="AH965" i="3" s="1"/>
  <c r="AG965" i="3" l="1"/>
  <c r="E965" i="3"/>
  <c r="H965" i="3" s="1"/>
  <c r="D965" i="3"/>
  <c r="F965" i="3" l="1"/>
  <c r="G965" i="3"/>
  <c r="K965" i="3"/>
  <c r="AE965" i="3" s="1"/>
  <c r="V965" i="3" l="1"/>
  <c r="A966" i="3"/>
  <c r="B966" i="3" s="1"/>
  <c r="I965" i="3"/>
  <c r="J965" i="3"/>
  <c r="M965" i="3"/>
  <c r="N965" i="3" s="1"/>
  <c r="L965" i="3" l="1"/>
  <c r="P966" i="3"/>
  <c r="Q966" i="3" s="1"/>
  <c r="R966" i="3" s="1"/>
  <c r="S966" i="3" s="1"/>
  <c r="AD966" i="3"/>
  <c r="AA966" i="3"/>
  <c r="Z966" i="3"/>
  <c r="AC966" i="3"/>
  <c r="W965" i="3"/>
  <c r="T966" i="3" l="1"/>
  <c r="AG966" i="3" s="1"/>
  <c r="U965" i="3"/>
  <c r="Y964" i="3"/>
  <c r="E966" i="3" l="1"/>
  <c r="H966" i="3" s="1"/>
  <c r="D966" i="3"/>
  <c r="AH966" i="3"/>
  <c r="K966" i="3" l="1"/>
  <c r="AE966" i="3" s="1"/>
  <c r="F966" i="3"/>
  <c r="G966" i="3"/>
  <c r="I966" i="3" l="1"/>
  <c r="J966" i="3"/>
  <c r="M966" i="3"/>
  <c r="N966" i="3" s="1"/>
  <c r="V966" i="3"/>
  <c r="A967" i="3"/>
  <c r="B967" i="3" s="1"/>
  <c r="W966" i="3" l="1"/>
  <c r="L966" i="3"/>
  <c r="AA967" i="3"/>
  <c r="P967" i="3"/>
  <c r="Q967" i="3" s="1"/>
  <c r="R967" i="3" s="1"/>
  <c r="S967" i="3" s="1"/>
  <c r="AC967" i="3"/>
  <c r="Z967" i="3"/>
  <c r="AD967" i="3"/>
  <c r="U966" i="3" l="1"/>
  <c r="Y965" i="3"/>
  <c r="T967" i="3"/>
  <c r="E967" i="3" l="1"/>
  <c r="H967" i="3" s="1"/>
  <c r="K967" i="3" s="1"/>
  <c r="AE967" i="3" s="1"/>
  <c r="AH967" i="3"/>
  <c r="AG967" i="3"/>
  <c r="D967" i="3"/>
  <c r="V967" i="3" l="1"/>
  <c r="A968" i="3"/>
  <c r="B968" i="3" s="1"/>
  <c r="F967" i="3"/>
  <c r="G967" i="3"/>
  <c r="I967" i="3" l="1"/>
  <c r="W967" i="3" s="1"/>
  <c r="J967" i="3"/>
  <c r="M967" i="3"/>
  <c r="N967" i="3" s="1"/>
  <c r="Z968" i="3"/>
  <c r="AA968" i="3"/>
  <c r="P968" i="3"/>
  <c r="Q968" i="3" s="1"/>
  <c r="R968" i="3" s="1"/>
  <c r="S968" i="3" s="1"/>
  <c r="AC968" i="3"/>
  <c r="L967" i="3" l="1"/>
  <c r="T968" i="3"/>
  <c r="AH968" i="3" l="1"/>
  <c r="AG968" i="3"/>
  <c r="U967" i="3"/>
  <c r="E968" i="3" s="1"/>
  <c r="H968" i="3" s="1"/>
  <c r="Y966" i="3"/>
  <c r="K968" i="3" l="1"/>
  <c r="AE968" i="3" s="1"/>
  <c r="D968" i="3"/>
  <c r="V968" i="3" l="1"/>
  <c r="A969" i="3"/>
  <c r="B969" i="3" s="1"/>
  <c r="F968" i="3"/>
  <c r="G968" i="3"/>
  <c r="I968" i="3" l="1"/>
  <c r="W968" i="3" s="1"/>
  <c r="J968" i="3"/>
  <c r="AD968" i="3" s="1"/>
  <c r="M968" i="3"/>
  <c r="N968" i="3" s="1"/>
  <c r="AA969" i="3"/>
  <c r="Z969" i="3"/>
  <c r="AD969" i="3"/>
  <c r="P969" i="3"/>
  <c r="Q969" i="3" s="1"/>
  <c r="R969" i="3" s="1"/>
  <c r="S969" i="3" s="1"/>
  <c r="AC969" i="3"/>
  <c r="T969" i="3" l="1"/>
  <c r="L968" i="3"/>
  <c r="AH969" i="3" l="1"/>
  <c r="U968" i="3"/>
  <c r="D969" i="3" s="1"/>
  <c r="AG969" i="3"/>
  <c r="Y967" i="3"/>
  <c r="G969" i="3" l="1"/>
  <c r="E969" i="3"/>
  <c r="H969" i="3" s="1"/>
  <c r="F969" i="3" l="1"/>
  <c r="I969" i="3"/>
  <c r="J969" i="3"/>
  <c r="M969" i="3"/>
  <c r="N969" i="3" s="1"/>
  <c r="K969" i="3"/>
  <c r="AE969" i="3" s="1"/>
  <c r="V969" i="3" l="1"/>
  <c r="W969" i="3" s="1"/>
  <c r="A970" i="3"/>
  <c r="B970" i="3" s="1"/>
  <c r="L969" i="3"/>
  <c r="U969" i="3" l="1"/>
  <c r="Y968" i="3"/>
  <c r="AA970" i="3"/>
  <c r="P970" i="3"/>
  <c r="Q970" i="3" s="1"/>
  <c r="R970" i="3" s="1"/>
  <c r="S970" i="3" s="1"/>
  <c r="AC970" i="3"/>
  <c r="Z970" i="3"/>
  <c r="AD970" i="3"/>
  <c r="T970" i="3" l="1"/>
  <c r="E970" i="3" s="1"/>
  <c r="H970" i="3" s="1"/>
  <c r="AH970" i="3" l="1"/>
  <c r="K970" i="3"/>
  <c r="AE970" i="3" s="1"/>
  <c r="D970" i="3"/>
  <c r="AG970" i="3"/>
  <c r="V970" i="3" l="1"/>
  <c r="A971" i="3"/>
  <c r="B971" i="3" s="1"/>
  <c r="F970" i="3"/>
  <c r="G970" i="3"/>
  <c r="I970" i="3" l="1"/>
  <c r="W970" i="3" s="1"/>
  <c r="J970" i="3"/>
  <c r="M970" i="3"/>
  <c r="N970" i="3" s="1"/>
  <c r="P971" i="3"/>
  <c r="Q971" i="3" s="1"/>
  <c r="R971" i="3" s="1"/>
  <c r="S971" i="3" s="1"/>
  <c r="AD971" i="3"/>
  <c r="Z971" i="3"/>
  <c r="AC971" i="3"/>
  <c r="AA971" i="3"/>
  <c r="T971" i="3" l="1"/>
  <c r="L970" i="3"/>
  <c r="U970" i="3" l="1"/>
  <c r="E971" i="3" s="1"/>
  <c r="H971" i="3" s="1"/>
  <c r="AH971" i="3"/>
  <c r="AG971" i="3"/>
  <c r="Y969" i="3"/>
  <c r="K971" i="3" l="1"/>
  <c r="AE971" i="3" s="1"/>
  <c r="D971" i="3"/>
  <c r="V971" i="3" l="1"/>
  <c r="A972" i="3"/>
  <c r="B972" i="3" s="1"/>
  <c r="F971" i="3"/>
  <c r="G971" i="3"/>
  <c r="I971" i="3" l="1"/>
  <c r="W971" i="3" s="1"/>
  <c r="J971" i="3"/>
  <c r="M971" i="3"/>
  <c r="N971" i="3" s="1"/>
  <c r="AC972" i="3"/>
  <c r="AD972" i="3"/>
  <c r="Z972" i="3"/>
  <c r="P972" i="3"/>
  <c r="Q972" i="3" s="1"/>
  <c r="R972" i="3" s="1"/>
  <c r="S972" i="3" s="1"/>
  <c r="AA972" i="3"/>
  <c r="T972" i="3" l="1"/>
  <c r="L971" i="3"/>
  <c r="U971" i="3" l="1"/>
  <c r="D972" i="3" s="1"/>
  <c r="AH972" i="3"/>
  <c r="AG972" i="3"/>
  <c r="Y970" i="3"/>
  <c r="E972" i="3" l="1"/>
  <c r="H972" i="3" s="1"/>
  <c r="K972" i="3" s="1"/>
  <c r="AE972" i="3" s="1"/>
  <c r="G972" i="3"/>
  <c r="F972" i="3" l="1"/>
  <c r="V972" i="3"/>
  <c r="A973" i="3"/>
  <c r="B973" i="3" s="1"/>
  <c r="I972" i="3"/>
  <c r="J972" i="3"/>
  <c r="M972" i="3"/>
  <c r="N972" i="3" s="1"/>
  <c r="W972" i="3" l="1"/>
  <c r="L972" i="3"/>
  <c r="AC973" i="3"/>
  <c r="P973" i="3"/>
  <c r="Q973" i="3" s="1"/>
  <c r="R973" i="3" s="1"/>
  <c r="S973" i="3" s="1"/>
  <c r="Z973" i="3"/>
  <c r="AD973" i="3"/>
  <c r="AA973" i="3"/>
  <c r="U972" i="3" l="1"/>
  <c r="Y971" i="3"/>
  <c r="T973" i="3"/>
  <c r="AG973" i="3" s="1"/>
  <c r="D973" i="3" l="1"/>
  <c r="G973" i="3" s="1"/>
  <c r="E973" i="3"/>
  <c r="H973" i="3" s="1"/>
  <c r="K973" i="3" s="1"/>
  <c r="AE973" i="3" s="1"/>
  <c r="AH973" i="3"/>
  <c r="F973" i="3" l="1"/>
  <c r="I973" i="3"/>
  <c r="J973" i="3"/>
  <c r="M973" i="3"/>
  <c r="N973" i="3" s="1"/>
  <c r="V973" i="3"/>
  <c r="A974" i="3"/>
  <c r="B974" i="3" s="1"/>
  <c r="W973" i="3" l="1"/>
  <c r="L973" i="3"/>
  <c r="P974" i="3"/>
  <c r="Q974" i="3" s="1"/>
  <c r="R974" i="3" s="1"/>
  <c r="S974" i="3" s="1"/>
  <c r="AA974" i="3"/>
  <c r="Z974" i="3"/>
  <c r="AC974" i="3"/>
  <c r="T974" i="3" l="1"/>
  <c r="AG974" i="3" s="1"/>
  <c r="U973" i="3"/>
  <c r="Y972" i="3"/>
  <c r="AH974" i="3" l="1"/>
  <c r="E974" i="3"/>
  <c r="H974" i="3" s="1"/>
  <c r="D974" i="3"/>
  <c r="K974" i="3" l="1"/>
  <c r="AE974" i="3" s="1"/>
  <c r="F974" i="3"/>
  <c r="G974" i="3"/>
  <c r="I974" i="3" l="1"/>
  <c r="J974" i="3"/>
  <c r="AD974" i="3" s="1"/>
  <c r="M974" i="3"/>
  <c r="N974" i="3" s="1"/>
  <c r="V974" i="3"/>
  <c r="A975" i="3"/>
  <c r="B975" i="3" s="1"/>
  <c r="W974" i="3" l="1"/>
  <c r="L974" i="3"/>
  <c r="AD975" i="3"/>
  <c r="P975" i="3"/>
  <c r="Q975" i="3" s="1"/>
  <c r="R975" i="3" s="1"/>
  <c r="S975" i="3" s="1"/>
  <c r="AC975" i="3"/>
  <c r="Z975" i="3"/>
  <c r="AA975" i="3"/>
  <c r="U974" i="3" l="1"/>
  <c r="Y973" i="3"/>
  <c r="T975" i="3"/>
  <c r="D975" i="3" l="1"/>
  <c r="G975" i="3" s="1"/>
  <c r="AH975" i="3"/>
  <c r="E975" i="3"/>
  <c r="H975" i="3" s="1"/>
  <c r="K975" i="3" s="1"/>
  <c r="AE975" i="3" s="1"/>
  <c r="AG975" i="3"/>
  <c r="F975" i="3" l="1"/>
  <c r="V975" i="3"/>
  <c r="A976" i="3"/>
  <c r="B976" i="3" s="1"/>
  <c r="I975" i="3"/>
  <c r="J975" i="3"/>
  <c r="M975" i="3"/>
  <c r="N975" i="3" s="1"/>
  <c r="W975" i="3" l="1"/>
  <c r="L975" i="3"/>
  <c r="AA976" i="3"/>
  <c r="AC976" i="3"/>
  <c r="Z976" i="3"/>
  <c r="AD976" i="3"/>
  <c r="P976" i="3"/>
  <c r="Q976" i="3" s="1"/>
  <c r="R976" i="3" s="1"/>
  <c r="S976" i="3" s="1"/>
  <c r="U975" i="3" l="1"/>
  <c r="Y974" i="3"/>
  <c r="T976" i="3"/>
  <c r="AG976" i="3" s="1"/>
  <c r="AH976" i="3" l="1"/>
  <c r="E976" i="3"/>
  <c r="H976" i="3" s="1"/>
  <c r="D976" i="3"/>
  <c r="K976" i="3" l="1"/>
  <c r="AE976" i="3" s="1"/>
  <c r="F976" i="3"/>
  <c r="G976" i="3"/>
  <c r="I976" i="3" l="1"/>
  <c r="J976" i="3"/>
  <c r="M976" i="3"/>
  <c r="N976" i="3" s="1"/>
  <c r="V976" i="3"/>
  <c r="A977" i="3"/>
  <c r="B977" i="3" s="1"/>
  <c r="W976" i="3" l="1"/>
  <c r="L976" i="3"/>
  <c r="Z977" i="3"/>
  <c r="P977" i="3"/>
  <c r="Q977" i="3" s="1"/>
  <c r="R977" i="3" s="1"/>
  <c r="S977" i="3" s="1"/>
  <c r="AC977" i="3"/>
  <c r="AA977" i="3"/>
  <c r="AD977" i="3"/>
  <c r="T977" i="3" l="1"/>
  <c r="U976" i="3"/>
  <c r="Y975" i="3"/>
  <c r="E977" i="3" l="1"/>
  <c r="H977" i="3" s="1"/>
  <c r="K977" i="3" s="1"/>
  <c r="AE977" i="3" s="1"/>
  <c r="AG977" i="3"/>
  <c r="D977" i="3"/>
  <c r="G977" i="3" s="1"/>
  <c r="AH977" i="3"/>
  <c r="F977" i="3" l="1"/>
  <c r="I977" i="3"/>
  <c r="J977" i="3"/>
  <c r="M977" i="3"/>
  <c r="N977" i="3" s="1"/>
  <c r="V977" i="3"/>
  <c r="A978" i="3"/>
  <c r="B978" i="3" s="1"/>
  <c r="W977" i="3" l="1"/>
  <c r="L977" i="3"/>
  <c r="AC978" i="3"/>
  <c r="Z978" i="3"/>
  <c r="AA978" i="3"/>
  <c r="P978" i="3"/>
  <c r="Q978" i="3" s="1"/>
  <c r="R978" i="3" s="1"/>
  <c r="S978" i="3" s="1"/>
  <c r="T978" i="3" l="1"/>
  <c r="U977" i="3"/>
  <c r="Y976" i="3"/>
  <c r="D978" i="3" l="1"/>
  <c r="G978" i="3" s="1"/>
  <c r="E978" i="3"/>
  <c r="H978" i="3" s="1"/>
  <c r="K978" i="3" s="1"/>
  <c r="AE978" i="3" s="1"/>
  <c r="AH978" i="3"/>
  <c r="AG978" i="3"/>
  <c r="F978" i="3" l="1"/>
  <c r="I978" i="3"/>
  <c r="J978" i="3"/>
  <c r="AD978" i="3" s="1"/>
  <c r="M978" i="3"/>
  <c r="N978" i="3" s="1"/>
  <c r="V978" i="3"/>
  <c r="A979" i="3"/>
  <c r="B979" i="3" s="1"/>
  <c r="W978" i="3" l="1"/>
  <c r="L978" i="3"/>
  <c r="AC979" i="3"/>
  <c r="AA979" i="3"/>
  <c r="AD979" i="3"/>
  <c r="Z979" i="3"/>
  <c r="P979" i="3"/>
  <c r="Q979" i="3" s="1"/>
  <c r="R979" i="3" s="1"/>
  <c r="S979" i="3" s="1"/>
  <c r="T979" i="3" l="1"/>
  <c r="U978" i="3"/>
  <c r="Y977" i="3"/>
  <c r="D979" i="3" l="1"/>
  <c r="G979" i="3" s="1"/>
  <c r="AH979" i="3"/>
  <c r="E979" i="3"/>
  <c r="H979" i="3" s="1"/>
  <c r="K979" i="3" s="1"/>
  <c r="AE979" i="3" s="1"/>
  <c r="AG979" i="3"/>
  <c r="F979" i="3" l="1"/>
  <c r="V979" i="3"/>
  <c r="A980" i="3"/>
  <c r="B980" i="3" s="1"/>
  <c r="I979" i="3"/>
  <c r="J979" i="3"/>
  <c r="M979" i="3"/>
  <c r="N979" i="3" s="1"/>
  <c r="W979" i="3" l="1"/>
  <c r="L979" i="3"/>
  <c r="P980" i="3"/>
  <c r="Q980" i="3" s="1"/>
  <c r="R980" i="3" s="1"/>
  <c r="S980" i="3" s="1"/>
  <c r="AA980" i="3"/>
  <c r="AD980" i="3"/>
  <c r="AC980" i="3"/>
  <c r="Z980" i="3"/>
  <c r="U979" i="3" l="1"/>
  <c r="Y978" i="3"/>
  <c r="T980" i="3"/>
  <c r="AH980" i="3" s="1"/>
  <c r="D980" i="3" l="1"/>
  <c r="G980" i="3" s="1"/>
  <c r="E980" i="3"/>
  <c r="H980" i="3" s="1"/>
  <c r="K980" i="3" s="1"/>
  <c r="AE980" i="3" s="1"/>
  <c r="AG980" i="3"/>
  <c r="F980" i="3" l="1"/>
  <c r="I980" i="3"/>
  <c r="J980" i="3"/>
  <c r="M980" i="3"/>
  <c r="N980" i="3" s="1"/>
  <c r="V980" i="3"/>
  <c r="A981" i="3"/>
  <c r="B981" i="3" s="1"/>
  <c r="W980" i="3" l="1"/>
  <c r="L980" i="3"/>
  <c r="AD981" i="3"/>
  <c r="AA981" i="3"/>
  <c r="AC981" i="3"/>
  <c r="Z981" i="3"/>
  <c r="P981" i="3"/>
  <c r="Q981" i="3" s="1"/>
  <c r="R981" i="3" s="1"/>
  <c r="S981" i="3" s="1"/>
  <c r="U980" i="3" l="1"/>
  <c r="Y979" i="3"/>
  <c r="T981" i="3"/>
  <c r="AH981" i="3" s="1"/>
  <c r="D981" i="3" l="1"/>
  <c r="G981" i="3" s="1"/>
  <c r="AG981" i="3"/>
  <c r="E981" i="3"/>
  <c r="H981" i="3" s="1"/>
  <c r="F981" i="3" l="1"/>
  <c r="I981" i="3"/>
  <c r="J981" i="3"/>
  <c r="M981" i="3"/>
  <c r="N981" i="3" s="1"/>
  <c r="K981" i="3"/>
  <c r="AE981" i="3" s="1"/>
  <c r="V981" i="3" l="1"/>
  <c r="W981" i="3" s="1"/>
  <c r="A982" i="3"/>
  <c r="B982" i="3" s="1"/>
  <c r="L981" i="3"/>
  <c r="U981" i="3" l="1"/>
  <c r="Y980" i="3"/>
  <c r="P982" i="3"/>
  <c r="Q982" i="3" s="1"/>
  <c r="R982" i="3" s="1"/>
  <c r="S982" i="3" s="1"/>
  <c r="AD982" i="3"/>
  <c r="AC982" i="3"/>
  <c r="AA982" i="3"/>
  <c r="Z982" i="3"/>
  <c r="T982" i="3" l="1"/>
  <c r="E982" i="3" s="1"/>
  <c r="H982" i="3" s="1"/>
  <c r="AG982" i="3" l="1"/>
  <c r="AH982" i="3"/>
  <c r="D982" i="3"/>
  <c r="G982" i="3" s="1"/>
  <c r="K982" i="3"/>
  <c r="AE982" i="3" s="1"/>
  <c r="F982" i="3" l="1"/>
  <c r="I982" i="3"/>
  <c r="J982" i="3"/>
  <c r="M982" i="3"/>
  <c r="N982" i="3" s="1"/>
  <c r="V982" i="3"/>
  <c r="A983" i="3"/>
  <c r="B983" i="3" s="1"/>
  <c r="W982" i="3" l="1"/>
  <c r="L982" i="3"/>
  <c r="AD983" i="3"/>
  <c r="Z983" i="3"/>
  <c r="P983" i="3"/>
  <c r="Q983" i="3" s="1"/>
  <c r="R983" i="3" s="1"/>
  <c r="S983" i="3" s="1"/>
  <c r="AA983" i="3"/>
  <c r="AC983" i="3"/>
  <c r="U982" i="3" l="1"/>
  <c r="Y981" i="3"/>
  <c r="T983" i="3"/>
  <c r="AG983" i="3" s="1"/>
  <c r="E983" i="3" l="1"/>
  <c r="H983" i="3" s="1"/>
  <c r="K983" i="3" s="1"/>
  <c r="AE983" i="3" s="1"/>
  <c r="D983" i="3"/>
  <c r="AH983" i="3"/>
  <c r="F983" i="3" l="1"/>
  <c r="G983" i="3"/>
  <c r="M983" i="3" s="1"/>
  <c r="N983" i="3" s="1"/>
  <c r="V983" i="3"/>
  <c r="A984" i="3"/>
  <c r="B984" i="3" s="1"/>
  <c r="I983" i="3" l="1"/>
  <c r="W983" i="3" s="1"/>
  <c r="J983" i="3"/>
  <c r="L983" i="3" s="1"/>
  <c r="P984" i="3"/>
  <c r="Q984" i="3" s="1"/>
  <c r="R984" i="3" s="1"/>
  <c r="S984" i="3" s="1"/>
  <c r="AA984" i="3"/>
  <c r="Z984" i="3"/>
  <c r="AC984" i="3"/>
  <c r="U983" i="3" l="1"/>
  <c r="Y982" i="3"/>
  <c r="T984" i="3"/>
  <c r="E984" i="3" l="1"/>
  <c r="H984" i="3" s="1"/>
  <c r="K984" i="3" s="1"/>
  <c r="AE984" i="3" s="1"/>
  <c r="AG984" i="3"/>
  <c r="D984" i="3"/>
  <c r="AH984" i="3"/>
  <c r="F984" i="3" l="1"/>
  <c r="G984" i="3"/>
  <c r="V984" i="3"/>
  <c r="A985" i="3"/>
  <c r="B985" i="3" s="1"/>
  <c r="AA985" i="3" l="1"/>
  <c r="Z985" i="3"/>
  <c r="P985" i="3"/>
  <c r="Q985" i="3" s="1"/>
  <c r="R985" i="3" s="1"/>
  <c r="S985" i="3" s="1"/>
  <c r="AD985" i="3"/>
  <c r="AC985" i="3"/>
  <c r="I984" i="3"/>
  <c r="W984" i="3" s="1"/>
  <c r="J984" i="3"/>
  <c r="AD984" i="3" s="1"/>
  <c r="M984" i="3"/>
  <c r="N984" i="3" s="1"/>
  <c r="T985" i="3" l="1"/>
  <c r="L984" i="3"/>
  <c r="AG985" i="3" l="1"/>
  <c r="AH985" i="3"/>
  <c r="U984" i="3"/>
  <c r="D985" i="3" s="1"/>
  <c r="Y983" i="3"/>
  <c r="G985" i="3" l="1"/>
  <c r="E985" i="3"/>
  <c r="H985" i="3" s="1"/>
  <c r="I985" i="3" l="1"/>
  <c r="J985" i="3"/>
  <c r="M985" i="3"/>
  <c r="N985" i="3" s="1"/>
  <c r="F985" i="3"/>
  <c r="K985" i="3"/>
  <c r="AE985" i="3" s="1"/>
  <c r="L985" i="3" l="1"/>
  <c r="V985" i="3"/>
  <c r="W985" i="3" s="1"/>
  <c r="A986" i="3"/>
  <c r="B986" i="3" s="1"/>
  <c r="U985" i="3" l="1"/>
  <c r="Y984" i="3"/>
  <c r="AC986" i="3"/>
  <c r="P986" i="3"/>
  <c r="Q986" i="3" s="1"/>
  <c r="R986" i="3" s="1"/>
  <c r="S986" i="3" s="1"/>
  <c r="Z986" i="3"/>
  <c r="AD986" i="3"/>
  <c r="AA986" i="3"/>
  <c r="T986" i="3" l="1"/>
  <c r="E986" i="3" s="1"/>
  <c r="H986" i="3" s="1"/>
  <c r="AG986" i="3" l="1"/>
  <c r="K986" i="3"/>
  <c r="AE986" i="3" s="1"/>
  <c r="AH986" i="3"/>
  <c r="D986" i="3"/>
  <c r="F986" i="3" l="1"/>
  <c r="G986" i="3"/>
  <c r="V986" i="3"/>
  <c r="A987" i="3"/>
  <c r="B987" i="3" s="1"/>
  <c r="Z987" i="3" l="1"/>
  <c r="AC987" i="3"/>
  <c r="P987" i="3"/>
  <c r="Q987" i="3" s="1"/>
  <c r="R987" i="3" s="1"/>
  <c r="S987" i="3" s="1"/>
  <c r="AD987" i="3"/>
  <c r="AA987" i="3"/>
  <c r="I986" i="3"/>
  <c r="W986" i="3" s="1"/>
  <c r="J986" i="3"/>
  <c r="M986" i="3"/>
  <c r="N986" i="3" s="1"/>
  <c r="L986" i="3" l="1"/>
  <c r="T987" i="3"/>
  <c r="U986" i="3" l="1"/>
  <c r="E987" i="3" s="1"/>
  <c r="H987" i="3" s="1"/>
  <c r="AH987" i="3"/>
  <c r="AG987" i="3"/>
  <c r="Y985" i="3"/>
  <c r="K987" i="3" l="1"/>
  <c r="AE987" i="3" s="1"/>
  <c r="D987" i="3"/>
  <c r="V987" i="3" l="1"/>
  <c r="A988" i="3"/>
  <c r="B988" i="3" s="1"/>
  <c r="F987" i="3"/>
  <c r="G987" i="3"/>
  <c r="I987" i="3" l="1"/>
  <c r="W987" i="3" s="1"/>
  <c r="J987" i="3"/>
  <c r="M987" i="3"/>
  <c r="N987" i="3" s="1"/>
  <c r="AC988" i="3"/>
  <c r="Z988" i="3"/>
  <c r="AA988" i="3"/>
  <c r="P988" i="3"/>
  <c r="Q988" i="3" s="1"/>
  <c r="R988" i="3" s="1"/>
  <c r="S988" i="3" s="1"/>
  <c r="L987" i="3" l="1"/>
  <c r="T988" i="3"/>
  <c r="AH988" i="3" l="1"/>
  <c r="U987" i="3"/>
  <c r="E988" i="3" s="1"/>
  <c r="H988" i="3" s="1"/>
  <c r="AG988" i="3"/>
  <c r="Y986" i="3"/>
  <c r="D988" i="3" l="1"/>
  <c r="G988" i="3" s="1"/>
  <c r="K988" i="3"/>
  <c r="AE988" i="3" s="1"/>
  <c r="F988" i="3" l="1"/>
  <c r="I988" i="3"/>
  <c r="J988" i="3"/>
  <c r="AD988" i="3" s="1"/>
  <c r="M988" i="3"/>
  <c r="N988" i="3" s="1"/>
  <c r="V988" i="3"/>
  <c r="A989" i="3"/>
  <c r="B989" i="3" s="1"/>
  <c r="W988" i="3" l="1"/>
  <c r="L988" i="3"/>
  <c r="AC989" i="3"/>
  <c r="AD989" i="3"/>
  <c r="P989" i="3"/>
  <c r="Q989" i="3" s="1"/>
  <c r="R989" i="3" s="1"/>
  <c r="S989" i="3" s="1"/>
  <c r="Z989" i="3"/>
  <c r="AA989" i="3"/>
  <c r="T989" i="3" l="1"/>
  <c r="U988" i="3"/>
  <c r="Y987" i="3"/>
  <c r="D989" i="3" l="1"/>
  <c r="G989" i="3" s="1"/>
  <c r="AG989" i="3"/>
  <c r="E989" i="3"/>
  <c r="H989" i="3" s="1"/>
  <c r="AH989" i="3"/>
  <c r="F989" i="3" l="1"/>
  <c r="I989" i="3"/>
  <c r="J989" i="3"/>
  <c r="M989" i="3"/>
  <c r="N989" i="3" s="1"/>
  <c r="K989" i="3"/>
  <c r="AE989" i="3" s="1"/>
  <c r="L989" i="3" l="1"/>
  <c r="V989" i="3"/>
  <c r="W989" i="3" s="1"/>
  <c r="A990" i="3"/>
  <c r="B990" i="3" s="1"/>
  <c r="U989" i="3" l="1"/>
  <c r="Y988" i="3"/>
  <c r="AC990" i="3"/>
  <c r="AD990" i="3"/>
  <c r="AA990" i="3"/>
  <c r="Z990" i="3"/>
  <c r="P990" i="3"/>
  <c r="Q990" i="3" s="1"/>
  <c r="R990" i="3" s="1"/>
  <c r="S990" i="3" s="1"/>
  <c r="T990" i="3" l="1"/>
  <c r="E990" i="3" s="1"/>
  <c r="H990" i="3" s="1"/>
  <c r="AH990" i="3" l="1"/>
  <c r="D990" i="3"/>
  <c r="G990" i="3" s="1"/>
  <c r="AG990" i="3"/>
  <c r="K990" i="3"/>
  <c r="AE990" i="3" s="1"/>
  <c r="F990" i="3" l="1"/>
  <c r="V990" i="3"/>
  <c r="A991" i="3"/>
  <c r="B991" i="3" s="1"/>
  <c r="I990" i="3"/>
  <c r="J990" i="3"/>
  <c r="M990" i="3"/>
  <c r="N990" i="3" s="1"/>
  <c r="L990" i="3" l="1"/>
  <c r="W990" i="3"/>
  <c r="AA991" i="3"/>
  <c r="AD991" i="3"/>
  <c r="P991" i="3"/>
  <c r="Q991" i="3" s="1"/>
  <c r="R991" i="3" s="1"/>
  <c r="S991" i="3" s="1"/>
  <c r="Z991" i="3"/>
  <c r="AC991" i="3"/>
  <c r="U990" i="3" l="1"/>
  <c r="Y989" i="3"/>
  <c r="T991" i="3"/>
  <c r="D991" i="3" l="1"/>
  <c r="G991" i="3" s="1"/>
  <c r="E991" i="3"/>
  <c r="H991" i="3" s="1"/>
  <c r="K991" i="3" s="1"/>
  <c r="AE991" i="3" s="1"/>
  <c r="AG991" i="3"/>
  <c r="AH991" i="3"/>
  <c r="F991" i="3" l="1"/>
  <c r="V991" i="3"/>
  <c r="A992" i="3"/>
  <c r="B992" i="3" s="1"/>
  <c r="I991" i="3"/>
  <c r="J991" i="3"/>
  <c r="M991" i="3"/>
  <c r="N991" i="3" s="1"/>
  <c r="W991" i="3" l="1"/>
  <c r="L991" i="3"/>
  <c r="AC992" i="3"/>
  <c r="AD992" i="3"/>
  <c r="Z992" i="3"/>
  <c r="AA992" i="3"/>
  <c r="P992" i="3"/>
  <c r="Q992" i="3" s="1"/>
  <c r="R992" i="3" s="1"/>
  <c r="S992" i="3" s="1"/>
  <c r="U991" i="3" l="1"/>
  <c r="Y990" i="3"/>
  <c r="T992" i="3"/>
  <c r="AG992" i="3" s="1"/>
  <c r="D992" i="3" l="1"/>
  <c r="AH992" i="3"/>
  <c r="E992" i="3"/>
  <c r="H992" i="3" s="1"/>
  <c r="K992" i="3" s="1"/>
  <c r="AE992" i="3" s="1"/>
  <c r="F992" i="3" l="1"/>
  <c r="G992" i="3"/>
  <c r="M992" i="3" s="1"/>
  <c r="N992" i="3" s="1"/>
  <c r="V992" i="3"/>
  <c r="A993" i="3"/>
  <c r="B993" i="3" s="1"/>
  <c r="I992" i="3" l="1"/>
  <c r="W992" i="3" s="1"/>
  <c r="J992" i="3"/>
  <c r="L992" i="3" s="1"/>
  <c r="AD993" i="3"/>
  <c r="Z993" i="3"/>
  <c r="AA993" i="3"/>
  <c r="P993" i="3"/>
  <c r="Q993" i="3" s="1"/>
  <c r="R993" i="3" s="1"/>
  <c r="S993" i="3" s="1"/>
  <c r="AC993" i="3"/>
  <c r="U992" i="3" l="1"/>
  <c r="Y991" i="3"/>
  <c r="T993" i="3"/>
  <c r="AH993" i="3" s="1"/>
  <c r="D993" i="3" l="1"/>
  <c r="G993" i="3" s="1"/>
  <c r="E993" i="3"/>
  <c r="H993" i="3" s="1"/>
  <c r="K993" i="3" s="1"/>
  <c r="AE993" i="3" s="1"/>
  <c r="AG993" i="3"/>
  <c r="F993" i="3" l="1"/>
  <c r="V993" i="3"/>
  <c r="A994" i="3"/>
  <c r="B994" i="3" s="1"/>
  <c r="I993" i="3"/>
  <c r="J993" i="3"/>
  <c r="M993" i="3"/>
  <c r="N993" i="3" s="1"/>
  <c r="L993" i="3" l="1"/>
  <c r="W993" i="3"/>
  <c r="AA994" i="3"/>
  <c r="P994" i="3"/>
  <c r="Q994" i="3" s="1"/>
  <c r="R994" i="3" s="1"/>
  <c r="S994" i="3" s="1"/>
  <c r="Z994" i="3"/>
  <c r="AC994" i="3"/>
  <c r="U993" i="3" l="1"/>
  <c r="Y992" i="3"/>
  <c r="T994" i="3"/>
  <c r="AH994" i="3" s="1"/>
  <c r="E994" i="3" l="1"/>
  <c r="H994" i="3" s="1"/>
  <c r="K994" i="3" s="1"/>
  <c r="AE994" i="3" s="1"/>
  <c r="D994" i="3"/>
  <c r="AG994" i="3"/>
  <c r="F994" i="3" l="1"/>
  <c r="G994" i="3"/>
  <c r="J994" i="3" s="1"/>
  <c r="AD994" i="3" s="1"/>
  <c r="V994" i="3"/>
  <c r="A995" i="3"/>
  <c r="B995" i="3" s="1"/>
  <c r="M994" i="3" l="1"/>
  <c r="N994" i="3" s="1"/>
  <c r="I994" i="3"/>
  <c r="W994" i="3" s="1"/>
  <c r="L994" i="3"/>
  <c r="AA995" i="3"/>
  <c r="AD995" i="3"/>
  <c r="P995" i="3"/>
  <c r="Q995" i="3" s="1"/>
  <c r="R995" i="3" s="1"/>
  <c r="S995" i="3" s="1"/>
  <c r="AC995" i="3"/>
  <c r="Z995" i="3"/>
  <c r="T995" i="3" l="1"/>
  <c r="U994" i="3"/>
  <c r="Y993" i="3"/>
  <c r="D995" i="3" l="1"/>
  <c r="G995" i="3" s="1"/>
  <c r="E995" i="3"/>
  <c r="H995" i="3" s="1"/>
  <c r="K995" i="3" s="1"/>
  <c r="AE995" i="3" s="1"/>
  <c r="AH995" i="3"/>
  <c r="AG995" i="3"/>
  <c r="F995" i="3" l="1"/>
  <c r="I995" i="3"/>
  <c r="J995" i="3"/>
  <c r="M995" i="3"/>
  <c r="N995" i="3" s="1"/>
  <c r="V995" i="3"/>
  <c r="A996" i="3"/>
  <c r="B996" i="3" s="1"/>
  <c r="W995" i="3" l="1"/>
  <c r="L995" i="3"/>
  <c r="Z996" i="3"/>
  <c r="AD996" i="3"/>
  <c r="P996" i="3"/>
  <c r="Q996" i="3" s="1"/>
  <c r="R996" i="3" s="1"/>
  <c r="S996" i="3" s="1"/>
  <c r="AA996" i="3"/>
  <c r="AC996" i="3"/>
  <c r="U995" i="3" l="1"/>
  <c r="Y994" i="3"/>
  <c r="T996" i="3"/>
  <c r="D996" i="3" l="1"/>
  <c r="G996" i="3" s="1"/>
  <c r="AG996" i="3"/>
  <c r="E996" i="3"/>
  <c r="H996" i="3" s="1"/>
  <c r="K996" i="3" s="1"/>
  <c r="AE996" i="3" s="1"/>
  <c r="AH996" i="3"/>
  <c r="F996" i="3" l="1"/>
  <c r="I996" i="3"/>
  <c r="J996" i="3"/>
  <c r="M996" i="3"/>
  <c r="N996" i="3" s="1"/>
  <c r="V996" i="3"/>
  <c r="A997" i="3"/>
  <c r="B997" i="3" s="1"/>
  <c r="AD997" i="3" l="1"/>
  <c r="P997" i="3"/>
  <c r="Q997" i="3" s="1"/>
  <c r="R997" i="3" s="1"/>
  <c r="S997" i="3" s="1"/>
  <c r="Z997" i="3"/>
  <c r="AA997" i="3"/>
  <c r="AC997" i="3"/>
  <c r="L996" i="3"/>
  <c r="W996" i="3"/>
  <c r="U996" i="3" l="1"/>
  <c r="Y995" i="3"/>
  <c r="T997" i="3"/>
  <c r="AH997" i="3" s="1"/>
  <c r="AG997" i="3" l="1"/>
  <c r="D997" i="3"/>
  <c r="E997" i="3"/>
  <c r="H997" i="3" s="1"/>
  <c r="K997" i="3" s="1"/>
  <c r="AE997" i="3" s="1"/>
  <c r="F997" i="3" l="1"/>
  <c r="G997" i="3"/>
  <c r="I997" i="3" s="1"/>
  <c r="V997" i="3"/>
  <c r="A998" i="3"/>
  <c r="B998" i="3" s="1"/>
  <c r="J997" i="3" l="1"/>
  <c r="L997" i="3" s="1"/>
  <c r="M997" i="3"/>
  <c r="N997" i="3" s="1"/>
  <c r="W997" i="3"/>
  <c r="Z998" i="3"/>
  <c r="P998" i="3"/>
  <c r="Q998" i="3" s="1"/>
  <c r="R998" i="3" s="1"/>
  <c r="S998" i="3" s="1"/>
  <c r="AC998" i="3"/>
  <c r="AA998" i="3"/>
  <c r="T998" i="3" l="1"/>
  <c r="AG998" i="3" s="1"/>
  <c r="U997" i="3"/>
  <c r="Y996" i="3"/>
  <c r="E998" i="3" l="1"/>
  <c r="H998" i="3" s="1"/>
  <c r="K998" i="3" s="1"/>
  <c r="AE998" i="3" s="1"/>
  <c r="AH998" i="3"/>
  <c r="D998" i="3"/>
  <c r="V998" i="3" l="1"/>
  <c r="A999" i="3"/>
  <c r="B999" i="3" s="1"/>
  <c r="F998" i="3"/>
  <c r="G998" i="3"/>
  <c r="I998" i="3" l="1"/>
  <c r="W998" i="3" s="1"/>
  <c r="J998" i="3"/>
  <c r="AD998" i="3" s="1"/>
  <c r="M998" i="3"/>
  <c r="N998" i="3" s="1"/>
  <c r="AD999" i="3"/>
  <c r="Z999" i="3"/>
  <c r="AC999" i="3"/>
  <c r="AA999" i="3"/>
  <c r="P999" i="3"/>
  <c r="Q999" i="3" s="1"/>
  <c r="R999" i="3" s="1"/>
  <c r="S999" i="3" s="1"/>
  <c r="T999" i="3" l="1"/>
  <c r="L998" i="3"/>
  <c r="AG999" i="3" l="1"/>
  <c r="U998" i="3"/>
  <c r="D999" i="3" s="1"/>
  <c r="AH999" i="3"/>
  <c r="Y997" i="3"/>
  <c r="E999" i="3" l="1"/>
  <c r="H999" i="3" s="1"/>
  <c r="K999" i="3" s="1"/>
  <c r="AE999" i="3" s="1"/>
  <c r="G999" i="3"/>
  <c r="F999" i="3" l="1"/>
  <c r="I999" i="3"/>
  <c r="J999" i="3"/>
  <c r="M999" i="3"/>
  <c r="N999" i="3" s="1"/>
  <c r="V999" i="3"/>
  <c r="A1000" i="3"/>
  <c r="B1000" i="3" s="1"/>
  <c r="W999" i="3" l="1"/>
  <c r="L999" i="3"/>
  <c r="AC1000" i="3"/>
  <c r="AD1000" i="3"/>
  <c r="P1000" i="3"/>
  <c r="Q1000" i="3" s="1"/>
  <c r="R1000" i="3" s="1"/>
  <c r="S1000" i="3" s="1"/>
  <c r="Z1000" i="3"/>
  <c r="AA1000" i="3"/>
  <c r="U999" i="3" l="1"/>
  <c r="Y998" i="3"/>
  <c r="T1000" i="3"/>
  <c r="AG1000" i="3" s="1"/>
  <c r="D1000" i="3" l="1"/>
  <c r="G1000" i="3" s="1"/>
  <c r="AH1000" i="3"/>
  <c r="E1000" i="3"/>
  <c r="H1000" i="3" s="1"/>
  <c r="K1000" i="3" s="1"/>
  <c r="AE1000" i="3" s="1"/>
  <c r="F1000" i="3" l="1"/>
  <c r="I1000" i="3"/>
  <c r="J1000" i="3"/>
  <c r="M1000" i="3"/>
  <c r="N1000" i="3" s="1"/>
  <c r="V1000" i="3"/>
  <c r="A1001" i="3"/>
  <c r="B1001" i="3" s="1"/>
  <c r="W1000" i="3" l="1"/>
  <c r="L1000" i="3"/>
  <c r="P1001" i="3"/>
  <c r="Q1001" i="3" s="1"/>
  <c r="R1001" i="3" s="1"/>
  <c r="S1001" i="3" s="1"/>
  <c r="Z1001" i="3"/>
  <c r="AC1001" i="3"/>
  <c r="AA1001" i="3"/>
  <c r="AD1001" i="3"/>
  <c r="U1000" i="3" l="1"/>
  <c r="Y999" i="3"/>
  <c r="T1001" i="3"/>
  <c r="D1001" i="3" l="1"/>
  <c r="G1001" i="3" s="1"/>
  <c r="E1001" i="3"/>
  <c r="H1001" i="3" s="1"/>
  <c r="AG1001" i="3"/>
  <c r="AH1001" i="3"/>
  <c r="F1001" i="3" l="1"/>
  <c r="I1001" i="3"/>
  <c r="J1001" i="3"/>
  <c r="M1001" i="3"/>
  <c r="N1001" i="3" s="1"/>
  <c r="K1001" i="3"/>
  <c r="AE1001" i="3" s="1"/>
  <c r="V1001" i="3" l="1"/>
  <c r="W1001" i="3" s="1"/>
  <c r="A1002" i="3"/>
  <c r="B1002" i="3" s="1"/>
  <c r="L1001" i="3"/>
  <c r="U1001" i="3" l="1"/>
  <c r="Y1000" i="3"/>
  <c r="AD1002" i="3"/>
  <c r="AA1002" i="3"/>
  <c r="Z1002" i="3"/>
  <c r="AC1002" i="3"/>
  <c r="P1002" i="3"/>
  <c r="Q1002" i="3" s="1"/>
  <c r="R1002" i="3" s="1"/>
  <c r="S1002" i="3" s="1"/>
  <c r="T1002" i="3" l="1"/>
  <c r="AG1002" i="3" s="1"/>
  <c r="AH1002" i="3" l="1"/>
  <c r="D1002" i="3"/>
  <c r="G1002" i="3" s="1"/>
  <c r="E1002" i="3"/>
  <c r="H1002" i="3" s="1"/>
  <c r="K1002" i="3" s="1"/>
  <c r="AE1002" i="3" s="1"/>
  <c r="F1002" i="3" l="1"/>
  <c r="I1002" i="3"/>
  <c r="J1002" i="3"/>
  <c r="M1002" i="3"/>
  <c r="N1002" i="3" s="1"/>
  <c r="V1002" i="3"/>
  <c r="A1003" i="3"/>
  <c r="B1003" i="3" s="1"/>
  <c r="W1002" i="3" l="1"/>
  <c r="L1002" i="3"/>
  <c r="AC1003" i="3"/>
  <c r="P1003" i="3"/>
  <c r="Q1003" i="3" s="1"/>
  <c r="R1003" i="3" s="1"/>
  <c r="S1003" i="3" s="1"/>
  <c r="AA1003" i="3"/>
  <c r="Z1003" i="3"/>
  <c r="AD1003" i="3"/>
  <c r="T1003" i="3" l="1"/>
  <c r="AH1003" i="3" s="1"/>
  <c r="U1002" i="3"/>
  <c r="Y1001" i="3"/>
  <c r="D1003" i="3" l="1"/>
  <c r="G1003" i="3" s="1"/>
  <c r="E1003" i="3"/>
  <c r="H1003" i="3" s="1"/>
  <c r="K1003" i="3" s="1"/>
  <c r="AE1003" i="3" s="1"/>
  <c r="AG1003" i="3"/>
  <c r="F1003" i="3" l="1"/>
  <c r="I1003" i="3"/>
  <c r="J1003" i="3"/>
  <c r="M1003" i="3"/>
  <c r="N1003" i="3" s="1"/>
  <c r="V1003" i="3"/>
  <c r="A1004" i="3"/>
  <c r="B1004" i="3" s="1"/>
  <c r="W1003" i="3" l="1"/>
  <c r="L1003" i="3"/>
  <c r="P1004" i="3"/>
  <c r="Q1004" i="3" s="1"/>
  <c r="R1004" i="3" s="1"/>
  <c r="S1004" i="3" s="1"/>
  <c r="T1004" i="3" s="1"/>
  <c r="AA1004" i="3"/>
  <c r="Z1004" i="3"/>
  <c r="AC1004" i="3"/>
  <c r="AG1004" i="3" l="1"/>
  <c r="AH1004" i="3"/>
  <c r="U1003" i="3"/>
  <c r="D1004" i="3" s="1"/>
  <c r="Y1002" i="3"/>
  <c r="J50" i="1"/>
  <c r="L50" i="1"/>
  <c r="I50" i="1"/>
  <c r="J26" i="1"/>
  <c r="K50" i="1"/>
  <c r="M50" i="1"/>
  <c r="K26" i="1"/>
  <c r="I26" i="1"/>
  <c r="K28" i="1"/>
  <c r="I48" i="1"/>
  <c r="L48" i="1"/>
  <c r="M48" i="1"/>
  <c r="K48" i="1"/>
  <c r="J48" i="1"/>
  <c r="I28" i="1"/>
  <c r="J28" i="1"/>
  <c r="E1004" i="3" l="1"/>
  <c r="H1004" i="3" s="1"/>
  <c r="K1004" i="3" s="1"/>
  <c r="AE1004" i="3" s="1"/>
  <c r="C125" i="1"/>
  <c r="C158" i="1"/>
  <c r="C33" i="1"/>
  <c r="C129" i="1"/>
  <c r="C124" i="1"/>
  <c r="C127" i="1"/>
  <c r="C35" i="1"/>
  <c r="J49" i="1" s="1"/>
  <c r="C132" i="1"/>
  <c r="C133" i="1" s="1"/>
  <c r="M26" i="1"/>
  <c r="I72" i="7"/>
  <c r="I73" i="7" s="1"/>
  <c r="I70" i="7"/>
  <c r="G1004" i="3"/>
  <c r="B129" i="1"/>
  <c r="B124" i="1"/>
  <c r="B128" i="1"/>
  <c r="D158" i="1"/>
  <c r="B125" i="1"/>
  <c r="B127" i="1"/>
  <c r="B130" i="1"/>
  <c r="B126" i="1"/>
  <c r="D33" i="1"/>
  <c r="D35" i="1"/>
  <c r="J51" i="1" s="1"/>
  <c r="C149" i="1"/>
  <c r="C150" i="1" s="1"/>
  <c r="C141" i="1"/>
  <c r="C144" i="1"/>
  <c r="C146" i="1"/>
  <c r="C142" i="1"/>
  <c r="B141" i="1"/>
  <c r="B144" i="1"/>
  <c r="B143" i="1"/>
  <c r="B147" i="1"/>
  <c r="B145" i="1"/>
  <c r="B142" i="1"/>
  <c r="B146" i="1"/>
  <c r="M28" i="1"/>
  <c r="H72" i="7"/>
  <c r="H73" i="7" s="1"/>
  <c r="H70" i="7"/>
  <c r="F1004" i="3" l="1"/>
  <c r="L25" i="1" s="1"/>
  <c r="H51" i="1"/>
  <c r="D34" i="1"/>
  <c r="L44" i="1"/>
  <c r="I1004" i="3"/>
  <c r="J1004" i="3"/>
  <c r="M1004" i="3"/>
  <c r="N1004" i="3" s="1"/>
  <c r="E31" i="7"/>
  <c r="H49" i="1"/>
  <c r="C34" i="1"/>
  <c r="V1004" i="3"/>
  <c r="L1004" i="3" l="1"/>
  <c r="Y1004" i="3" s="1"/>
  <c r="AD1004" i="3"/>
  <c r="W1004" i="3"/>
  <c r="B136" i="1"/>
  <c r="B138" i="1"/>
  <c r="B134" i="1"/>
  <c r="B133" i="1" s="1"/>
  <c r="F137" i="1"/>
  <c r="F138" i="1"/>
  <c r="C136" i="1"/>
  <c r="C138" i="1"/>
  <c r="K25" i="1"/>
  <c r="K44" i="1"/>
  <c r="B151" i="1"/>
  <c r="B150" i="1" s="1"/>
  <c r="B155" i="1"/>
  <c r="B153" i="1"/>
  <c r="H117" i="7"/>
  <c r="E62" i="7"/>
  <c r="F62" i="7" s="1"/>
  <c r="E120" i="7"/>
  <c r="F120" i="7" s="1"/>
  <c r="E119" i="7"/>
  <c r="F119" i="7" s="1"/>
  <c r="E133" i="7"/>
  <c r="E63" i="7"/>
  <c r="F63" i="7" s="1"/>
  <c r="H59" i="7"/>
  <c r="L31" i="7"/>
  <c r="E65" i="7"/>
  <c r="F65" i="7" s="1"/>
  <c r="Y1003" i="3" l="1"/>
  <c r="M43" i="1" s="1"/>
  <c r="U1004" i="3"/>
  <c r="J45" i="1"/>
  <c r="I43" i="1"/>
  <c r="K43" i="1"/>
  <c r="H27" i="1"/>
  <c r="J31" i="7" s="1"/>
  <c r="L45" i="1"/>
  <c r="M45" i="1"/>
  <c r="K45" i="1"/>
  <c r="H45" i="1"/>
  <c r="I46" i="1"/>
  <c r="H46" i="1"/>
  <c r="J27" i="1"/>
  <c r="D164" i="1" s="1"/>
  <c r="M46" i="1"/>
  <c r="K27" i="1"/>
  <c r="K31" i="7" s="1"/>
  <c r="K24" i="1"/>
  <c r="S26" i="6" s="1"/>
  <c r="L43" i="1"/>
  <c r="L46" i="1"/>
  <c r="I27" i="1"/>
  <c r="B164" i="1" s="1"/>
  <c r="J43" i="1"/>
  <c r="I45" i="1"/>
  <c r="J46" i="1"/>
  <c r="H29" i="1"/>
  <c r="F155" i="1" s="1"/>
  <c r="M31" i="7"/>
  <c r="E121" i="7"/>
  <c r="F121" i="7" s="1"/>
  <c r="H116" i="7"/>
  <c r="H58" i="7"/>
  <c r="E64" i="7"/>
  <c r="F64" i="7" s="1"/>
  <c r="H55" i="7" l="1"/>
  <c r="H112" i="7"/>
  <c r="H53" i="7"/>
  <c r="P32" i="1"/>
  <c r="P33" i="1"/>
  <c r="I67" i="7"/>
  <c r="H43" i="1"/>
  <c r="K46" i="1"/>
  <c r="H47" i="1"/>
  <c r="M47" i="1"/>
  <c r="L47" i="1"/>
  <c r="K47" i="1"/>
  <c r="K29" i="1" s="1"/>
  <c r="M29" i="1" s="1"/>
  <c r="J47" i="1"/>
  <c r="J29" i="1"/>
  <c r="P31" i="1"/>
  <c r="F197" i="1"/>
  <c r="F194" i="1"/>
  <c r="F175" i="1"/>
  <c r="D189" i="1"/>
  <c r="F165" i="1"/>
  <c r="F167" i="1"/>
  <c r="D169" i="1"/>
  <c r="D195" i="1"/>
  <c r="D197" i="1"/>
  <c r="D199" i="1"/>
  <c r="D176" i="1"/>
  <c r="D171" i="1"/>
  <c r="D200" i="1"/>
  <c r="D162" i="1"/>
  <c r="D188" i="1"/>
  <c r="F198" i="1"/>
  <c r="D168" i="1"/>
  <c r="D194" i="1"/>
  <c r="F187" i="1"/>
  <c r="F166" i="1"/>
  <c r="F174" i="1"/>
  <c r="F188" i="1"/>
  <c r="F172" i="1"/>
  <c r="F173" i="1"/>
  <c r="D167" i="1"/>
  <c r="F22" i="1"/>
  <c r="D180" i="1"/>
  <c r="F201" i="1"/>
  <c r="D163" i="1"/>
  <c r="F200" i="1"/>
  <c r="D165" i="1"/>
  <c r="D173" i="1"/>
  <c r="D184" i="1"/>
  <c r="F168" i="1"/>
  <c r="F169" i="1"/>
  <c r="D193" i="1"/>
  <c r="F186" i="1"/>
  <c r="F170" i="1"/>
  <c r="H44" i="7"/>
  <c r="D174" i="1"/>
  <c r="D172" i="1"/>
  <c r="F176" i="1"/>
  <c r="D182" i="1"/>
  <c r="D192" i="1"/>
  <c r="D186" i="1"/>
  <c r="F164" i="1"/>
  <c r="F199" i="1"/>
  <c r="D196" i="1"/>
  <c r="F183" i="1"/>
  <c r="D191" i="1"/>
  <c r="F189" i="1"/>
  <c r="F163" i="1"/>
  <c r="F177" i="1"/>
  <c r="D166" i="1"/>
  <c r="D187" i="1"/>
  <c r="D198" i="1"/>
  <c r="F195" i="1"/>
  <c r="H11" i="7"/>
  <c r="F185" i="1"/>
  <c r="D183" i="1"/>
  <c r="F190" i="1"/>
  <c r="F184" i="1"/>
  <c r="F191" i="1"/>
  <c r="F182" i="1"/>
  <c r="D181" i="1"/>
  <c r="D185" i="1"/>
  <c r="F196" i="1"/>
  <c r="D177" i="1"/>
  <c r="F193" i="1"/>
  <c r="F171" i="1"/>
  <c r="D190" i="1"/>
  <c r="F192" i="1"/>
  <c r="D175" i="1"/>
  <c r="F178" i="1"/>
  <c r="F181" i="1"/>
  <c r="D170" i="1"/>
  <c r="B172" i="1"/>
  <c r="B182" i="1"/>
  <c r="B171" i="1"/>
  <c r="B187" i="1"/>
  <c r="B165" i="1"/>
  <c r="B176" i="1"/>
  <c r="B167" i="1"/>
  <c r="B175" i="1"/>
  <c r="B173" i="1"/>
  <c r="B185" i="1"/>
  <c r="H113" i="7"/>
  <c r="B181" i="1"/>
  <c r="B200" i="1"/>
  <c r="B189" i="1"/>
  <c r="B166" i="1"/>
  <c r="B186" i="1"/>
  <c r="B169" i="1"/>
  <c r="H114" i="7"/>
  <c r="B199" i="1"/>
  <c r="B198" i="1"/>
  <c r="B180" i="1"/>
  <c r="B192" i="1"/>
  <c r="C159" i="1"/>
  <c r="B193" i="1"/>
  <c r="E128" i="7"/>
  <c r="F128" i="7" s="1"/>
  <c r="B195" i="1"/>
  <c r="B174" i="1"/>
  <c r="B183" i="1"/>
  <c r="B191" i="1"/>
  <c r="B194" i="1"/>
  <c r="B177" i="1"/>
  <c r="B184" i="1"/>
  <c r="B196" i="1"/>
  <c r="F136" i="1"/>
  <c r="C137" i="1" s="1"/>
  <c r="B190" i="1"/>
  <c r="B163" i="1"/>
  <c r="B170" i="1"/>
  <c r="B197" i="1"/>
  <c r="H31" i="7"/>
  <c r="B162" i="1"/>
  <c r="B168" i="1"/>
  <c r="H54" i="7"/>
  <c r="B188" i="1"/>
  <c r="B159" i="1"/>
  <c r="H57" i="7"/>
  <c r="F154" i="1"/>
  <c r="B152" i="1" l="1"/>
  <c r="H115" i="7"/>
  <c r="S25" i="6"/>
  <c r="D31" i="7"/>
  <c r="D159" i="1"/>
  <c r="H19" i="7"/>
  <c r="C121" i="1"/>
  <c r="P30" i="1"/>
  <c r="B121" i="1"/>
  <c r="H56" i="7"/>
  <c r="E129" i="7"/>
  <c r="F129" i="7" s="1"/>
  <c r="B154" i="1"/>
  <c r="C135" i="1"/>
  <c r="C154" i="1"/>
  <c r="C152" i="1"/>
  <c r="B135" i="1"/>
  <c r="B137" i="1"/>
  <c r="C10"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M363040</author>
    <author>Léo Côme</author>
    <author>collectif</author>
  </authors>
  <commentList>
    <comment ref="M5" authorId="0" shapeId="0" xr:uid="{00000000-0006-0000-0000-000001000000}">
      <text>
        <r>
          <rPr>
            <sz val="8"/>
            <color indexed="8"/>
            <rFont val="Tahoma"/>
            <family val="2"/>
          </rPr>
          <t xml:space="preserve">Définir les propriétés du 1er changement de diamètre.
Laisser cette colonne vide si la fusée n'a pas de Jupe ou Rétreint.
</t>
        </r>
        <r>
          <rPr>
            <i/>
            <sz val="8"/>
            <color indexed="8"/>
            <rFont val="Tahoma"/>
            <family val="2"/>
          </rPr>
          <t>Set properties of the 1st diameter transition.
Leave this column blank if no skirt/shrink on the rocket.</t>
        </r>
      </text>
    </comment>
    <comment ref="O5" authorId="0" shapeId="0" xr:uid="{00000000-0006-0000-0000-000002000000}">
      <text>
        <r>
          <rPr>
            <sz val="8"/>
            <color indexed="8"/>
            <rFont val="Tahoma"/>
            <family val="2"/>
          </rPr>
          <t xml:space="preserve">Définir les propriétés du 2e changement de diamètre.
Laisser cette colonne vide si la fusée n'a pas de 2e Jupe ou Rétreint.
</t>
        </r>
        <r>
          <rPr>
            <i/>
            <sz val="8"/>
            <color indexed="8"/>
            <rFont val="Tahoma"/>
            <family val="2"/>
          </rPr>
          <t>Set properties of the 2nd diameter transition.
Leave this column blank if no 2nd skirt/shrink on the rocket.</t>
        </r>
      </text>
    </comment>
    <comment ref="L6" authorId="1" shapeId="0" xr:uid="{00000000-0006-0000-0000-000003000000}">
      <text>
        <r>
          <rPr>
            <b/>
            <sz val="8"/>
            <color indexed="8"/>
            <rFont val="Tahoma"/>
            <family val="2"/>
          </rPr>
          <t>Hauteur</t>
        </r>
        <r>
          <rPr>
            <sz val="8"/>
            <color indexed="8"/>
            <rFont val="Tahoma"/>
            <family val="2"/>
          </rPr>
          <t xml:space="preserve"> du changement de diamètre (cf. schéma sur fond bleu).
</t>
        </r>
        <r>
          <rPr>
            <i/>
            <sz val="8"/>
            <color indexed="8"/>
            <rFont val="Tahoma"/>
            <family val="2"/>
          </rPr>
          <t>Height of the tronconical transition (cf. blue schematic).</t>
        </r>
      </text>
    </comment>
    <comment ref="L7" authorId="1" shapeId="0" xr:uid="{00000000-0006-0000-0000-000004000000}">
      <text>
        <r>
          <rPr>
            <sz val="8"/>
            <color indexed="8"/>
            <rFont val="Tahoma"/>
            <family val="2"/>
          </rPr>
          <t xml:space="preserve">Diamètre de la partie située </t>
        </r>
        <r>
          <rPr>
            <b/>
            <sz val="8"/>
            <color indexed="8"/>
            <rFont val="Tahoma"/>
            <family val="2"/>
          </rPr>
          <t>au dessus</t>
        </r>
        <r>
          <rPr>
            <sz val="8"/>
            <color indexed="8"/>
            <rFont val="Tahoma"/>
            <family val="2"/>
          </rPr>
          <t xml:space="preserve"> du changement de diamètre.
</t>
        </r>
        <r>
          <rPr>
            <i/>
            <sz val="8"/>
            <color indexed="8"/>
            <rFont val="Tahoma"/>
            <family val="2"/>
          </rPr>
          <t>Upper Diameter (cf. blue schematic).</t>
        </r>
      </text>
    </comment>
    <comment ref="L8" authorId="1" shapeId="0" xr:uid="{00000000-0006-0000-0000-000005000000}">
      <text>
        <r>
          <rPr>
            <sz val="8"/>
            <color indexed="8"/>
            <rFont val="Tahoma"/>
            <family val="2"/>
          </rPr>
          <t xml:space="preserve">Diamètre de la partie située </t>
        </r>
        <r>
          <rPr>
            <b/>
            <sz val="8"/>
            <color indexed="8"/>
            <rFont val="Tahoma"/>
            <family val="2"/>
          </rPr>
          <t>en dessous</t>
        </r>
        <r>
          <rPr>
            <sz val="8"/>
            <color indexed="8"/>
            <rFont val="Tahoma"/>
            <family val="2"/>
          </rPr>
          <t xml:space="preserve"> du changement de diamètre.
</t>
        </r>
        <r>
          <rPr>
            <i/>
            <sz val="8"/>
            <color indexed="8"/>
            <rFont val="Tahoma"/>
            <family val="2"/>
          </rPr>
          <t>Lower Diameter (cf. blue schematic).</t>
        </r>
      </text>
    </comment>
    <comment ref="L9" authorId="0" shapeId="0" xr:uid="{00000000-0006-0000-0000-000006000000}">
      <text>
        <r>
          <rPr>
            <sz val="8"/>
            <color indexed="8"/>
            <rFont val="Tahoma"/>
            <family val="2"/>
          </rPr>
          <t xml:space="preserve">Distance entre la pointe de l'ogive et le haut du changement de diamètre.
</t>
        </r>
        <r>
          <rPr>
            <i/>
            <sz val="8"/>
            <color indexed="8"/>
            <rFont val="Tahoma"/>
            <family val="2"/>
          </rPr>
          <t>Distance betwenn the tip of the nose cone and the top of the skirt/shrink.</t>
        </r>
      </text>
    </comment>
    <comment ref="S12" authorId="0" shapeId="0" xr:uid="{00000000-0006-0000-0000-000008000000}">
      <text>
        <r>
          <rPr>
            <sz val="8"/>
            <color indexed="8"/>
            <rFont val="Tahoma"/>
            <family val="2"/>
          </rPr>
          <t xml:space="preserve">Distance entre la pointe de l'ogive et le </t>
        </r>
        <r>
          <rPr>
            <b/>
            <sz val="8"/>
            <color indexed="8"/>
            <rFont val="Tahoma"/>
            <family val="2"/>
          </rPr>
          <t>haut</t>
        </r>
        <r>
          <rPr>
            <sz val="8"/>
            <color indexed="8"/>
            <rFont val="Tahoma"/>
            <family val="2"/>
          </rPr>
          <t xml:space="preserve"> du propulseur (hors ergot).
</t>
        </r>
        <r>
          <rPr>
            <i/>
            <sz val="8"/>
            <color indexed="8"/>
            <rFont val="Tahoma"/>
            <family val="2"/>
          </rPr>
          <t xml:space="preserve">Distance between the tip of the nose cone and the </t>
        </r>
        <r>
          <rPr>
            <b/>
            <i/>
            <sz val="8"/>
            <color indexed="8"/>
            <rFont val="Tahoma"/>
            <family val="2"/>
          </rPr>
          <t xml:space="preserve">top </t>
        </r>
        <r>
          <rPr>
            <i/>
            <sz val="8"/>
            <color indexed="8"/>
            <rFont val="Tahoma"/>
            <family val="2"/>
          </rPr>
          <t>of the motor.</t>
        </r>
      </text>
    </comment>
    <comment ref="B13" authorId="0" shapeId="0" xr:uid="{00000000-0006-0000-0000-000007000000}">
      <text>
        <r>
          <rPr>
            <sz val="8"/>
            <color indexed="8"/>
            <rFont val="Tahoma"/>
            <family val="2"/>
          </rPr>
          <t xml:space="preserve">Position du </t>
        </r>
        <r>
          <rPr>
            <b/>
            <sz val="8"/>
            <color indexed="8"/>
            <rFont val="Tahoma"/>
            <family val="2"/>
          </rPr>
          <t>Centre de Masse</t>
        </r>
        <r>
          <rPr>
            <sz val="8"/>
            <color indexed="8"/>
            <rFont val="Tahoma"/>
            <family val="2"/>
          </rPr>
          <t xml:space="preserve"> (CdG) par rapport à la pointe de l'ogive,
à mesurer ou estimer sur votre fusée.
</t>
        </r>
        <r>
          <rPr>
            <i/>
            <sz val="8"/>
            <color indexed="8"/>
            <rFont val="Tahoma"/>
            <family val="2"/>
          </rPr>
          <t>Position of Center of Mass (CoG) from the top of the nose cone.</t>
        </r>
      </text>
    </comment>
    <comment ref="L13" authorId="1" shapeId="0" xr:uid="{00000000-0006-0000-0000-00000A000000}">
      <text>
        <r>
          <rPr>
            <sz val="8"/>
            <color indexed="8"/>
            <rFont val="Tahoma"/>
            <family val="2"/>
          </rPr>
          <t xml:space="preserve">Centre de Masse du propulseur par rapport au haut du propulseur.
</t>
        </r>
        <r>
          <rPr>
            <i/>
            <sz val="8"/>
            <color indexed="8"/>
            <rFont val="Tahoma"/>
            <family val="2"/>
          </rPr>
          <t>Motor Center of Mass, mesured from top of motor.</t>
        </r>
      </text>
    </comment>
    <comment ref="B14" authorId="0" shapeId="0" xr:uid="{00000000-0006-0000-0000-000009000000}">
      <text>
        <r>
          <rPr>
            <sz val="8"/>
            <color indexed="8"/>
            <rFont val="Tahoma"/>
            <family val="2"/>
          </rPr>
          <t xml:space="preserve">Longueur totale du fuselage avec l'ogive,
hors propu hors antenne hors ailerons.
</t>
        </r>
        <r>
          <rPr>
            <i/>
            <sz val="8"/>
            <color indexed="8"/>
            <rFont val="Tahoma"/>
            <family val="2"/>
          </rPr>
          <t>Total length of the body including nose cone.</t>
        </r>
      </text>
    </comment>
    <comment ref="S14" authorId="0" shapeId="0" xr:uid="{00000000-0006-0000-0000-00000C000000}">
      <text>
        <r>
          <rPr>
            <sz val="8"/>
            <color indexed="8"/>
            <rFont val="Tahoma"/>
            <family val="2"/>
          </rPr>
          <t xml:space="preserve">Distance entre la pointe de l'ogive et le </t>
        </r>
        <r>
          <rPr>
            <b/>
            <sz val="8"/>
            <color indexed="8"/>
            <rFont val="Tahoma"/>
            <family val="2"/>
          </rPr>
          <t>bas</t>
        </r>
        <r>
          <rPr>
            <sz val="8"/>
            <color indexed="8"/>
            <rFont val="Tahoma"/>
            <family val="2"/>
          </rPr>
          <t xml:space="preserve"> du propulseur (hors tuyère).
</t>
        </r>
        <r>
          <rPr>
            <i/>
            <sz val="8"/>
            <color indexed="8"/>
            <rFont val="Tahoma"/>
            <family val="2"/>
          </rPr>
          <t xml:space="preserve">Distance between the tip of the nose cone and the </t>
        </r>
        <r>
          <rPr>
            <b/>
            <i/>
            <sz val="8"/>
            <color indexed="8"/>
            <rFont val="Tahoma"/>
            <family val="2"/>
          </rPr>
          <t>bottom</t>
        </r>
        <r>
          <rPr>
            <i/>
            <sz val="8"/>
            <color indexed="8"/>
            <rFont val="Tahoma"/>
            <family val="2"/>
          </rPr>
          <t xml:space="preserve"> of the motor.</t>
        </r>
      </text>
    </comment>
    <comment ref="B15" authorId="0" shapeId="0" xr:uid="{00000000-0006-0000-0000-00000B000000}">
      <text>
        <r>
          <rPr>
            <sz val="8"/>
            <color indexed="8"/>
            <rFont val="Tahoma"/>
            <family val="2"/>
          </rPr>
          <t xml:space="preserve">Diamètre de référence, utilisé pour calculer : Cnα, Finesse, Marge Statique.
Par défaut D_réf = D_ogive ; on peux écraser avec le diamètre "principal".
</t>
        </r>
        <r>
          <rPr>
            <i/>
            <sz val="8"/>
            <color indexed="8"/>
            <rFont val="Tahoma"/>
            <family val="2"/>
          </rPr>
          <t>Reference Diameter, used to compute: Cnα, Finesse, Static Margin.
By default D_ref = D_ogive ; one can overwrtie with the "main" diameter.</t>
        </r>
      </text>
    </comment>
    <comment ref="L15" authorId="1" shapeId="0" xr:uid="{00000000-0006-0000-0000-00000D000000}">
      <text>
        <r>
          <rPr>
            <sz val="8"/>
            <color indexed="8"/>
            <rFont val="Tahoma"/>
            <family val="2"/>
          </rPr>
          <t xml:space="preserve">Les positions des </t>
        </r>
        <r>
          <rPr>
            <sz val="8"/>
            <color indexed="12"/>
            <rFont val="Tahoma"/>
            <family val="2"/>
          </rPr>
          <t>Centres de Masse</t>
        </r>
        <r>
          <rPr>
            <sz val="8"/>
            <color indexed="8"/>
            <rFont val="Tahoma"/>
            <family val="2"/>
          </rPr>
          <t xml:space="preserve"> de la fusée avec propulseur plein et vide
sont représentées sur le schéma de la fusée par un </t>
        </r>
        <r>
          <rPr>
            <sz val="8"/>
            <color indexed="12"/>
            <rFont val="Tahoma"/>
            <family val="2"/>
          </rPr>
          <t>segment vertical bleu</t>
        </r>
        <r>
          <rPr>
            <sz val="8"/>
            <color indexed="8"/>
            <rFont val="Tahoma"/>
            <family val="2"/>
          </rPr>
          <t xml:space="preserve">.
</t>
        </r>
        <r>
          <rPr>
            <i/>
            <sz val="8"/>
            <color indexed="8"/>
            <rFont val="Tahoma"/>
            <family val="2"/>
          </rPr>
          <t xml:space="preserve">Rocket Center of Mass are shown whith a </t>
        </r>
        <r>
          <rPr>
            <i/>
            <sz val="8"/>
            <color indexed="12"/>
            <rFont val="Tahoma"/>
            <family val="2"/>
          </rPr>
          <t>blue segment</t>
        </r>
        <r>
          <rPr>
            <i/>
            <sz val="8"/>
            <color indexed="8"/>
            <rFont val="Tahoma"/>
            <family val="2"/>
          </rPr>
          <t xml:space="preserve"> in Rocket schematic.</t>
        </r>
      </text>
    </comment>
    <comment ref="S17" authorId="0" shapeId="0" xr:uid="{00000000-0006-0000-0000-00000E000000}">
      <text>
        <r>
          <rPr>
            <sz val="8"/>
            <color indexed="8"/>
            <rFont val="Tahoma"/>
            <family val="2"/>
          </rPr>
          <t xml:space="preserve">Distance entre la pointe de l'ogive et le point </t>
        </r>
        <r>
          <rPr>
            <b/>
            <sz val="8"/>
            <color indexed="8"/>
            <rFont val="Tahoma"/>
            <family val="2"/>
          </rPr>
          <t>supérieur</t>
        </r>
        <r>
          <rPr>
            <sz val="8"/>
            <color indexed="8"/>
            <rFont val="Tahoma"/>
            <family val="2"/>
          </rPr>
          <t xml:space="preserve"> de l'encastrement des ailerons.
</t>
        </r>
        <r>
          <rPr>
            <i/>
            <sz val="8"/>
            <color indexed="8"/>
            <rFont val="Tahoma"/>
            <family val="2"/>
          </rPr>
          <t xml:space="preserve">Distance between the tip of the nose and the </t>
        </r>
        <r>
          <rPr>
            <b/>
            <i/>
            <sz val="8"/>
            <color indexed="8"/>
            <rFont val="Tahoma"/>
            <family val="2"/>
          </rPr>
          <t>upper</t>
        </r>
        <r>
          <rPr>
            <i/>
            <sz val="8"/>
            <color indexed="8"/>
            <rFont val="Tahoma"/>
            <family val="2"/>
          </rPr>
          <t xml:space="preserve"> point of fins attachment on the rocket.</t>
        </r>
      </text>
    </comment>
    <comment ref="S18" authorId="1" shapeId="0" xr:uid="{00000000-0006-0000-0000-000010000000}">
      <text>
        <r>
          <rPr>
            <sz val="8"/>
            <color indexed="8"/>
            <rFont val="Tahoma"/>
            <family val="2"/>
          </rPr>
          <t>Longueur de l'</t>
        </r>
        <r>
          <rPr>
            <b/>
            <sz val="8"/>
            <color indexed="8"/>
            <rFont val="Tahoma"/>
            <family val="2"/>
          </rPr>
          <t>e</t>
        </r>
        <r>
          <rPr>
            <b/>
            <u/>
            <sz val="8"/>
            <color indexed="8"/>
            <rFont val="Tahoma"/>
            <family val="2"/>
          </rPr>
          <t>m</t>
        </r>
        <r>
          <rPr>
            <b/>
            <sz val="8"/>
            <color indexed="8"/>
            <rFont val="Tahoma"/>
            <family val="2"/>
          </rPr>
          <t>planture</t>
        </r>
        <r>
          <rPr>
            <sz val="8"/>
            <color indexed="8"/>
            <rFont val="Tahoma"/>
            <family val="2"/>
          </rPr>
          <t xml:space="preserve"> d'un aileron.
</t>
        </r>
        <r>
          <rPr>
            <i/>
            <sz val="8"/>
            <color indexed="8"/>
            <rFont val="Tahoma"/>
            <family val="2"/>
          </rPr>
          <t>Root edge length of one fin.</t>
        </r>
      </text>
    </comment>
    <comment ref="B19" authorId="0" shapeId="0" xr:uid="{00000000-0006-0000-0000-00000F000000}">
      <text>
        <r>
          <rPr>
            <sz val="8"/>
            <color indexed="8"/>
            <rFont val="Tahoma"/>
            <family val="2"/>
          </rPr>
          <t xml:space="preserve">Distance entre la pointe de l'ogive et le </t>
        </r>
        <r>
          <rPr>
            <b/>
            <sz val="8"/>
            <color indexed="8"/>
            <rFont val="Tahoma"/>
            <family val="2"/>
          </rPr>
          <t>bas</t>
        </r>
        <r>
          <rPr>
            <sz val="8"/>
            <color indexed="8"/>
            <rFont val="Tahoma"/>
            <family val="2"/>
          </rPr>
          <t xml:space="preserve"> du propulseur (hors tuyère).
</t>
        </r>
        <r>
          <rPr>
            <i/>
            <sz val="8"/>
            <color indexed="8"/>
            <rFont val="Tahoma"/>
            <family val="2"/>
          </rPr>
          <t xml:space="preserve">Distance between the tip of the nose cone and the </t>
        </r>
        <r>
          <rPr>
            <b/>
            <i/>
            <sz val="8"/>
            <color indexed="8"/>
            <rFont val="Tahoma"/>
            <family val="2"/>
          </rPr>
          <t>bottom</t>
        </r>
        <r>
          <rPr>
            <i/>
            <sz val="8"/>
            <color indexed="8"/>
            <rFont val="Tahoma"/>
            <family val="2"/>
          </rPr>
          <t xml:space="preserve"> of the motor.</t>
        </r>
      </text>
    </comment>
    <comment ref="S19" authorId="0" shapeId="0" xr:uid="{00000000-0006-0000-0000-000011000000}">
      <text>
        <r>
          <rPr>
            <sz val="8"/>
            <color indexed="8"/>
            <rFont val="Tahoma"/>
            <family val="2"/>
          </rPr>
          <t xml:space="preserve">Distance entre la pointe de l'ogive et le point </t>
        </r>
        <r>
          <rPr>
            <b/>
            <sz val="8"/>
            <color indexed="8"/>
            <rFont val="Tahoma"/>
            <family val="2"/>
          </rPr>
          <t>inférieur</t>
        </r>
        <r>
          <rPr>
            <sz val="8"/>
            <color indexed="8"/>
            <rFont val="Tahoma"/>
            <family val="2"/>
          </rPr>
          <t xml:space="preserve"> de l'encastrement des ailerons.
</t>
        </r>
        <r>
          <rPr>
            <i/>
            <sz val="8"/>
            <color indexed="8"/>
            <rFont val="Tahoma"/>
            <family val="2"/>
          </rPr>
          <t xml:space="preserve">Distance between the tip of the nose and the </t>
        </r>
        <r>
          <rPr>
            <b/>
            <i/>
            <sz val="8"/>
            <color indexed="8"/>
            <rFont val="Tahoma"/>
            <family val="2"/>
          </rPr>
          <t>lower</t>
        </r>
        <r>
          <rPr>
            <i/>
            <sz val="8"/>
            <color indexed="8"/>
            <rFont val="Tahoma"/>
            <family val="2"/>
          </rPr>
          <t xml:space="preserve"> point of fins attachment on the rocket.</t>
        </r>
      </text>
    </comment>
    <comment ref="B24" authorId="0" shapeId="0" xr:uid="{00000000-0006-0000-0000-000012000000}">
      <text>
        <r>
          <rPr>
            <sz val="8"/>
            <color indexed="8"/>
            <rFont val="Tahoma"/>
            <family val="2"/>
          </rPr>
          <t xml:space="preserve">Diamètre à la base de l'ogive.
</t>
        </r>
        <r>
          <rPr>
            <i/>
            <sz val="8"/>
            <color indexed="8"/>
            <rFont val="Tahoma"/>
            <family val="2"/>
          </rPr>
          <t>Diameter at the basement of the nose cone.</t>
        </r>
      </text>
    </comment>
    <comment ref="E25" authorId="1" shapeId="0" xr:uid="{00000000-0006-0000-0000-000013000000}">
      <text>
        <r>
          <rPr>
            <sz val="8"/>
            <color indexed="8"/>
            <rFont val="Tahoma"/>
            <family val="2"/>
          </rPr>
          <t xml:space="preserve">Les parties masquées des ailerons du bas sont représentées 
sur le schéma de la fusée par des </t>
        </r>
        <r>
          <rPr>
            <sz val="8"/>
            <color indexed="10"/>
            <rFont val="Tahoma"/>
            <family val="2"/>
          </rPr>
          <t>zones en rouge</t>
        </r>
        <r>
          <rPr>
            <sz val="8"/>
            <color indexed="8"/>
            <rFont val="Tahoma"/>
            <family val="2"/>
          </rPr>
          <t xml:space="preserve">.
Ce sont les parties situées juste en dessous des ailerons du haut.
</t>
        </r>
        <r>
          <rPr>
            <i/>
            <sz val="8"/>
            <color indexed="8"/>
            <rFont val="Tahoma"/>
            <family val="2"/>
          </rPr>
          <t xml:space="preserve">The fin-fin interaction zone is located just below the upper fins,
shown in </t>
        </r>
        <r>
          <rPr>
            <i/>
            <sz val="8"/>
            <color indexed="10"/>
            <rFont val="Tahoma"/>
            <family val="2"/>
          </rPr>
          <t>red</t>
        </r>
        <r>
          <rPr>
            <i/>
            <sz val="8"/>
            <color indexed="8"/>
            <rFont val="Tahoma"/>
            <family val="2"/>
          </rPr>
          <t xml:space="preserve"> in the Rocket schematic.</t>
        </r>
      </text>
    </comment>
    <comment ref="F27" authorId="0" shapeId="0" xr:uid="{00000000-0006-0000-0000-000015000000}">
      <text>
        <r>
          <rPr>
            <sz val="8"/>
            <color indexed="8"/>
            <rFont val="Tahoma"/>
            <family val="2"/>
          </rPr>
          <t xml:space="preserve">La </t>
        </r>
        <r>
          <rPr>
            <b/>
            <sz val="8"/>
            <color indexed="8"/>
            <rFont val="Tahoma"/>
            <family val="2"/>
          </rPr>
          <t>Finesse</t>
        </r>
        <r>
          <rPr>
            <sz val="8"/>
            <color indexed="8"/>
            <rFont val="Tahoma"/>
            <family val="2"/>
          </rPr>
          <t xml:space="preserve"> représente l'allongement de la fusée, rapport Longueur/Diamètre.
</t>
        </r>
        <r>
          <rPr>
            <i/>
            <sz val="8"/>
            <color indexed="8"/>
            <rFont val="Tahoma"/>
            <family val="2"/>
          </rPr>
          <t>Finesse represents the relative length of the rocket. Finesse = L/D</t>
        </r>
      </text>
    </comment>
    <comment ref="B28" authorId="1" shapeId="0" xr:uid="{00000000-0006-0000-0000-000014000000}">
      <text>
        <r>
          <rPr>
            <sz val="8"/>
            <color indexed="8"/>
            <rFont val="Tahoma"/>
            <family val="2"/>
          </rPr>
          <t>Longueur de l'</t>
        </r>
        <r>
          <rPr>
            <b/>
            <sz val="8"/>
            <color indexed="8"/>
            <rFont val="Tahoma"/>
            <family val="2"/>
          </rPr>
          <t>e</t>
        </r>
        <r>
          <rPr>
            <b/>
            <u/>
            <sz val="8"/>
            <color indexed="8"/>
            <rFont val="Tahoma"/>
            <family val="2"/>
          </rPr>
          <t>m</t>
        </r>
        <r>
          <rPr>
            <b/>
            <sz val="8"/>
            <color indexed="8"/>
            <rFont val="Tahoma"/>
            <family val="2"/>
          </rPr>
          <t>planture</t>
        </r>
        <r>
          <rPr>
            <sz val="8"/>
            <color indexed="8"/>
            <rFont val="Tahoma"/>
            <family val="2"/>
          </rPr>
          <t xml:space="preserve"> d'un aileron.
</t>
        </r>
        <r>
          <rPr>
            <i/>
            <sz val="8"/>
            <color indexed="8"/>
            <rFont val="Tahoma"/>
            <family val="2"/>
          </rPr>
          <t>Root edge length of one fin.</t>
        </r>
      </text>
    </comment>
    <comment ref="F28" authorId="0" shapeId="0" xr:uid="{00000000-0006-0000-0000-000017000000}">
      <text>
        <r>
          <rPr>
            <sz val="8"/>
            <color indexed="8"/>
            <rFont val="Tahoma"/>
            <family val="2"/>
          </rPr>
          <t xml:space="preserve">Le gradient de </t>
        </r>
        <r>
          <rPr>
            <b/>
            <sz val="8"/>
            <color indexed="16"/>
            <rFont val="Tahoma"/>
            <family val="2"/>
          </rPr>
          <t>Portance</t>
        </r>
        <r>
          <rPr>
            <sz val="8"/>
            <color indexed="8"/>
            <rFont val="Tahoma"/>
            <family val="2"/>
          </rPr>
          <t xml:space="preserve"> Cnα indique l'efficacité des ailerons.
Pour l'augmenter, il faut augmenter la taille des ailerons, et inversement.
</t>
        </r>
        <r>
          <rPr>
            <i/>
            <sz val="8"/>
            <color indexed="16"/>
            <rFont val="Tahoma"/>
            <family val="2"/>
          </rPr>
          <t>Lift</t>
        </r>
        <r>
          <rPr>
            <i/>
            <sz val="8"/>
            <color indexed="8"/>
            <rFont val="Tahoma"/>
            <family val="2"/>
          </rPr>
          <t xml:space="preserve"> gradient, Cnα, represents the fins efficiency. 
To increase it, one must increase the size of the fins, and conversely.</t>
        </r>
      </text>
    </comment>
    <comment ref="B29" authorId="1" shapeId="0" xr:uid="{00000000-0006-0000-0000-000016000000}">
      <text>
        <r>
          <rPr>
            <sz val="8"/>
            <color indexed="8"/>
            <rFont val="Tahoma"/>
            <family val="2"/>
          </rPr>
          <t xml:space="preserve">Longueur du </t>
        </r>
        <r>
          <rPr>
            <b/>
            <sz val="8"/>
            <color indexed="8"/>
            <rFont val="Tahoma"/>
            <family val="2"/>
          </rPr>
          <t>saumo</t>
        </r>
        <r>
          <rPr>
            <b/>
            <u/>
            <sz val="8"/>
            <color indexed="8"/>
            <rFont val="Tahoma"/>
            <family val="2"/>
          </rPr>
          <t>n</t>
        </r>
        <r>
          <rPr>
            <sz val="8"/>
            <color indexed="8"/>
            <rFont val="Tahoma"/>
            <family val="2"/>
          </rPr>
          <t xml:space="preserve"> d'un aileron.
</t>
        </r>
        <r>
          <rPr>
            <i/>
            <sz val="8"/>
            <color indexed="8"/>
            <rFont val="Tahoma"/>
            <family val="2"/>
          </rPr>
          <t>Tip edge length of one fin.</t>
        </r>
      </text>
    </comment>
    <comment ref="F29" authorId="0" shapeId="0" xr:uid="{00000000-0006-0000-0000-000019000000}">
      <text>
        <r>
          <rPr>
            <sz val="8"/>
            <color indexed="8"/>
            <rFont val="Tahoma"/>
            <family val="2"/>
          </rPr>
          <t xml:space="preserve">La </t>
        </r>
        <r>
          <rPr>
            <b/>
            <sz val="8"/>
            <color indexed="8"/>
            <rFont val="Tahoma"/>
            <family val="2"/>
          </rPr>
          <t>Marge Statique</t>
        </r>
        <r>
          <rPr>
            <sz val="8"/>
            <color indexed="8"/>
            <rFont val="Tahoma"/>
            <family val="2"/>
          </rPr>
          <t xml:space="preserve">, MS, est la distance entre le Centre de Masse et le Centre de Pression, 
exprimée en nombre de Diamètre de Référence, pour une fusée avec propulseur plein puis vide.
Pour augmenter la MS, il faut soit :
- abaisser le Centre de Portance (position des ailerons)
- rehausser le Centre de Masse
</t>
        </r>
        <r>
          <rPr>
            <i/>
            <sz val="8"/>
            <color indexed="8"/>
            <rFont val="Tahoma"/>
            <family val="2"/>
          </rPr>
          <t>Static Margin, MS, is the distance between the Center of Mass and the Center of Pressure, 
measured in number of reference diameter, for a rocket with loaded motor, then empty motor.
In order to increase MS, one must either:
- lower the Center of Pressure (position of fins)
- Move up the Center of Mass</t>
        </r>
      </text>
    </comment>
    <comment ref="B30" authorId="1" shapeId="0" xr:uid="{00000000-0006-0000-0000-000018000000}">
      <text>
        <r>
          <rPr>
            <b/>
            <sz val="8"/>
            <color indexed="8"/>
            <rFont val="Tahoma"/>
            <family val="2"/>
          </rPr>
          <t>Flèche</t>
        </r>
        <r>
          <rPr>
            <sz val="8"/>
            <color indexed="8"/>
            <rFont val="Tahoma"/>
            <family val="2"/>
          </rPr>
          <t xml:space="preserve"> du bord d'attaque (négatif si besoin).
</t>
        </r>
        <r>
          <rPr>
            <i/>
            <sz val="8"/>
            <color indexed="8"/>
            <rFont val="Tahoma"/>
            <family val="2"/>
          </rPr>
          <t>Offset of the Leading edge.</t>
        </r>
      </text>
    </comment>
    <comment ref="F30" authorId="0" shapeId="0" xr:uid="{00000000-0006-0000-0000-00001B000000}">
      <text>
        <r>
          <rPr>
            <sz val="8"/>
            <color indexed="8"/>
            <rFont val="Tahoma"/>
            <family val="2"/>
          </rPr>
          <t xml:space="preserve">Le </t>
        </r>
        <r>
          <rPr>
            <b/>
            <sz val="8"/>
            <color indexed="8"/>
            <rFont val="Tahoma"/>
            <family val="2"/>
          </rPr>
          <t>produit</t>
        </r>
        <r>
          <rPr>
            <sz val="8"/>
            <color indexed="8"/>
            <rFont val="Tahoma"/>
            <family val="2"/>
          </rPr>
          <t xml:space="preserve"> MS*Cnα représente le </t>
        </r>
        <r>
          <rPr>
            <b/>
            <sz val="8"/>
            <color indexed="8"/>
            <rFont val="Tahoma"/>
            <family val="2"/>
          </rPr>
          <t>couple</t>
        </r>
        <r>
          <rPr>
            <sz val="8"/>
            <color indexed="8"/>
            <rFont val="Tahoma"/>
            <family val="2"/>
          </rPr>
          <t xml:space="preserve"> de rappel de la Portance.
Pour augmenter le produit, il faut augmenter la MS et/ou le Cnα, et inversement.
</t>
        </r>
        <r>
          <rPr>
            <i/>
            <sz val="8"/>
            <color indexed="8"/>
            <rFont val="Tahoma"/>
            <family val="2"/>
          </rPr>
          <t>The product MS*Cnα represents the lift torque.
To increase it, one must increase the Static Margin and/or the Cnα, and conversely.</t>
        </r>
      </text>
    </comment>
    <comment ref="B31" authorId="1" shapeId="0" xr:uid="{00000000-0006-0000-0000-00001A000000}">
      <text>
        <r>
          <rPr>
            <b/>
            <u/>
            <sz val="8"/>
            <color indexed="8"/>
            <rFont val="Tahoma"/>
            <family val="2"/>
          </rPr>
          <t>E</t>
        </r>
        <r>
          <rPr>
            <b/>
            <sz val="8"/>
            <color indexed="8"/>
            <rFont val="Tahoma"/>
            <family val="2"/>
          </rPr>
          <t>nvergure</t>
        </r>
        <r>
          <rPr>
            <sz val="8"/>
            <color indexed="8"/>
            <rFont val="Tahoma"/>
            <family val="2"/>
          </rPr>
          <t xml:space="preserve"> d'un aileron.
</t>
        </r>
        <r>
          <rPr>
            <i/>
            <sz val="8"/>
            <color indexed="8"/>
            <rFont val="Tahoma"/>
            <family val="2"/>
          </rPr>
          <t>Span of one fin.</t>
        </r>
      </text>
    </comment>
    <comment ref="F31" authorId="0" shapeId="0" xr:uid="{00000000-0006-0000-0000-00001C000000}">
      <text>
        <r>
          <rPr>
            <sz val="8"/>
            <color indexed="8"/>
            <rFont val="Tahoma"/>
            <family val="2"/>
          </rPr>
          <t xml:space="preserve">Le Xcp est la </t>
        </r>
        <r>
          <rPr>
            <b/>
            <sz val="8"/>
            <color indexed="16"/>
            <rFont val="Tahoma"/>
            <family val="2"/>
          </rPr>
          <t>position du Centre de Poussée Aérodynamique</t>
        </r>
        <r>
          <rPr>
            <sz val="8"/>
            <color indexed="8"/>
            <rFont val="Tahoma"/>
            <family val="2"/>
          </rPr>
          <t xml:space="preserve"> (CPA), 
aussi appelé Centre de Pression (CP), Centre Latéral de Poussée (CLP), 
ou Foyer, exprimée par rapport à la pointe de l'ogive.
</t>
        </r>
        <r>
          <rPr>
            <i/>
            <sz val="8"/>
            <color indexed="8"/>
            <rFont val="Tahoma"/>
            <family val="2"/>
          </rPr>
          <t>Xcp is the location of the Aerodynamics Center of Pressure, 
measured from the tip of the nose cone.</t>
        </r>
      </text>
    </comment>
    <comment ref="F32" authorId="2" shapeId="0" xr:uid="{00000000-0006-0000-0000-00001D000000}">
      <text>
        <r>
          <rPr>
            <sz val="8"/>
            <color indexed="8"/>
            <rFont val="Tahoma"/>
            <family val="2"/>
          </rPr>
          <t xml:space="preserve">Cette Marge Statique est la distance entre le Centre de Masse et le Centre de Pression, 
exprimée en </t>
        </r>
        <r>
          <rPr>
            <b/>
            <sz val="8"/>
            <color indexed="8"/>
            <rFont val="Tahoma"/>
            <family val="2"/>
          </rPr>
          <t>% de la Longueur</t>
        </r>
        <r>
          <rPr>
            <sz val="8"/>
            <color indexed="8"/>
            <rFont val="Tahoma"/>
            <family val="2"/>
          </rPr>
          <t xml:space="preserve"> de la fusée, pour une fusée avec propulseur plein puis vide.
</t>
        </r>
        <r>
          <rPr>
            <i/>
            <sz val="8"/>
            <color indexed="8"/>
            <rFont val="Tahoma"/>
            <family val="2"/>
          </rPr>
          <t>This Static Margin is the distance between the Center of Mass and the Center of Pressure, 
measured in % of rocket length, for a rocket with loaded motor, then empty motor.</t>
        </r>
      </text>
    </comment>
    <comment ref="B34" authorId="0" shapeId="0" xr:uid="{00000000-0006-0000-0000-00001E000000}">
      <text>
        <r>
          <rPr>
            <sz val="8"/>
            <color indexed="8"/>
            <rFont val="Tahoma"/>
            <family val="2"/>
          </rPr>
          <t xml:space="preserve">Distance entre la pointe de l'ogive et le point </t>
        </r>
        <r>
          <rPr>
            <b/>
            <sz val="8"/>
            <color indexed="8"/>
            <rFont val="Tahoma"/>
            <family val="2"/>
          </rPr>
          <t>inférieur</t>
        </r>
        <r>
          <rPr>
            <sz val="8"/>
            <color indexed="8"/>
            <rFont val="Tahoma"/>
            <family val="2"/>
          </rPr>
          <t xml:space="preserve"> de l'encastrement des ailerons.
</t>
        </r>
        <r>
          <rPr>
            <i/>
            <sz val="8"/>
            <color indexed="8"/>
            <rFont val="Tahoma"/>
            <family val="2"/>
          </rPr>
          <t xml:space="preserve">Distance between the tip of the nose and the </t>
        </r>
        <r>
          <rPr>
            <b/>
            <i/>
            <sz val="8"/>
            <color indexed="8"/>
            <rFont val="Tahoma"/>
            <family val="2"/>
          </rPr>
          <t>lower</t>
        </r>
        <r>
          <rPr>
            <i/>
            <sz val="8"/>
            <color indexed="8"/>
            <rFont val="Tahoma"/>
            <family val="2"/>
          </rPr>
          <t xml:space="preserve"> point of fins attachment on the rocket.</t>
        </r>
      </text>
    </comment>
    <comment ref="B35" authorId="0" shapeId="0" xr:uid="{00000000-0006-0000-0000-00001F000000}">
      <text>
        <r>
          <rPr>
            <sz val="8"/>
            <color indexed="8"/>
            <rFont val="Tahoma"/>
            <family val="2"/>
          </rPr>
          <t xml:space="preserve">Diamètre du fuselage au niveau des ailerons.
</t>
        </r>
        <r>
          <rPr>
            <i/>
            <sz val="8"/>
            <color indexed="8"/>
            <rFont val="Tahoma"/>
            <family val="2"/>
          </rPr>
          <t>Diameter of the body at the level of the fins.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xml:space="preserve"> </author>
    <author>Léo Côme</author>
    <author>Léo</author>
    <author>Sylvain Besson</author>
    <author>collectif</author>
  </authors>
  <commentList>
    <comment ref="B11" authorId="0" shapeId="0" xr:uid="{00000000-0006-0000-0100-000001000000}">
      <text>
        <r>
          <rPr>
            <sz val="8"/>
            <color indexed="8"/>
            <rFont val="Tahoma"/>
            <family val="2"/>
          </rPr>
          <t xml:space="preserve">Masse au décollage, à changer dans la feuille Stabilito,
ou à l'aide des boutons (revérifiez alors la stabilité).
</t>
        </r>
        <r>
          <rPr>
            <i/>
            <sz val="8"/>
            <color indexed="8"/>
            <rFont val="Tahoma"/>
            <family val="2"/>
          </rPr>
          <t>Lift-Off mass, to be changed in Stabilito sheet,
or with the buttons (then recheck stability).</t>
        </r>
      </text>
    </comment>
    <comment ref="B12" authorId="0" shapeId="0" xr:uid="{00000000-0006-0000-0100-000002000000}">
      <text>
        <r>
          <rPr>
            <sz val="8"/>
            <color indexed="8"/>
            <rFont val="Tahoma"/>
            <family val="2"/>
          </rPr>
          <t xml:space="preserve">Le propulseur doit être sélectionné dans l'onglet Stabilito.
</t>
        </r>
        <r>
          <rPr>
            <i/>
            <sz val="8"/>
            <color indexed="8"/>
            <rFont val="Tahoma"/>
            <family val="2"/>
          </rPr>
          <t>Motor must be selected in Stabilito sheet.</t>
        </r>
      </text>
    </comment>
    <comment ref="B15" authorId="1" shapeId="0" xr:uid="{00000000-0006-0000-0100-000003000000}">
      <text>
        <r>
          <rPr>
            <sz val="8"/>
            <color indexed="8"/>
            <rFont val="Tahoma"/>
            <family val="2"/>
          </rPr>
          <t xml:space="preserve">La Surface de Référence utilisée pour le calcul de la Traînée est la surface projetée dans l'axe de la fusée. Ce </t>
        </r>
        <r>
          <rPr>
            <b/>
            <sz val="8"/>
            <color indexed="8"/>
            <rFont val="Tahoma"/>
            <family val="2"/>
          </rPr>
          <t>Maître Couple</t>
        </r>
        <r>
          <rPr>
            <sz val="8"/>
            <color indexed="8"/>
            <rFont val="Tahoma"/>
            <family val="2"/>
          </rPr>
          <t xml:space="preserve"> inclut donc l'épaisseur des ailerons.
</t>
        </r>
        <r>
          <rPr>
            <i/>
            <sz val="8"/>
            <color indexed="8"/>
            <rFont val="Tahoma"/>
            <family val="2"/>
          </rPr>
          <t>Reference Surface used to compute the Drag. It includes Fin thickness.</t>
        </r>
      </text>
    </comment>
    <comment ref="B16" authorId="1" shapeId="0" xr:uid="{00000000-0006-0000-0100-000004000000}">
      <text>
        <r>
          <rPr>
            <sz val="8"/>
            <color indexed="8"/>
            <rFont val="Tahoma"/>
            <family val="2"/>
          </rPr>
          <t xml:space="preserve">Coefficient de Traînée de la fusée. Par défaut, le </t>
        </r>
        <r>
          <rPr>
            <b/>
            <sz val="8"/>
            <color indexed="8"/>
            <rFont val="Tahoma"/>
            <family val="2"/>
          </rPr>
          <t>Cx</t>
        </r>
        <r>
          <rPr>
            <sz val="8"/>
            <color indexed="8"/>
            <rFont val="Tahoma"/>
            <family val="2"/>
          </rPr>
          <t xml:space="preserve"> vaut 0.6. On peut ajouter ou retrancher 0.2 en fonction des aspérités de la fusée, du profilage des ailerons…
</t>
        </r>
        <r>
          <rPr>
            <i/>
            <sz val="8"/>
            <color indexed="8"/>
            <rFont val="Tahoma"/>
            <family val="2"/>
          </rPr>
          <t>Rocket Drag Coefficient is generally between 0.4 and 0.8, with a default value of 0.6.</t>
        </r>
      </text>
    </comment>
    <comment ref="B19" authorId="1" shapeId="0" xr:uid="{00000000-0006-0000-0100-000005000000}">
      <text>
        <r>
          <rPr>
            <b/>
            <sz val="8"/>
            <color indexed="8"/>
            <rFont val="Tahoma"/>
            <family val="2"/>
          </rPr>
          <t>Longueur de la rampe de lancement.</t>
        </r>
        <r>
          <rPr>
            <sz val="8"/>
            <color indexed="8"/>
            <rFont val="Tahoma"/>
            <family val="2"/>
          </rPr>
          <t xml:space="preserve">
</t>
        </r>
        <r>
          <rPr>
            <i/>
            <sz val="8"/>
            <color indexed="8"/>
            <rFont val="Tahoma"/>
            <family val="2"/>
          </rPr>
          <t xml:space="preserve">                                          Length of the launch pad.</t>
        </r>
        <r>
          <rPr>
            <sz val="8"/>
            <color indexed="8"/>
            <rFont val="Tahoma"/>
            <family val="2"/>
          </rPr>
          <t xml:space="preserve">
Valeurs courantes :                       C</t>
        </r>
        <r>
          <rPr>
            <i/>
            <sz val="8"/>
            <color indexed="8"/>
            <rFont val="Tahoma"/>
            <family val="2"/>
          </rPr>
          <t>ommon values :</t>
        </r>
        <r>
          <rPr>
            <sz val="8"/>
            <color indexed="8"/>
            <rFont val="Tahoma"/>
            <family val="2"/>
          </rPr>
          <t xml:space="preserve">
MicroFusée               : 1m             </t>
        </r>
        <r>
          <rPr>
            <i/>
            <sz val="8"/>
            <color indexed="8"/>
            <rFont val="Tahoma"/>
            <family val="2"/>
          </rPr>
          <t>Micro-rocket</t>
        </r>
        <r>
          <rPr>
            <sz val="8"/>
            <color indexed="8"/>
            <rFont val="Tahoma"/>
            <family val="2"/>
          </rPr>
          <t xml:space="preserve">
MiniFusée                 : 2m -&gt; 3m </t>
        </r>
        <r>
          <rPr>
            <i/>
            <sz val="8"/>
            <color indexed="8"/>
            <rFont val="Tahoma"/>
            <family val="2"/>
          </rPr>
          <t xml:space="preserve">  Mini-rocket</t>
        </r>
        <r>
          <rPr>
            <sz val="8"/>
            <color indexed="8"/>
            <rFont val="Tahoma"/>
            <family val="2"/>
          </rPr>
          <t xml:space="preserve">
Fusée Expérimentale  : 4m -&gt; 7m   </t>
        </r>
        <r>
          <rPr>
            <i/>
            <sz val="8"/>
            <color indexed="8"/>
            <rFont val="Tahoma"/>
            <family val="2"/>
          </rPr>
          <t>Experimental Rocket</t>
        </r>
      </text>
    </comment>
    <comment ref="B20" authorId="1" shapeId="0" xr:uid="{00000000-0006-0000-0100-000006000000}">
      <text>
        <r>
          <rPr>
            <sz val="8"/>
            <color indexed="8"/>
            <rFont val="Tahoma"/>
            <family val="2"/>
          </rPr>
          <t xml:space="preserve">Elévation de la rampe, angle par rapport à l'horizontale, "site" de la rampe, par défaut cet angle est à 80°.
</t>
        </r>
        <r>
          <rPr>
            <i/>
            <sz val="8"/>
            <color indexed="8"/>
            <rFont val="Tahoma"/>
            <family val="2"/>
          </rPr>
          <t>Angle of the lauch pad versus horizontal.</t>
        </r>
      </text>
    </comment>
    <comment ref="B21" authorId="1" shapeId="0" xr:uid="{00000000-0006-0000-0100-000007000000}">
      <text>
        <r>
          <rPr>
            <sz val="8"/>
            <color indexed="8"/>
            <rFont val="Tahoma"/>
            <family val="2"/>
          </rPr>
          <t xml:space="preserve">L'Altitude de la rampe est utilisée pour calculer la densité de l'air.
</t>
        </r>
        <r>
          <rPr>
            <i/>
            <sz val="8"/>
            <color indexed="8"/>
            <rFont val="Tahoma"/>
            <family val="2"/>
          </rPr>
          <t>Launch Pad Altitude is used to compute the air density.</t>
        </r>
      </text>
    </comment>
    <comment ref="D24" authorId="2" shapeId="0" xr:uid="{00000000-0006-0000-0100-000008000000}">
      <text>
        <r>
          <rPr>
            <b/>
            <sz val="8"/>
            <color indexed="8"/>
            <rFont val="Tahoma"/>
            <family val="2"/>
          </rPr>
          <t>Objet largué</t>
        </r>
        <r>
          <rPr>
            <sz val="8"/>
            <color indexed="8"/>
            <rFont val="Tahoma"/>
            <family val="2"/>
          </rPr>
          <t xml:space="preserve"> (CanSat, quasi-satellite, partie contenant l'œuf...)
</t>
        </r>
        <r>
          <rPr>
            <i/>
            <sz val="8"/>
            <color indexed="8"/>
            <rFont val="Tahoma"/>
            <family val="2"/>
          </rPr>
          <t>Separated object (CanSat, quasi-satellite, payload/egg...)</t>
        </r>
      </text>
    </comment>
    <comment ref="K24" authorId="1" shapeId="0" xr:uid="{00000000-0006-0000-0100-000009000000}">
      <text>
        <r>
          <rPr>
            <sz val="8"/>
            <color indexed="8"/>
            <rFont val="Tahoma"/>
            <family val="2"/>
          </rPr>
          <t xml:space="preserve">La Vitesse en Sortie de Rampe doit être supérieure à 18m/s (MiniFusée) ou 20m/s (Fusée Exp.).
Alléger la fusée ou choisir un propu plus puissant.
</t>
        </r>
        <r>
          <rPr>
            <i/>
            <sz val="8"/>
            <color indexed="8"/>
            <rFont val="Tahoma"/>
            <family val="2"/>
          </rPr>
          <t>Speed at Launch Pad Exit must by higher than 18m/s (mini-rocket) or 20m/s (experimental rocket).
Lighten the rocket or choose a bigger motor.</t>
        </r>
      </text>
    </comment>
    <comment ref="C25" authorId="2" shapeId="0" xr:uid="{00000000-0006-0000-0100-00000A000000}">
      <text>
        <r>
          <rPr>
            <sz val="8"/>
            <color indexed="8"/>
            <rFont val="Tahoma"/>
            <family val="2"/>
          </rPr>
          <t xml:space="preserve">Masse de la fusée (sans satellite) sous parachute.
</t>
        </r>
        <r>
          <rPr>
            <i/>
            <sz val="8"/>
            <color indexed="8"/>
            <rFont val="Tahoma"/>
            <family val="2"/>
          </rPr>
          <t>Mass of the rocket (w/o sat) when it fall with a parachute.</t>
        </r>
      </text>
    </comment>
    <comment ref="M28" authorId="3" shapeId="0" xr:uid="{00000000-0006-0000-0100-00000B000000}">
      <text>
        <r>
          <rPr>
            <sz val="8"/>
            <color indexed="81"/>
            <rFont val="Tahoma"/>
            <family val="2"/>
          </rPr>
          <t xml:space="preserve">Efforts sur les fixations du parachute lors de sont ouverture.
</t>
        </r>
        <r>
          <rPr>
            <i/>
            <sz val="8"/>
            <color indexed="81"/>
            <rFont val="Tahoma"/>
            <family val="2"/>
          </rPr>
          <t>Stress on the parachute's bindings when it opened.</t>
        </r>
      </text>
    </comment>
    <comment ref="M29" authorId="3" shapeId="0" xr:uid="{00000000-0006-0000-0100-00000D000000}">
      <text>
        <r>
          <rPr>
            <sz val="8"/>
            <color indexed="81"/>
            <rFont val="Tahoma"/>
            <family val="2"/>
          </rPr>
          <t>Energie libérée lors de l'impact balistique.</t>
        </r>
        <r>
          <rPr>
            <b/>
            <sz val="8"/>
            <color indexed="81"/>
            <rFont val="Tahoma"/>
            <family val="2"/>
          </rPr>
          <t xml:space="preserve">
</t>
        </r>
        <r>
          <rPr>
            <i/>
            <sz val="8"/>
            <color indexed="81"/>
            <rFont val="Tahoma"/>
            <family val="2"/>
          </rPr>
          <t>Balistic impact energy</t>
        </r>
      </text>
    </comment>
    <comment ref="B30" authorId="1" shapeId="0" xr:uid="{00000000-0006-0000-0100-00000C000000}">
      <text>
        <r>
          <rPr>
            <sz val="8"/>
            <color indexed="8"/>
            <rFont val="Tahoma"/>
            <family val="2"/>
          </rPr>
          <t xml:space="preserve">Le Coefficient de Traînée </t>
        </r>
        <r>
          <rPr>
            <b/>
            <sz val="8"/>
            <color indexed="8"/>
            <rFont val="Tahoma"/>
            <family val="2"/>
          </rPr>
          <t>Cx</t>
        </r>
        <r>
          <rPr>
            <sz val="8"/>
            <color indexed="8"/>
            <rFont val="Tahoma"/>
            <family val="2"/>
          </rPr>
          <t xml:space="preserve"> (ou Cd) d'un parachute est généralement compris entre 0.7 et 1.4 (1 par défaut).
</t>
        </r>
        <r>
          <rPr>
            <i/>
            <sz val="8"/>
            <color indexed="8"/>
            <rFont val="Tahoma"/>
            <family val="2"/>
          </rPr>
          <t xml:space="preserve">Parachute Drag Coefficient </t>
        </r>
        <r>
          <rPr>
            <b/>
            <i/>
            <sz val="8"/>
            <color indexed="8"/>
            <rFont val="Tahoma"/>
            <family val="2"/>
          </rPr>
          <t>Cx</t>
        </r>
        <r>
          <rPr>
            <i/>
            <sz val="8"/>
            <color indexed="8"/>
            <rFont val="Tahoma"/>
            <family val="2"/>
          </rPr>
          <t xml:space="preserve"> (or Cd) should be between 0.7 and 1.4, with a default value of 1.</t>
        </r>
      </text>
    </comment>
    <comment ref="B32" authorId="4" shapeId="0" xr:uid="{00000000-0006-0000-0100-00000E000000}">
      <text>
        <r>
          <rPr>
            <sz val="8"/>
            <color indexed="81"/>
            <rFont val="Tahoma"/>
            <family val="2"/>
          </rPr>
          <t xml:space="preserve">La Vitesse de descente sous parachute doit être comprise entre 5 &amp; 15m/s.
</t>
        </r>
        <r>
          <rPr>
            <i/>
            <sz val="8"/>
            <color indexed="81"/>
            <rFont val="Tahoma"/>
            <family val="2"/>
          </rPr>
          <t>Fall Velocity with parachute must be between 5 &amp; 15 m/s.</t>
        </r>
      </text>
    </comment>
    <comment ref="B35" authorId="0" shapeId="0" xr:uid="{00000000-0006-0000-0100-00000F000000}">
      <text>
        <r>
          <rPr>
            <sz val="8"/>
            <color indexed="8"/>
            <rFont val="Tahoma"/>
            <family val="2"/>
          </rPr>
          <t xml:space="preserve">Déviation due au vent lors de la descente sous parachute.
</t>
        </r>
        <r>
          <rPr>
            <i/>
            <sz val="8"/>
            <color indexed="8"/>
            <rFont val="Tahoma"/>
            <family val="2"/>
          </rPr>
          <t>Deviation due to wind during the fall over parachute.</t>
        </r>
      </text>
    </comment>
    <comment ref="F42" authorId="1" shapeId="0" xr:uid="{00000000-0006-0000-0100-000010000000}">
      <text>
        <r>
          <rPr>
            <sz val="8"/>
            <color indexed="8"/>
            <rFont val="Tahoma"/>
            <family val="2"/>
          </rPr>
          <t xml:space="preserve">Les Conditions Initiales permettent de simuler le 2e boost des fusée bi-étage ou des fusées larguant une masse (CanSat, bi-inerte). Laisser à 0 dans les autres cas.
</t>
        </r>
        <r>
          <rPr>
            <i/>
            <sz val="8"/>
            <color indexed="8"/>
            <rFont val="Tahoma"/>
            <family val="2"/>
          </rPr>
          <t>Initial Conditions can be used to simulate the 2nd boost of 2-stages rockets, or rocket releasing mass (Quasi-Satellites). Set them to 0 otherwise.</t>
        </r>
      </text>
    </comment>
    <comment ref="I42" authorId="1" shapeId="0" xr:uid="{00000000-0006-0000-0100-000011000000}">
      <text>
        <r>
          <rPr>
            <sz val="8"/>
            <color indexed="8"/>
            <rFont val="Tahoma"/>
            <family val="2"/>
          </rPr>
          <t xml:space="preserve">Altitude par rapport à la rampe, par rapport au sol.
</t>
        </r>
        <r>
          <rPr>
            <i/>
            <sz val="8"/>
            <color indexed="8"/>
            <rFont val="Tahoma"/>
            <family val="2"/>
          </rPr>
          <t>Altitude with respect to the earth surface.</t>
        </r>
      </text>
    </comment>
    <comment ref="K42" authorId="1" shapeId="0" xr:uid="{00000000-0006-0000-0100-000012000000}">
      <text>
        <r>
          <rPr>
            <sz val="8"/>
            <color indexed="8"/>
            <rFont val="Tahoma"/>
            <family val="2"/>
          </rPr>
          <t xml:space="preserve">La vitesse initiale doit être non-nulle dans le cas d'un 2e boost (allumage hors de la rampe, Portée et Altitude non-nulles).
</t>
        </r>
        <r>
          <rPr>
            <i/>
            <sz val="8"/>
            <color indexed="8"/>
            <rFont val="Tahoma"/>
            <family val="2"/>
          </rPr>
          <t>Initial Velocity must be non-zero in case of 2nd boost (ignition without launch pad, non-zero Range and Altitude).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xml:space="preserve"> </author>
    <author>M363040</author>
    <author>Léo Côme</author>
  </authors>
  <commentList>
    <comment ref="B11" authorId="0" shapeId="0" xr:uid="{00000000-0006-0000-0500-000001000000}">
      <text>
        <r>
          <rPr>
            <sz val="8"/>
            <color indexed="8"/>
            <rFont val="Tahoma"/>
            <family val="2"/>
          </rPr>
          <t xml:space="preserve">Masse sans propu, à changer dans la feuille Stabilito,
ou à l'aide des boutons (revérifiez alors la stabilité).
</t>
        </r>
        <r>
          <rPr>
            <i/>
            <sz val="8"/>
            <color indexed="8"/>
            <rFont val="Tahoma"/>
            <family val="2"/>
          </rPr>
          <t>Rocket mass without motor, to be changed in Stabilito sheet,
or with the buttons (then recheck stability).</t>
        </r>
      </text>
    </comment>
    <comment ref="B12" authorId="0" shapeId="0" xr:uid="{00000000-0006-0000-0500-000002000000}">
      <text>
        <r>
          <rPr>
            <sz val="8"/>
            <color indexed="8"/>
            <rFont val="Tahoma"/>
            <family val="2"/>
          </rPr>
          <t>Masse totale, à changer dans la feuille Stabilito,
ou à l'aide des boutons (revérifiez alors la stabilité).
Rocket total mass, to be changed in Stabilito sheet,
or with the buttons (then recheck stability).</t>
        </r>
      </text>
    </comment>
    <comment ref="B13" authorId="0" shapeId="0" xr:uid="{00000000-0006-0000-0500-000003000000}">
      <text>
        <r>
          <rPr>
            <sz val="8"/>
            <color indexed="8"/>
            <rFont val="Tahoma"/>
            <family val="2"/>
          </rPr>
          <t xml:space="preserve">Le propulseur doit être sélectionné dans l'onglet Stabilito.
</t>
        </r>
        <r>
          <rPr>
            <i/>
            <sz val="8"/>
            <color indexed="8"/>
            <rFont val="Tahoma"/>
            <family val="2"/>
          </rPr>
          <t>Motor must be selected in Stabilito sheet.</t>
        </r>
      </text>
    </comment>
    <comment ref="B16" authorId="1" shapeId="0" xr:uid="{00000000-0006-0000-0500-000004000000}">
      <text>
        <r>
          <rPr>
            <sz val="8"/>
            <color indexed="8"/>
            <rFont val="Tahoma"/>
            <family val="2"/>
          </rPr>
          <t xml:space="preserve">Diamètre de référence. D_réf = D_ogive ou le diamètre "principal".
</t>
        </r>
        <r>
          <rPr>
            <i/>
            <sz val="8"/>
            <color indexed="8"/>
            <rFont val="Tahoma"/>
            <family val="2"/>
          </rPr>
          <t>Reference Diameter. D_ref = D_ogive or the "main" diameter.</t>
        </r>
      </text>
    </comment>
    <comment ref="B17" authorId="2" shapeId="0" xr:uid="{00000000-0006-0000-0500-000005000000}">
      <text>
        <r>
          <rPr>
            <sz val="8"/>
            <color indexed="8"/>
            <rFont val="Tahoma"/>
            <family val="2"/>
          </rPr>
          <t xml:space="preserve">Coefficient de Traînée de la fusée. Par défaut, le </t>
        </r>
        <r>
          <rPr>
            <b/>
            <sz val="8"/>
            <color indexed="8"/>
            <rFont val="Tahoma"/>
            <family val="2"/>
          </rPr>
          <t>Cx</t>
        </r>
        <r>
          <rPr>
            <sz val="8"/>
            <color indexed="8"/>
            <rFont val="Tahoma"/>
            <family val="2"/>
          </rPr>
          <t xml:space="preserve"> vaut 0.6. On peut ajouter ou retrancher 0.2 en fonction des aspérités de la fusée, du profilage des ailerons…
</t>
        </r>
        <r>
          <rPr>
            <i/>
            <sz val="8"/>
            <color indexed="8"/>
            <rFont val="Tahoma"/>
            <family val="2"/>
          </rPr>
          <t>Rocket Drag Coefficient is generally between 0.4 and 0.8, with a default value of 0.6.</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xml:space="preserve"> Léo</author>
  </authors>
  <commentList>
    <comment ref="E55" authorId="0" shapeId="0" xr:uid="{00000000-0006-0000-0600-000001000000}">
      <text>
        <r>
          <rPr>
            <sz val="8"/>
            <color indexed="81"/>
            <rFont val="Tahoma"/>
            <family val="2"/>
          </rPr>
          <t xml:space="preserve">Masse volumique de l'air (ρ) à P=1013,25hPa &amp; T=15°C.
Utilisée tel quel pour la descente sous parachute,
utilisée comme référence (z=0) pour le calcul de ρ en fonction de l'altitude dans le calcul de la trajectoire pas à pas.
Idéalement, valeur à adapter aux conditions atmosphériques au moment du lancement.
</t>
        </r>
        <r>
          <rPr>
            <i/>
            <sz val="8"/>
            <color indexed="81"/>
            <rFont val="Tahoma"/>
            <family val="2"/>
          </rPr>
          <t>Air density (ρ) at P=1013,25hPa &amp; T=15°C.</t>
        </r>
      </text>
    </comment>
  </commentList>
</comments>
</file>

<file path=xl/sharedStrings.xml><?xml version="1.0" encoding="utf-8"?>
<sst xmlns="http://schemas.openxmlformats.org/spreadsheetml/2006/main" count="1735" uniqueCount="576">
  <si>
    <t>TRAJECTO</t>
  </si>
  <si>
    <t>Français</t>
  </si>
  <si>
    <t>t</t>
  </si>
  <si>
    <t>x</t>
  </si>
  <si>
    <t>Club</t>
  </si>
  <si>
    <t>Cx</t>
  </si>
  <si>
    <t>Altitude</t>
  </si>
  <si>
    <t>m/s²</t>
  </si>
  <si>
    <t>kg/m3</t>
  </si>
  <si>
    <t>Surface para</t>
  </si>
  <si>
    <t>Cx parachute</t>
  </si>
  <si>
    <t>Temps</t>
  </si>
  <si>
    <t>Altitude z</t>
  </si>
  <si>
    <t>Accélération</t>
  </si>
  <si>
    <t>-</t>
  </si>
  <si>
    <t>Culmination, Apogée</t>
  </si>
  <si>
    <t>~0</t>
  </si>
  <si>
    <t>Forces</t>
  </si>
  <si>
    <t>Accélération longitudinale</t>
  </si>
  <si>
    <t>pas</t>
  </si>
  <si>
    <t>Beta</t>
  </si>
  <si>
    <t>BetaD</t>
  </si>
  <si>
    <t>Débit</t>
  </si>
  <si>
    <t>Trainée</t>
  </si>
  <si>
    <t>Rho</t>
  </si>
  <si>
    <t>Poussée</t>
  </si>
  <si>
    <t>i_P</t>
  </si>
  <si>
    <t>Poids</t>
  </si>
  <si>
    <t>R_rampe</t>
  </si>
  <si>
    <t>z</t>
  </si>
  <si>
    <t>non-gravit.</t>
  </si>
  <si>
    <t>gravitationnelle</t>
  </si>
  <si>
    <t>Ligne</t>
  </si>
  <si>
    <t>Temps (en s)</t>
  </si>
  <si>
    <t>Poussée (en N)</t>
  </si>
  <si>
    <t>Isard</t>
  </si>
  <si>
    <t>Chamois</t>
  </si>
  <si>
    <t>espace@planete-sciences.org</t>
  </si>
  <si>
    <t>m</t>
  </si>
  <si>
    <t>http://www.planete-sciences.org/espace/basedoc/</t>
  </si>
  <si>
    <t>Surface Réf.</t>
  </si>
  <si>
    <t>Angle</t>
  </si>
  <si>
    <t>Léo Côme</t>
  </si>
  <si>
    <t>Notes :</t>
  </si>
  <si>
    <t>Aucun (2e ét. inerte)</t>
  </si>
  <si>
    <t>z para</t>
  </si>
  <si>
    <t>z sat</t>
  </si>
  <si>
    <t>xz max</t>
  </si>
  <si>
    <t>t para</t>
  </si>
  <si>
    <t>x para</t>
  </si>
  <si>
    <t>t sat</t>
  </si>
  <si>
    <t>x sat</t>
  </si>
  <si>
    <t>Moteurs Rocketry-Challenge, bug Surface_parachute, Satellite, bug Ooo</t>
  </si>
  <si>
    <t>STABILITO</t>
  </si>
  <si>
    <t>Type</t>
  </si>
  <si>
    <t>XCp</t>
  </si>
  <si>
    <t>MpropuPlein</t>
  </si>
  <si>
    <t>XpropuPlein</t>
  </si>
  <si>
    <t>MpropuVide</t>
  </si>
  <si>
    <t>XpropuVide</t>
  </si>
  <si>
    <t>Longueur</t>
  </si>
  <si>
    <t>Diamètre</t>
  </si>
  <si>
    <t>Min</t>
  </si>
  <si>
    <t>Max</t>
  </si>
  <si>
    <t>Finesse</t>
  </si>
  <si>
    <t>Cnα</t>
  </si>
  <si>
    <t>MS /L</t>
  </si>
  <si>
    <t>English</t>
  </si>
  <si>
    <t>X longi</t>
  </si>
  <si>
    <t>Y latéral</t>
  </si>
  <si>
    <t>- Y latéral</t>
  </si>
  <si>
    <t>Pointe</t>
  </si>
  <si>
    <t>Ogive</t>
  </si>
  <si>
    <t>chmt1 pt1</t>
  </si>
  <si>
    <t>chmt1 pt2</t>
  </si>
  <si>
    <t>chmt2 pt1</t>
  </si>
  <si>
    <t>chmt2 pt2</t>
  </si>
  <si>
    <t>culot</t>
  </si>
  <si>
    <t>aileron pt1</t>
  </si>
  <si>
    <t>aileron pt2</t>
  </si>
  <si>
    <t>aileron pt3</t>
  </si>
  <si>
    <t>aileron pt4</t>
  </si>
  <si>
    <t>Xcg plein</t>
  </si>
  <si>
    <t>Xcg vide</t>
  </si>
  <si>
    <t>Xcp</t>
  </si>
  <si>
    <t>canard pt1</t>
  </si>
  <si>
    <t>canard pt2</t>
  </si>
  <si>
    <t>canard pt3</t>
  </si>
  <si>
    <t>canard pt4</t>
  </si>
  <si>
    <t>masquage pt1</t>
  </si>
  <si>
    <t>masquage pt2</t>
  </si>
  <si>
    <t>masquage pt3</t>
  </si>
  <si>
    <t>masquage pt4</t>
  </si>
  <si>
    <t>cadre</t>
  </si>
  <si>
    <t>propu pt1</t>
  </si>
  <si>
    <t>propu pt2</t>
  </si>
  <si>
    <t>propu pt3</t>
  </si>
  <si>
    <t>propu pt4</t>
  </si>
  <si>
    <t>propu pt5</t>
  </si>
  <si>
    <t>MS (X)</t>
  </si>
  <si>
    <t>Cna (Y)</t>
  </si>
  <si>
    <t>2002-2007</t>
  </si>
  <si>
    <t>Stabilito V1.x</t>
  </si>
  <si>
    <t>Stabilito V2.0</t>
  </si>
  <si>
    <t>Stabilito V2.1</t>
  </si>
  <si>
    <t>Stabilito V2.2</t>
  </si>
  <si>
    <t>Trajecto V1.x</t>
  </si>
  <si>
    <t>Trajecto V2.x</t>
  </si>
  <si>
    <t>Trajecto V2.4</t>
  </si>
  <si>
    <t>Trajecto V2.5</t>
  </si>
  <si>
    <t>OpenOffice Calc</t>
  </si>
  <si>
    <t>µ-propu A8-3</t>
  </si>
  <si>
    <t>µ-propu B4-4</t>
  </si>
  <si>
    <t>µ-propu C6-3</t>
  </si>
  <si>
    <t>ISP</t>
  </si>
  <si>
    <t>I_total</t>
  </si>
  <si>
    <t>I_total_i (en N.s)</t>
  </si>
  <si>
    <t>Micro</t>
  </si>
  <si>
    <t>Fusex</t>
  </si>
  <si>
    <t>Mini</t>
  </si>
  <si>
    <t>0 satellite</t>
  </si>
  <si>
    <t>1 satellite</t>
  </si>
  <si>
    <t>http://creativecommons.org/licenses/by-sa/3.0/</t>
  </si>
  <si>
    <t>VL4</t>
  </si>
  <si>
    <t>Vsortie de rampe (&gt; 18 m/s)</t>
  </si>
  <si>
    <t>10 &lt; finesse &lt; 20</t>
  </si>
  <si>
    <t>15 &lt; Cn &lt; 30</t>
  </si>
  <si>
    <t>30 &lt; Ms x Cn &lt; 100</t>
  </si>
  <si>
    <t>RC1</t>
  </si>
  <si>
    <t>5 &lt; Vc &lt; 15 m/s</t>
  </si>
  <si>
    <t>RC2</t>
  </si>
  <si>
    <t>Temps de retard ralentisseur</t>
  </si>
  <si>
    <t>RC5</t>
  </si>
  <si>
    <t>Portée balistique (m)</t>
  </si>
  <si>
    <t>Temps de vol avec parachute (s)</t>
  </si>
  <si>
    <t>Culmination</t>
  </si>
  <si>
    <t>Accélération max (m/s²)</t>
  </si>
  <si>
    <t>Vmax (m/s)</t>
  </si>
  <si>
    <t>Altitude (m)</t>
  </si>
  <si>
    <t>Temps (s)</t>
  </si>
  <si>
    <t>Vitesse (m/s)</t>
  </si>
  <si>
    <t>Inclinaison</t>
  </si>
  <si>
    <t>Longueur totale</t>
  </si>
  <si>
    <t>Longueur rampe</t>
  </si>
  <si>
    <t>Epaisseur ailerons</t>
  </si>
  <si>
    <t>Nombre ailerons</t>
  </si>
  <si>
    <t>Type d'ogive</t>
  </si>
  <si>
    <t>Longueur ogive "l"</t>
  </si>
  <si>
    <t>Haut du propu "Prop"</t>
  </si>
  <si>
    <t>Diamètre "D"</t>
  </si>
  <si>
    <t>Position ailerons "L"</t>
  </si>
  <si>
    <t>M</t>
  </si>
  <si>
    <t>Microsoft Excel 2003 ou +</t>
  </si>
  <si>
    <t>s</t>
  </si>
  <si>
    <t>m/s</t>
  </si>
  <si>
    <t>°</t>
  </si>
  <si>
    <t>Transition A</t>
  </si>
  <si>
    <t>Transition B</t>
  </si>
  <si>
    <t>Jaune</t>
  </si>
  <si>
    <t>conique</t>
  </si>
  <si>
    <t>ogive</t>
  </si>
  <si>
    <t>parabole</t>
  </si>
  <si>
    <t>env pt4</t>
  </si>
  <si>
    <t>flèche pt2</t>
  </si>
  <si>
    <t>saumon pt3</t>
  </si>
  <si>
    <t>flèche milieu</t>
  </si>
  <si>
    <t>env milieu</t>
  </si>
  <si>
    <t>saumon milieu</t>
  </si>
  <si>
    <t>empl milieu</t>
  </si>
  <si>
    <t>empl pt4</t>
  </si>
  <si>
    <t>MS milieu</t>
  </si>
  <si>
    <t>MS Xcp</t>
  </si>
  <si>
    <t>1s</t>
  </si>
  <si>
    <t>t/T</t>
  </si>
  <si>
    <t>z/Z</t>
  </si>
  <si>
    <t>vertical</t>
  </si>
  <si>
    <t>horizontal</t>
  </si>
  <si>
    <t>flèches</t>
  </si>
  <si>
    <t>StabTraj</t>
  </si>
  <si>
    <t>StabTraj V3.0</t>
  </si>
  <si>
    <t>Trajecto</t>
  </si>
  <si>
    <t>µ-propu</t>
  </si>
  <si>
    <t>Minif</t>
  </si>
  <si>
    <t xml:space="preserve"> </t>
  </si>
  <si>
    <t>Événements</t>
  </si>
  <si>
    <t>Sous-échantillon 1Hz</t>
  </si>
  <si>
    <t>pos_x</t>
  </si>
  <si>
    <t>pos_z</t>
  </si>
  <si>
    <t>pos_xz</t>
  </si>
  <si>
    <t>vit_x</t>
  </si>
  <si>
    <t>vit_z</t>
  </si>
  <si>
    <t>vit_xz</t>
  </si>
  <si>
    <t>acc_x</t>
  </si>
  <si>
    <t>acc_z</t>
  </si>
  <si>
    <t>acc_xz</t>
  </si>
  <si>
    <t>Donneés au format des fiches de contrôles Fusex :</t>
  </si>
  <si>
    <t>Diamètre max</t>
  </si>
  <si>
    <t>Envergure totale</t>
  </si>
  <si>
    <t>sans</t>
  </si>
  <si>
    <t>vide</t>
  </si>
  <si>
    <t>plein</t>
  </si>
  <si>
    <t>Masse</t>
  </si>
  <si>
    <t>STAB 1</t>
  </si>
  <si>
    <t>STAB 2</t>
  </si>
  <si>
    <t>STAB 3</t>
  </si>
  <si>
    <t>STAB 4</t>
  </si>
  <si>
    <t>STAB 5</t>
  </si>
  <si>
    <t>Vsortie de rampe (&gt; 20 m/s)</t>
  </si>
  <si>
    <t>10 &lt; finesse &lt; 35</t>
  </si>
  <si>
    <t>15 &lt; Portance &lt; 40</t>
  </si>
  <si>
    <t>2*D &lt; Ms &lt; 6*D</t>
  </si>
  <si>
    <t>40 &lt; Ms x Cn &lt; 100</t>
  </si>
  <si>
    <t>Maître couple (m²)</t>
  </si>
  <si>
    <t>Site</t>
  </si>
  <si>
    <t>Temps balistique (s)</t>
  </si>
  <si>
    <t>Temps culmi (s)</t>
  </si>
  <si>
    <t>Altitude culmi (m)</t>
  </si>
  <si>
    <t>Vitesse culmi (m/s)</t>
  </si>
  <si>
    <t>CdG</t>
  </si>
  <si>
    <t>Diamètre max (40à200)</t>
  </si>
  <si>
    <t>Envergure totale &lt;720</t>
  </si>
  <si>
    <t>Masse &lt;15</t>
  </si>
  <si>
    <t>Pensez à modifier l'inclinaison pour avoir les 2 valeurs.</t>
  </si>
  <si>
    <t>Resist long aileron</t>
  </si>
  <si>
    <t>Resist transv aileron</t>
  </si>
  <si>
    <t>Compression 2.Acc.M</t>
  </si>
  <si>
    <t>N</t>
  </si>
  <si>
    <t>kg</t>
  </si>
  <si>
    <t>Surface aileron (m²)</t>
  </si>
  <si>
    <t>Masse aileron (kg)</t>
  </si>
  <si>
    <t>T dépotage +/-2s /appogée</t>
  </si>
  <si>
    <t>REC 2</t>
  </si>
  <si>
    <t>SEQ 5</t>
  </si>
  <si>
    <t>CR 1</t>
  </si>
  <si>
    <t>CR 2</t>
  </si>
  <si>
    <t>MEC 3</t>
  </si>
  <si>
    <t>Vitesse à l'ouverture m/s</t>
  </si>
  <si>
    <t>Surface parachute m²</t>
  </si>
  <si>
    <t xml:space="preserve">Choc à l'ouverture   N </t>
  </si>
  <si>
    <t>Choc à l'ouverture   kg</t>
  </si>
  <si>
    <t>Compression porte</t>
  </si>
  <si>
    <t>Masse au-dessus porte</t>
  </si>
  <si>
    <t>REC 8</t>
  </si>
  <si>
    <t>rad</t>
  </si>
  <si>
    <t>kg/s</t>
  </si>
  <si>
    <t>Méthodes d'intégration maison</t>
  </si>
  <si>
    <t>Wikipedia</t>
  </si>
  <si>
    <t>Pour se limiter à 1000 lignes, pas variable (les transitions sont-elles rigoureuses ?).</t>
  </si>
  <si>
    <t>Le Vol de la Fusée</t>
  </si>
  <si>
    <t>Beeman (2nd order, explicit variant)</t>
  </si>
  <si>
    <t>Newmark-beta (with γ=1/2 &amp; β=1/4) (2nd order)</t>
  </si>
  <si>
    <t>Spécificités de notre problème (2nd order mechanical ODE) :</t>
  </si>
  <si>
    <t>Verlet (2-stage 2nd order, symplectic, explicit)</t>
  </si>
  <si>
    <t>Trajec 2.x utililse un mélange douteux de différentes méthodes :</t>
  </si>
  <si>
    <t>Méthodes d'intégration explicites officielles</t>
  </si>
  <si>
    <t>On peut anticiper la Poussée (force qui varie le +) et la masse.</t>
  </si>
  <si>
    <t>L'Acc dépend de la vitesse (et peu de la position).</t>
  </si>
  <si>
    <t>Semi-implicit Euler (1st order, symplectic) [§ "Euler modifié" dans Le Vol de La Fusée]</t>
  </si>
  <si>
    <t>Explicit Euler (1st order, non-symplectic) [RK1]</t>
  </si>
  <si>
    <t>Velocity Verlet, Leapfrog variant (2nd order, symplectic, explicit)</t>
  </si>
  <si>
    <t>Midpoint, Modified Euler (2nd order, explicit) [§ "RK2" dans Le Vol de La Fusée]</t>
  </si>
  <si>
    <t>Heun, Improved Euler (2-stage 2nd-order, explicit, predictor-corrector) [Trapezoidal] [RK2]</t>
  </si>
  <si>
    <t>Les méthodes symplectic (conserve l'énergie) gardent-elles leur avantage quand la masse varie (ph propu) ?</t>
  </si>
  <si>
    <t>Sous Excel, on a les pas précédent (linear multistep possible), mais ordre élevé ou implicite sont à exclure.</t>
  </si>
  <si>
    <t>Multi{sub}step (RK), linear multi{previous}step (ADAMS), predictor-corrector, implicit …</t>
  </si>
  <si>
    <t>Dynamique de la fusée (repère sol)</t>
  </si>
  <si>
    <t>Brun/Orange…</t>
  </si>
  <si>
    <t>Rouge…</t>
  </si>
  <si>
    <t>Trajecto/StabTraj corrige l'erreur de Trajec sur Xn+1 en utilisant la vitesse moyenne :</t>
  </si>
  <si>
    <t>Idéalement, il serait préférable de tout calculer à n+0.5 (m, V, β, ρ).</t>
  </si>
  <si>
    <t>Checksum :</t>
  </si>
  <si>
    <t>M_éjecté</t>
  </si>
  <si>
    <t>M_burnout</t>
  </si>
  <si>
    <t>m_poudre</t>
  </si>
  <si>
    <t>Wapiti</t>
  </si>
  <si>
    <t>Cariacou</t>
  </si>
  <si>
    <t>H2O</t>
  </si>
  <si>
    <t>H2O 2.0L 400g 6bar</t>
  </si>
  <si>
    <t>H2O 2.0L 600g 6bar</t>
  </si>
  <si>
    <t>H2O 2.0L 800g 6bar</t>
  </si>
  <si>
    <t>H2O 2.0L 1000g 6bar</t>
  </si>
  <si>
    <t>ABACO</t>
  </si>
  <si>
    <t>Masse totale</t>
  </si>
  <si>
    <t>Traînée prop</t>
  </si>
  <si>
    <t>Traînée bal</t>
  </si>
  <si>
    <t>1/2.ρ.S.Cx</t>
  </si>
  <si>
    <t>M ph prop</t>
  </si>
  <si>
    <t>M ph bal</t>
  </si>
  <si>
    <t>alt_prop</t>
  </si>
  <si>
    <t>V_prop</t>
  </si>
  <si>
    <t>t_culmi</t>
  </si>
  <si>
    <t>D_var</t>
  </si>
  <si>
    <t>Q_var</t>
  </si>
  <si>
    <t>m_var</t>
  </si>
  <si>
    <t>m_prop</t>
  </si>
  <si>
    <t>m_bal</t>
  </si>
  <si>
    <t>a_prop</t>
  </si>
  <si>
    <t>b_prop</t>
  </si>
  <si>
    <t>b_bal</t>
  </si>
  <si>
    <t>Alt prop</t>
  </si>
  <si>
    <t>V max</t>
  </si>
  <si>
    <t>LibreOffice Calc 3.4 ou +</t>
  </si>
  <si>
    <t>alt_culmi</t>
  </si>
  <si>
    <t>x_triomphe</t>
  </si>
  <si>
    <t>z_triomphe</t>
  </si>
  <si>
    <t>Arc de triomphe</t>
  </si>
  <si>
    <t>z_Eiffel</t>
  </si>
  <si>
    <t>x_Eiffel</t>
  </si>
  <si>
    <t>Tour Eiffel</t>
  </si>
  <si>
    <t>H2O 1.5L 300g 6bar</t>
  </si>
  <si>
    <t>H2O 1.5L 450g 6bar</t>
  </si>
  <si>
    <t>H2O 1.5L 600g 6bar</t>
  </si>
  <si>
    <t>H2O 1.5L 750g 6bar</t>
  </si>
  <si>
    <t>FUSEX</t>
  </si>
  <si>
    <t>MINIF PRO29-1G</t>
  </si>
  <si>
    <t>MINIF PRO24-3G</t>
  </si>
  <si>
    <t>MINIF PRO29-2G</t>
  </si>
  <si>
    <t>MINIF PRO24-1G</t>
  </si>
  <si>
    <t>Pro98-3G WT</t>
  </si>
  <si>
    <t>p24-1G 24E22</t>
  </si>
  <si>
    <t>p24-1G 26E31</t>
  </si>
  <si>
    <t>p24-3G 60F50</t>
  </si>
  <si>
    <t>p24-3G 68F79</t>
  </si>
  <si>
    <t>p24-3G 68F240</t>
  </si>
  <si>
    <t>p24-3G 73F30</t>
  </si>
  <si>
    <t>p24-3G 74F85</t>
  </si>
  <si>
    <t>p24-3G 75F51</t>
  </si>
  <si>
    <t>StabTraj V3.1</t>
  </si>
  <si>
    <t>StabTraj V3.2</t>
  </si>
  <si>
    <t>µ-propu C6-3 x2</t>
  </si>
  <si>
    <t>µ-propu C6-3 x3</t>
  </si>
  <si>
    <t>Propu : +RC &amp; +Tintin 2013 : 3 p24-1G, p24-3G 75F51 &amp; 60F50, Pro98-2G &amp; 3G WT</t>
  </si>
  <si>
    <t>Propu : +multi-µ-fu, -Wapiti, warning Cariacou, "Rufina"</t>
  </si>
  <si>
    <t>Donneés au format des fiches de lancement Fusex :</t>
  </si>
  <si>
    <t>Projet</t>
  </si>
  <si>
    <t>Chef de projet</t>
  </si>
  <si>
    <t>Date</t>
  </si>
  <si>
    <t>Moteur</t>
  </si>
  <si>
    <t>Virole</t>
  </si>
  <si>
    <t>MECANIQUE</t>
  </si>
  <si>
    <t xml:space="preserve">l = </t>
  </si>
  <si>
    <t xml:space="preserve">D = </t>
  </si>
  <si>
    <t>Dj =</t>
  </si>
  <si>
    <t xml:space="preserve">Dr = </t>
  </si>
  <si>
    <t xml:space="preserve">m = </t>
  </si>
  <si>
    <t>Epaisseur :</t>
  </si>
  <si>
    <t>Nb Aileron</t>
  </si>
  <si>
    <t>Type ogive</t>
  </si>
  <si>
    <t>ogivale</t>
  </si>
  <si>
    <t>parabolique</t>
  </si>
  <si>
    <t>X_plaque de poussée</t>
  </si>
  <si>
    <t>Masse fusée</t>
  </si>
  <si>
    <t>X_CdG</t>
  </si>
  <si>
    <t>Propu plein</t>
  </si>
  <si>
    <t>Sans propu</t>
  </si>
  <si>
    <t>Masse avec propu vide</t>
  </si>
  <si>
    <t>Simulation de vol</t>
  </si>
  <si>
    <t>Tenue mécanique</t>
  </si>
  <si>
    <t>masse d'un aileron</t>
  </si>
  <si>
    <t>superficie d'un aileron</t>
  </si>
  <si>
    <t>fleche acceptable(mm)</t>
  </si>
  <si>
    <t>compression</t>
  </si>
  <si>
    <t>Resistance longitudinale d'un aileron</t>
  </si>
  <si>
    <t>Resistance transversale d'un aileron</t>
  </si>
  <si>
    <t>Récupération</t>
  </si>
  <si>
    <t>Ralentisseur</t>
  </si>
  <si>
    <t>nombre de suspentes</t>
  </si>
  <si>
    <t>surface parachute</t>
  </si>
  <si>
    <t>force à tester totale</t>
  </si>
  <si>
    <t>force sur suspente</t>
  </si>
  <si>
    <t>Séparation latérale</t>
  </si>
  <si>
    <t>masse au dessus case para</t>
  </si>
  <si>
    <t>Force de compression</t>
  </si>
  <si>
    <t>MINIF PRO24-6G</t>
  </si>
  <si>
    <t>MINIF PRO38-1G</t>
  </si>
  <si>
    <t>p29-2G 84G88</t>
  </si>
  <si>
    <t>p29-2G 93G80</t>
  </si>
  <si>
    <t>p29-2G 110G250</t>
  </si>
  <si>
    <t>p29-2G 116G126</t>
  </si>
  <si>
    <t>p38-1G 137G58</t>
  </si>
  <si>
    <t>p38-1G 128G185</t>
  </si>
  <si>
    <t>p29-1G 41F36</t>
  </si>
  <si>
    <t>p29-1G 51F36</t>
  </si>
  <si>
    <t>p29-1G 55F29</t>
  </si>
  <si>
    <t>p29-1G 56F120</t>
  </si>
  <si>
    <t>p29-1G 57F59</t>
  </si>
  <si>
    <t>MINIF PRO29-3G</t>
  </si>
  <si>
    <t>p29-3G 125G131</t>
  </si>
  <si>
    <t>p38-1G 141G78</t>
  </si>
  <si>
    <t>MINIF PRO24-2G</t>
  </si>
  <si>
    <t>p24-2G 50E51</t>
  </si>
  <si>
    <t>p24-1G 53E70</t>
  </si>
  <si>
    <t>p29-3G 159G125</t>
  </si>
  <si>
    <t>Dépotage</t>
  </si>
  <si>
    <t>Combustion</t>
  </si>
  <si>
    <t>Sylvain Besson</t>
  </si>
  <si>
    <t>Minif Test</t>
  </si>
  <si>
    <t>Rocketry Challenge</t>
  </si>
  <si>
    <t>,Minif Tests</t>
  </si>
  <si>
    <t>MiniR</t>
  </si>
  <si>
    <t>MiniRN</t>
  </si>
  <si>
    <t>MiniN</t>
  </si>
  <si>
    <t>H20</t>
  </si>
  <si>
    <t>micro</t>
  </si>
  <si>
    <t>minif N</t>
  </si>
  <si>
    <t>Verification moteur</t>
  </si>
  <si>
    <t>Minif RC</t>
  </si>
  <si>
    <t>N/A</t>
  </si>
  <si>
    <t>T_para =</t>
  </si>
  <si>
    <t>-9</t>
  </si>
  <si>
    <t>-7</t>
  </si>
  <si>
    <t>-5</t>
  </si>
  <si>
    <t>-3</t>
  </si>
  <si>
    <t>-0</t>
  </si>
  <si>
    <t>Délais dépotage</t>
  </si>
  <si>
    <t>Propu : +ProX, Stabilito : séparation minif/RC, Trajecto : dépotage +rampe RC 3m</t>
  </si>
  <si>
    <t>StabTraj V3.3a</t>
  </si>
  <si>
    <t>p24-1G 25E75 (Rufina)</t>
  </si>
  <si>
    <t>Modification des alertes, +Effort subit par les parachutes</t>
  </si>
  <si>
    <t>Pour prendre en compte plsu de moteurs, il faut changer les variables "menu_type" et "liste"propu" dans le gestionnaire de noms.</t>
  </si>
  <si>
    <t>StabTraj V3.3e</t>
  </si>
  <si>
    <t>Efforts</t>
  </si>
  <si>
    <t>Xcp0</t>
  </si>
  <si>
    <t>Mono-empennage</t>
  </si>
  <si>
    <t>Bi-empennage</t>
  </si>
  <si>
    <t>Portée balistique &lt; 200 m</t>
  </si>
  <si>
    <t>Indication dépotage lanceur</t>
  </si>
  <si>
    <t>~0 m</t>
  </si>
  <si>
    <t>Données au format des fiches de contrôles minif :</t>
  </si>
  <si>
    <t xml:space="preserve">n = </t>
  </si>
  <si>
    <t xml:space="preserve">E = </t>
  </si>
  <si>
    <t xml:space="preserve">p = </t>
  </si>
  <si>
    <t>1,5.D &lt; Ms &lt; 6.D</t>
  </si>
  <si>
    <t xml:space="preserve">ailrons haut </t>
  </si>
  <si>
    <t>nombre</t>
  </si>
  <si>
    <t xml:space="preserve">ep = </t>
  </si>
  <si>
    <t>Fusée</t>
  </si>
  <si>
    <t>D</t>
  </si>
  <si>
    <t>L ogive</t>
  </si>
  <si>
    <t>L tot</t>
  </si>
  <si>
    <t>X prop</t>
  </si>
  <si>
    <t>Ailerons</t>
  </si>
  <si>
    <t>n</t>
  </si>
  <si>
    <t>p</t>
  </si>
  <si>
    <t>E</t>
  </si>
  <si>
    <t>X ail</t>
  </si>
  <si>
    <t>Bi empennage</t>
  </si>
  <si>
    <t>L</t>
  </si>
  <si>
    <t>D 1</t>
  </si>
  <si>
    <t>D 2</t>
  </si>
  <si>
    <t>X</t>
  </si>
  <si>
    <t>X cg (sans)</t>
  </si>
  <si>
    <t>(mm)</t>
  </si>
  <si>
    <t>Masse sans propu (kg)</t>
  </si>
  <si>
    <t>Couleur de la fusée</t>
  </si>
  <si>
    <t>Type d'éjection du para.</t>
  </si>
  <si>
    <t>Couleur du ralentisseur</t>
  </si>
  <si>
    <t>Surface ralentisseur (m²)</t>
  </si>
  <si>
    <t>Masse sans prop. (kg)</t>
  </si>
  <si>
    <t>Diamètre max (mm)</t>
  </si>
  <si>
    <t>Longeur de la rampe (m)</t>
  </si>
  <si>
    <t>Propulseur</t>
  </si>
  <si>
    <t>module rocket(){</t>
  </si>
  <si>
    <t>}</t>
  </si>
  <si>
    <t>//--------------------------------coiffe</t>
  </si>
  <si>
    <t>if (coiffe_type   == "conique"){</t>
  </si>
  <si>
    <t>//--------------------------------corps</t>
  </si>
  <si>
    <t>if (plusieur_diametres == false){</t>
  </si>
  <si>
    <t>} else {</t>
  </si>
  <si>
    <t>//--------------------------------ailerons</t>
  </si>
  <si>
    <t>aileron(coiffe_diametre, aileron_m_emplature,</t>
  </si>
  <si>
    <t xml:space="preserve"> aileron_position_bas);</t>
  </si>
  <si>
    <t>if (bi_empennage == true){</t>
  </si>
  <si>
    <t xml:space="preserve"> aileron_sup_nombre,</t>
  </si>
  <si>
    <t>rocket();</t>
  </si>
  <si>
    <t xml:space="preserve">	module aileron(diam, m, n, p, e, ep, nb, pos, masque = true){</t>
  </si>
  <si>
    <t xml:space="preserve"> 		depha =   masque ? 0 : 45 ;</t>
  </si>
  <si>
    <t xml:space="preserve">		for (angle = [0 : 360/nb : 360] ){</t>
  </si>
  <si>
    <t xml:space="preserve">			translate ([-diam*sin(angle+depha), diam*cos(angle+depha), pos-m]) {</t>
  </si>
  <si>
    <t xml:space="preserve">				rotate( [0, 0, angle+depha] ){</t>
  </si>
  <si>
    <t xml:space="preserve">	</t>
  </si>
  <si>
    <t xml:space="preserve">					polyhedron</t>
  </si>
  <si>
    <t xml:space="preserve">						(points = [</t>
  </si>
  <si>
    <t xml:space="preserve">							[+ep, 0, 0], [+ep, 0, m], [+ep, e, p+n],  [+ep, e, p],</t>
  </si>
  <si>
    <t xml:space="preserve">							[-ep, 0, 0], [-ep, 0, m], [-ep, e, p+n],  [-ep, e, p]</t>
  </si>
  <si>
    <t xml:space="preserve">							],</t>
  </si>
  <si>
    <t xml:space="preserve">						triangles = [</t>
  </si>
  <si>
    <t xml:space="preserve">							[0, 2, 1], [0, 2, 3], //carre +</t>
  </si>
  <si>
    <t xml:space="preserve">							[4, 6, 5], [4, 6, 7], //carre -</t>
  </si>
  <si>
    <t xml:space="preserve">							[0, 5, 1], [0, 5, 4],</t>
  </si>
  <si>
    <t xml:space="preserve">							[1, 6, 2], [1, 6, 5],</t>
  </si>
  <si>
    <t xml:space="preserve">							[2, 7, 3], [2, 7, 6],</t>
  </si>
  <si>
    <t xml:space="preserve">							[0, 7, 3], [0, 7, 4]</t>
  </si>
  <si>
    <t xml:space="preserve">							]</t>
  </si>
  <si>
    <t xml:space="preserve">						);</t>
  </si>
  <si>
    <t xml:space="preserve">				}</t>
  </si>
  <si>
    <t xml:space="preserve">			}</t>
  </si>
  <si>
    <t xml:space="preserve">		}</t>
  </si>
  <si>
    <t xml:space="preserve">	}	</t>
  </si>
  <si>
    <t xml:space="preserve">	module coiffe(diam, hauteur, resolution = 20.0){</t>
  </si>
  <si>
    <t xml:space="preserve">		pas = hauteur/resolution;</t>
  </si>
  <si>
    <t xml:space="preserve">		for (x = [0: pas : hauteur] ){</t>
  </si>
  <si>
    <t xml:space="preserve">			translate( [0, 0, x+pas] ){</t>
  </si>
  <si>
    <t xml:space="preserve">				cylinder(pas, pow(x, 1.0/2.0), pow(x+pas, 1.0/2.0), false);</t>
  </si>
  <si>
    <t xml:space="preserve">	}</t>
  </si>
  <si>
    <t xml:space="preserve">	cylinder(coiffe_hauteur, 0, coiffe_diametre, false);</t>
  </si>
  <si>
    <t xml:space="preserve">	translate ([0, 0, coiffe_hauteur]) {</t>
  </si>
  <si>
    <t xml:space="preserve">		cylinder(longeur_total-coiffe_hauteur, coiffe_diametre, coiffe_diametre, false);</t>
  </si>
  <si>
    <t xml:space="preserve">	//Premier cylindre</t>
  </si>
  <si>
    <t xml:space="preserve">		cylinder(diam_A_X_implantation-coiffe_hauteur, coiffe_diametre, coiffe_diametre, false);</t>
  </si>
  <si>
    <t xml:space="preserve">	//Premier chanvrin</t>
  </si>
  <si>
    <t xml:space="preserve">	translate ([0, 0, diam_A_X_implantation]) {</t>
  </si>
  <si>
    <t xml:space="preserve">		cylinder(diam_A_L_longeur, diam_A_D1_diametre, diam_A_D2_diametre, false);</t>
  </si>
  <si>
    <t xml:space="preserve">		</t>
  </si>
  <si>
    <t xml:space="preserve">	//Second cylindre</t>
  </si>
  <si>
    <t xml:space="preserve">	translate ([0, 0, diam_A_X_implantation+diam_A_L_longeur]) {</t>
  </si>
  <si>
    <t xml:space="preserve">		cylinder(diam_B_X_implantation-(diam_A_X_implantation+diam_A_L_longeur), diam_A_D2_diametre, diam_B_D1_diametre, false);</t>
  </si>
  <si>
    <t xml:space="preserve">	//Second chanvrin</t>
  </si>
  <si>
    <t xml:space="preserve">	translate ([0, 0, diam_B_X_implantation]) {</t>
  </si>
  <si>
    <t xml:space="preserve">		cylinder(diam_B_L_longeur, diam_B_D1_diametre, diam_B_D2_diametre, false);</t>
  </si>
  <si>
    <t xml:space="preserve">	//Troisieme cylindre</t>
  </si>
  <si>
    <t xml:space="preserve">	translate ([0, 0, diam_B_X_implantation + diam_B_L_longeur]) {</t>
  </si>
  <si>
    <t xml:space="preserve">		cylinder(longeur_total-(diam_B_X_implantation + diam_B_L_longeur), diam_B_D2_diametre, diam_B_D2_diametre, false);</t>
  </si>
  <si>
    <t xml:space="preserve">	 aileron_n_saumon, </t>
  </si>
  <si>
    <t xml:space="preserve">	 aileron_p_fleche,</t>
  </si>
  <si>
    <t xml:space="preserve">	 aileron_e_envergure,</t>
  </si>
  <si>
    <t xml:space="preserve">	 aileron_epaisseur,</t>
  </si>
  <si>
    <t xml:space="preserve">	 aileron_nombre,</t>
  </si>
  <si>
    <t xml:space="preserve">	aileron(coiffe_diametre, aileron_sup_m_emplature,</t>
  </si>
  <si>
    <t xml:space="preserve">	 aileron_sup_n_saumon,</t>
  </si>
  <si>
    <t xml:space="preserve">	 aileron_sup_p_fleche,</t>
  </si>
  <si>
    <t xml:space="preserve">	 aileron_sup_e_envergure,</t>
  </si>
  <si>
    <t xml:space="preserve">	 aileron_sup_epaisseur,</t>
  </si>
  <si>
    <t xml:space="preserve">	 aileron_sup_position_bas,</t>
  </si>
  <si>
    <t xml:space="preserve">	 aileron_sup_masque);</t>
  </si>
  <si>
    <t>p24-6G 140G145 PK</t>
  </si>
  <si>
    <t>p24-6G 139G107 DT</t>
  </si>
  <si>
    <t>p24-6G 142G117 WT</t>
  </si>
  <si>
    <t>Klima D9-7 x2</t>
  </si>
  <si>
    <t>Klima D9-7 x3</t>
  </si>
  <si>
    <t>Klima D9-7</t>
  </si>
  <si>
    <t>StabTraj V3.4.1</t>
  </si>
  <si>
    <t>Propu : +Klima D9</t>
  </si>
  <si>
    <t>p29-1G 56F31</t>
  </si>
  <si>
    <t xml:space="preserve"> 143G150 BS</t>
  </si>
  <si>
    <t>StabTraj V3.4.2</t>
  </si>
  <si>
    <t>Ajout propu</t>
  </si>
  <si>
    <t>Pandora (Pro24-6G BS)</t>
  </si>
  <si>
    <t>Barasinga (Pro54-5G C)</t>
  </si>
  <si>
    <t>Orignal (Pro75-3G C)</t>
  </si>
  <si>
    <t>Blastocerus (Pro98-6GXL RL)</t>
  </si>
  <si>
    <t>Pro54-5G WT</t>
  </si>
  <si>
    <t>Flavien DENIS</t>
  </si>
  <si>
    <t>Ajout Pro54-5G WT et Pro98-6G Green</t>
  </si>
  <si>
    <t>StabTraj V3.4.3</t>
  </si>
  <si>
    <t>Pro98-6G Green</t>
  </si>
  <si>
    <t>StabTraj V3.4.4</t>
  </si>
  <si>
    <t>Type de para</t>
  </si>
  <si>
    <t>Rond</t>
  </si>
  <si>
    <t>Croix</t>
  </si>
  <si>
    <t>Autre</t>
  </si>
  <si>
    <t>Unification Type Minif et RC + liste déroulante pour le type de parachute.</t>
  </si>
  <si>
    <t>Matricule</t>
  </si>
  <si>
    <t>Matriucle</t>
  </si>
  <si>
    <t>Corrections mineurs</t>
  </si>
  <si>
    <t>StabTraj V3.4.5</t>
  </si>
  <si>
    <t>v3.4.5</t>
  </si>
  <si>
    <t>Fusée expérimentale.</t>
  </si>
  <si>
    <t>L'AéroIPSA</t>
  </si>
  <si>
    <t>Conique (droite)</t>
  </si>
  <si>
    <t>Plusieurs diamètres.</t>
  </si>
  <si>
    <t>SP02</t>
  </si>
  <si>
    <t>sans propu</t>
  </si>
  <si>
    <t>Cnalpha</t>
  </si>
  <si>
    <t>MS</t>
  </si>
  <si>
    <t>OpenRocket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</si>
</sst>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3">
    <numFmt numFmtId="164" formatCode="General&quot; kg&quot;"/>
    <numFmt numFmtId="165" formatCode="0.0"/>
    <numFmt numFmtId="166" formatCode="0.000000&quot; m²&quot;"/>
    <numFmt numFmtId="167" formatCode="General&quot; m&quot;"/>
    <numFmt numFmtId="168" formatCode="General&quot; °&quot;"/>
    <numFmt numFmtId="169" formatCode="0.000"/>
    <numFmt numFmtId="170" formatCode="General&quot; s&quot;"/>
    <numFmt numFmtId="171" formatCode="General&quot; m²&quot;"/>
    <numFmt numFmtId="172" formatCode="0&quot; m/s&quot;"/>
    <numFmt numFmtId="173" formatCode="0&quot; s&quot;"/>
    <numFmt numFmtId="174" formatCode="General&quot; m/s&quot;"/>
    <numFmt numFmtId="175" formatCode="0&quot; m&quot;"/>
    <numFmt numFmtId="176" formatCode="General\ &quot;kg&quot;"/>
    <numFmt numFmtId="177" formatCode="General\ &quot;mm&quot;"/>
    <numFmt numFmtId="178" formatCode="0&quot; mm&quot;"/>
    <numFmt numFmtId="179" formatCode="General\ &quot;D&quot;"/>
    <numFmt numFmtId="180" formatCode="0.00&quot; D&quot;"/>
    <numFmt numFmtId="181" formatCode="0&quot;% L&quot;"/>
    <numFmt numFmtId="182" formatCode="General\°"/>
    <numFmt numFmtId="183" formatCode="0.#"/>
    <numFmt numFmtId="184" formatCode="0.0&quot; N.s&quot;"/>
    <numFmt numFmtId="185" formatCode="\±\ 0&quot; m&quot;"/>
    <numFmt numFmtId="186" formatCode="0.0&quot; s&quot;"/>
    <numFmt numFmtId="187" formatCode="0.0&quot; m/s&quot;"/>
    <numFmt numFmtId="188" formatCode="0&quot; m/s²&quot;"/>
    <numFmt numFmtId="189" formatCode="0.00&quot; m²&quot;"/>
    <numFmt numFmtId="190" formatCode="General\ &quot;g&quot;"/>
    <numFmt numFmtId="191" formatCode="#,##0.0\ [$ N]"/>
    <numFmt numFmtId="192" formatCode="#,##0.000\ [$KG]"/>
    <numFmt numFmtId="193" formatCode="0.0&quot; mm&quot;"/>
    <numFmt numFmtId="194" formatCode="General&quot; kg ±100%&quot;"/>
    <numFmt numFmtId="195" formatCode="0&quot; mm ±50%&quot;"/>
    <numFmt numFmtId="196" formatCode="General\ &quot;m/s²&quot;"/>
    <numFmt numFmtId="197" formatCode="&quot;Ø = &quot;0&quot; mm&quot;"/>
    <numFmt numFmtId="198" formatCode="#,##0\ [$ mm²]"/>
    <numFmt numFmtId="199" formatCode="#,#00\ [$ mm]"/>
    <numFmt numFmtId="200" formatCode="#,##0\ [$mm]"/>
    <numFmt numFmtId="201" formatCode="#,##0.00000\ [$ m²]"/>
    <numFmt numFmtId="202" formatCode="#,##0.0\ [$ kg]"/>
    <numFmt numFmtId="203" formatCode="0.00&quot; s&quot;"/>
    <numFmt numFmtId="204" formatCode="0.0&quot; N&quot;"/>
    <numFmt numFmtId="205" formatCode="0&quot; J&quot;"/>
    <numFmt numFmtId="206" formatCode="0&quot; G&quot;"/>
  </numFmts>
  <fonts count="52" x14ac:knownFonts="1">
    <font>
      <sz val="10"/>
      <name val="Arial"/>
      <family val="2"/>
    </font>
    <font>
      <sz val="10"/>
      <name val="Arial"/>
      <family val="2"/>
    </font>
    <font>
      <b/>
      <sz val="10"/>
      <name val="Arial"/>
      <family val="2"/>
    </font>
    <font>
      <b/>
      <sz val="20"/>
      <color indexed="9"/>
      <name val="Arial"/>
      <family val="2"/>
    </font>
    <font>
      <b/>
      <sz val="12"/>
      <name val="Times New Roman"/>
      <family val="1"/>
    </font>
    <font>
      <b/>
      <sz val="9"/>
      <name val="Arial"/>
      <family val="2"/>
    </font>
    <font>
      <b/>
      <u/>
      <sz val="10"/>
      <name val="Arial"/>
      <family val="2"/>
    </font>
    <font>
      <sz val="10"/>
      <color indexed="9"/>
      <name val="Arial"/>
      <family val="2"/>
    </font>
    <font>
      <sz val="8"/>
      <name val="Arial"/>
      <family val="2"/>
    </font>
    <font>
      <u/>
      <sz val="10"/>
      <name val="Arial"/>
      <family val="2"/>
    </font>
    <font>
      <u/>
      <sz val="10"/>
      <color indexed="12"/>
      <name val="Arial"/>
      <family val="2"/>
    </font>
    <font>
      <b/>
      <sz val="10"/>
      <color indexed="18"/>
      <name val="Arial"/>
      <family val="2"/>
    </font>
    <font>
      <b/>
      <sz val="10"/>
      <color indexed="58"/>
      <name val="Arial"/>
      <family val="2"/>
    </font>
    <font>
      <b/>
      <sz val="10"/>
      <color indexed="17"/>
      <name val="Arial"/>
      <family val="2"/>
    </font>
    <font>
      <b/>
      <sz val="10"/>
      <color indexed="23"/>
      <name val="Arial"/>
      <family val="2"/>
    </font>
    <font>
      <sz val="10"/>
      <name val="Arial"/>
      <family val="2"/>
    </font>
    <font>
      <b/>
      <sz val="10"/>
      <color indexed="10"/>
      <name val="Arial"/>
      <family val="2"/>
    </font>
    <font>
      <b/>
      <sz val="14"/>
      <color indexed="10"/>
      <name val="Arial"/>
      <family val="2"/>
    </font>
    <font>
      <sz val="8"/>
      <color indexed="8"/>
      <name val="Tahoma"/>
      <family val="2"/>
    </font>
    <font>
      <i/>
      <sz val="8"/>
      <color indexed="8"/>
      <name val="Tahoma"/>
      <family val="2"/>
    </font>
    <font>
      <b/>
      <sz val="8"/>
      <color indexed="8"/>
      <name val="Tahoma"/>
      <family val="2"/>
    </font>
    <font>
      <sz val="8"/>
      <color indexed="10"/>
      <name val="Tahoma"/>
      <family val="2"/>
    </font>
    <font>
      <i/>
      <sz val="8"/>
      <color indexed="10"/>
      <name val="Tahoma"/>
      <family val="2"/>
    </font>
    <font>
      <b/>
      <u/>
      <sz val="8"/>
      <color indexed="8"/>
      <name val="Tahoma"/>
      <family val="2"/>
    </font>
    <font>
      <b/>
      <sz val="8"/>
      <color indexed="16"/>
      <name val="Tahoma"/>
      <family val="2"/>
    </font>
    <font>
      <i/>
      <sz val="8"/>
      <color indexed="16"/>
      <name val="Tahoma"/>
      <family val="2"/>
    </font>
    <font>
      <strike/>
      <sz val="10"/>
      <name val="Arial"/>
      <family val="2"/>
    </font>
    <font>
      <b/>
      <i/>
      <sz val="8"/>
      <color indexed="8"/>
      <name val="Tahoma"/>
      <family val="2"/>
    </font>
    <font>
      <b/>
      <sz val="10"/>
      <color indexed="23"/>
      <name val="Arial"/>
      <family val="2"/>
    </font>
    <font>
      <b/>
      <sz val="6"/>
      <name val="Arial"/>
      <family val="2"/>
    </font>
    <font>
      <sz val="8"/>
      <color indexed="23"/>
      <name val="Arial"/>
      <family val="2"/>
    </font>
    <font>
      <b/>
      <sz val="10"/>
      <color indexed="23"/>
      <name val="Arial"/>
      <family val="2"/>
    </font>
    <font>
      <b/>
      <sz val="10"/>
      <color indexed="23"/>
      <name val="Arial"/>
      <family val="2"/>
    </font>
    <font>
      <sz val="10"/>
      <color indexed="23"/>
      <name val="Arial"/>
      <family val="2"/>
    </font>
    <font>
      <sz val="10"/>
      <color indexed="12"/>
      <name val="Arial"/>
      <family val="2"/>
    </font>
    <font>
      <b/>
      <sz val="12"/>
      <name val="Arial"/>
      <family val="2"/>
    </font>
    <font>
      <b/>
      <sz val="8"/>
      <name val="Arial"/>
      <family val="2"/>
    </font>
    <font>
      <sz val="8"/>
      <color indexed="12"/>
      <name val="Tahoma"/>
      <family val="2"/>
    </font>
    <font>
      <i/>
      <sz val="8"/>
      <color indexed="12"/>
      <name val="Tahoma"/>
      <family val="2"/>
    </font>
    <font>
      <sz val="8"/>
      <color indexed="81"/>
      <name val="Tahoma"/>
      <family val="2"/>
    </font>
    <font>
      <i/>
      <sz val="8"/>
      <color indexed="81"/>
      <name val="Tahoma"/>
      <family val="2"/>
    </font>
    <font>
      <b/>
      <sz val="10"/>
      <color indexed="53"/>
      <name val="Arial"/>
      <family val="2"/>
    </font>
    <font>
      <b/>
      <u/>
      <sz val="12"/>
      <name val="Arial"/>
      <family val="2"/>
    </font>
    <font>
      <b/>
      <i/>
      <sz val="10"/>
      <name val="Arial"/>
      <family val="2"/>
    </font>
    <font>
      <b/>
      <sz val="8"/>
      <color indexed="81"/>
      <name val="Tahoma"/>
      <family val="2"/>
    </font>
    <font>
      <b/>
      <sz val="10"/>
      <color rgb="FFFF0000"/>
      <name val="Arial"/>
      <family val="2"/>
    </font>
    <font>
      <b/>
      <sz val="10"/>
      <color rgb="FF808080"/>
      <name val="Arial"/>
      <family val="2"/>
    </font>
    <font>
      <sz val="10"/>
      <color rgb="FF808080"/>
      <name val="Arial"/>
      <family val="2"/>
    </font>
    <font>
      <sz val="8"/>
      <color rgb="FF808080"/>
      <name val="Arial"/>
      <family val="2"/>
    </font>
    <font>
      <sz val="8"/>
      <color theme="0"/>
      <name val="Arial"/>
      <family val="2"/>
    </font>
    <font>
      <sz val="10"/>
      <color rgb="FFFF0000"/>
      <name val="Arial"/>
      <family val="2"/>
    </font>
    <font>
      <b/>
      <sz val="10"/>
      <color theme="1"/>
      <name val="Arial"/>
      <family val="2"/>
    </font>
  </fonts>
  <fills count="35">
    <fill>
      <patternFill patternType="none"/>
    </fill>
    <fill>
      <patternFill patternType="gray125"/>
    </fill>
    <fill>
      <patternFill patternType="solid">
        <fgColor indexed="9"/>
        <bgColor indexed="26"/>
      </patternFill>
    </fill>
    <fill>
      <patternFill patternType="solid">
        <fgColor indexed="43"/>
        <bgColor indexed="42"/>
      </patternFill>
    </fill>
    <fill>
      <patternFill patternType="solid">
        <fgColor indexed="43"/>
        <bgColor indexed="64"/>
      </patternFill>
    </fill>
    <fill>
      <patternFill patternType="solid">
        <fgColor indexed="27"/>
        <bgColor indexed="64"/>
      </patternFill>
    </fill>
    <fill>
      <patternFill patternType="solid">
        <fgColor indexed="44"/>
        <bgColor indexed="64"/>
      </patternFill>
    </fill>
    <fill>
      <patternFill patternType="solid">
        <fgColor indexed="27"/>
        <bgColor indexed="42"/>
      </patternFill>
    </fill>
    <fill>
      <patternFill patternType="solid">
        <fgColor indexed="44"/>
        <bgColor indexed="27"/>
      </patternFill>
    </fill>
    <fill>
      <patternFill patternType="solid">
        <fgColor indexed="44"/>
        <bgColor indexed="22"/>
      </patternFill>
    </fill>
    <fill>
      <patternFill patternType="solid">
        <fgColor indexed="47"/>
        <bgColor indexed="64"/>
      </patternFill>
    </fill>
    <fill>
      <patternFill patternType="solid">
        <fgColor indexed="47"/>
        <bgColor indexed="27"/>
      </patternFill>
    </fill>
    <fill>
      <patternFill patternType="solid">
        <fgColor indexed="47"/>
        <bgColor indexed="44"/>
      </patternFill>
    </fill>
    <fill>
      <patternFill patternType="solid">
        <fgColor indexed="42"/>
        <bgColor indexed="42"/>
      </patternFill>
    </fill>
    <fill>
      <patternFill patternType="solid">
        <fgColor indexed="42"/>
        <bgColor indexed="64"/>
      </patternFill>
    </fill>
    <fill>
      <patternFill patternType="solid">
        <fgColor indexed="43"/>
        <bgColor indexed="44"/>
      </patternFill>
    </fill>
    <fill>
      <patternFill patternType="solid">
        <fgColor indexed="26"/>
        <bgColor indexed="41"/>
      </patternFill>
    </fill>
    <fill>
      <patternFill patternType="solid">
        <fgColor indexed="42"/>
        <bgColor indexed="41"/>
      </patternFill>
    </fill>
    <fill>
      <patternFill patternType="solid">
        <fgColor indexed="43"/>
        <bgColor indexed="41"/>
      </patternFill>
    </fill>
    <fill>
      <patternFill patternType="solid">
        <fgColor indexed="8"/>
        <bgColor indexed="64"/>
      </patternFill>
    </fill>
    <fill>
      <patternFill patternType="solid">
        <fgColor indexed="8"/>
        <bgColor indexed="58"/>
      </patternFill>
    </fill>
    <fill>
      <patternFill patternType="solid">
        <fgColor rgb="FFCCFFFF"/>
        <bgColor indexed="41"/>
      </patternFill>
    </fill>
    <fill>
      <patternFill patternType="solid">
        <fgColor rgb="FF99CCFF"/>
        <bgColor indexed="31"/>
      </patternFill>
    </fill>
    <fill>
      <patternFill patternType="solid">
        <fgColor rgb="FFCCFFFF"/>
        <bgColor indexed="42"/>
      </patternFill>
    </fill>
    <fill>
      <patternFill patternType="solid">
        <fgColor rgb="FFCCFFCC"/>
        <bgColor indexed="42"/>
      </patternFill>
    </fill>
    <fill>
      <patternFill patternType="solid">
        <fgColor rgb="FFCCFFCC"/>
        <bgColor indexed="41"/>
      </patternFill>
    </fill>
    <fill>
      <patternFill patternType="solid">
        <fgColor rgb="FFFFCC99"/>
        <bgColor indexed="31"/>
      </patternFill>
    </fill>
    <fill>
      <patternFill patternType="solid">
        <fgColor rgb="FF99CCFF"/>
        <bgColor indexed="64"/>
      </patternFill>
    </fill>
    <fill>
      <patternFill patternType="solid">
        <fgColor rgb="FFFFCC99"/>
        <bgColor indexed="64"/>
      </patternFill>
    </fill>
    <fill>
      <patternFill patternType="solid">
        <fgColor rgb="FFCCFFCC"/>
        <bgColor indexed="64"/>
      </patternFill>
    </fill>
    <fill>
      <patternFill patternType="solid">
        <fgColor rgb="FFFFFF99"/>
        <bgColor indexed="64"/>
      </patternFill>
    </fill>
    <fill>
      <patternFill patternType="solid">
        <fgColor rgb="FFFFCC99"/>
        <bgColor indexed="42"/>
      </patternFill>
    </fill>
    <fill>
      <patternFill patternType="solid">
        <fgColor rgb="FFCCFFFF"/>
        <bgColor indexed="64"/>
      </patternFill>
    </fill>
    <fill>
      <patternFill patternType="solid">
        <fgColor rgb="FFFFFF99"/>
        <bgColor indexed="42"/>
      </patternFill>
    </fill>
    <fill>
      <patternFill patternType="solid">
        <fgColor theme="0" tint="-0.499984740745262"/>
        <bgColor indexed="64"/>
      </patternFill>
    </fill>
  </fills>
  <borders count="104">
    <border>
      <left/>
      <right/>
      <top/>
      <bottom/>
      <diagonal/>
    </border>
    <border>
      <left style="medium">
        <color indexed="8"/>
      </left>
      <right style="medium">
        <color indexed="8"/>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style="double">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8"/>
      </right>
      <top style="medium">
        <color indexed="8"/>
      </top>
      <bottom style="medium">
        <color indexed="8"/>
      </bottom>
      <diagonal/>
    </border>
    <border>
      <left style="hair">
        <color indexed="8"/>
      </left>
      <right style="hair">
        <color indexed="8"/>
      </right>
      <top style="hair">
        <color indexed="8"/>
      </top>
      <bottom style="hair">
        <color indexed="8"/>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style="thin">
        <color indexed="23"/>
      </bottom>
      <diagonal/>
    </border>
    <border>
      <left style="thin">
        <color indexed="8"/>
      </left>
      <right style="thin">
        <color indexed="8"/>
      </right>
      <top style="thin">
        <color indexed="23"/>
      </top>
      <bottom style="thin">
        <color indexed="8"/>
      </bottom>
      <diagonal/>
    </border>
    <border>
      <left style="thin">
        <color indexed="8"/>
      </left>
      <right/>
      <top style="thin">
        <color indexed="8"/>
      </top>
      <bottom style="thin">
        <color indexed="8"/>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8"/>
      </right>
      <top style="thin">
        <color indexed="8"/>
      </top>
      <bottom style="thin">
        <color indexed="8"/>
      </bottom>
      <diagonal/>
    </border>
    <border>
      <left style="thick">
        <color indexed="11"/>
      </left>
      <right style="thick">
        <color indexed="11"/>
      </right>
      <top style="thick">
        <color indexed="11"/>
      </top>
      <bottom style="thick">
        <color indexed="11"/>
      </bottom>
      <diagonal/>
    </border>
    <border>
      <left style="thick">
        <color indexed="11"/>
      </left>
      <right style="thick">
        <color indexed="57"/>
      </right>
      <top style="thick">
        <color indexed="57"/>
      </top>
      <bottom style="thick">
        <color indexed="57"/>
      </bottom>
      <diagonal/>
    </border>
    <border>
      <left style="thick">
        <color indexed="57"/>
      </left>
      <right style="mediumDashed">
        <color indexed="10"/>
      </right>
      <top style="mediumDashed">
        <color indexed="10"/>
      </top>
      <bottom style="mediumDashed">
        <color indexed="10"/>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8"/>
      </left>
      <right style="thin">
        <color indexed="8"/>
      </right>
      <top style="medium">
        <color indexed="8"/>
      </top>
      <bottom style="thin">
        <color indexed="8"/>
      </bottom>
      <diagonal/>
    </border>
    <border>
      <left style="thin">
        <color indexed="8"/>
      </left>
      <right style="medium">
        <color indexed="8"/>
      </right>
      <top style="medium">
        <color indexed="8"/>
      </top>
      <bottom style="thin">
        <color indexed="8"/>
      </bottom>
      <diagonal/>
    </border>
    <border>
      <left style="medium">
        <color indexed="8"/>
      </left>
      <right style="thin">
        <color indexed="8"/>
      </right>
      <top style="thin">
        <color indexed="8"/>
      </top>
      <bottom style="thin">
        <color indexed="64"/>
      </bottom>
      <diagonal/>
    </border>
    <border>
      <left style="thin">
        <color indexed="8"/>
      </left>
      <right style="medium">
        <color indexed="8"/>
      </right>
      <top style="thin">
        <color indexed="8"/>
      </top>
      <bottom style="thin">
        <color indexed="64"/>
      </bottom>
      <diagonal/>
    </border>
    <border>
      <left style="medium">
        <color indexed="8"/>
      </left>
      <right style="thin">
        <color indexed="8"/>
      </right>
      <top/>
      <bottom style="thin">
        <color indexed="8"/>
      </bottom>
      <diagonal/>
    </border>
    <border>
      <left style="thin">
        <color indexed="8"/>
      </left>
      <right style="thin">
        <color indexed="8"/>
      </right>
      <top style="medium">
        <color indexed="8"/>
      </top>
      <bottom style="thin">
        <color indexed="8"/>
      </bottom>
      <diagonal/>
    </border>
    <border>
      <left style="medium">
        <color indexed="8"/>
      </left>
      <right style="thin">
        <color indexed="8"/>
      </right>
      <top style="thin">
        <color indexed="8"/>
      </top>
      <bottom/>
      <diagonal/>
    </border>
    <border>
      <left style="thin">
        <color indexed="8"/>
      </left>
      <right style="thin">
        <color indexed="8"/>
      </right>
      <top style="thin">
        <color indexed="8"/>
      </top>
      <bottom style="thin">
        <color indexed="64"/>
      </bottom>
      <diagonal/>
    </border>
    <border>
      <left style="medium">
        <color indexed="8"/>
      </left>
      <right style="medium">
        <color indexed="8"/>
      </right>
      <top/>
      <bottom style="thin">
        <color indexed="8"/>
      </bottom>
      <diagonal/>
    </border>
    <border>
      <left style="thin">
        <color indexed="8"/>
      </left>
      <right style="medium">
        <color indexed="8"/>
      </right>
      <top style="thin">
        <color indexed="8"/>
      </top>
      <bottom/>
      <diagonal/>
    </border>
    <border>
      <left style="thin">
        <color indexed="8"/>
      </left>
      <right style="thin">
        <color indexed="8"/>
      </right>
      <top style="thin">
        <color indexed="8"/>
      </top>
      <bottom/>
      <diagonal/>
    </border>
    <border>
      <left style="medium">
        <color indexed="8"/>
      </left>
      <right style="medium">
        <color indexed="8"/>
      </right>
      <top style="thin">
        <color indexed="8"/>
      </top>
      <bottom/>
      <diagonal/>
    </border>
    <border>
      <left style="medium">
        <color indexed="8"/>
      </left>
      <right/>
      <top style="thin">
        <color indexed="8"/>
      </top>
      <bottom/>
      <diagonal/>
    </border>
    <border>
      <left/>
      <right/>
      <top style="thin">
        <color indexed="8"/>
      </top>
      <bottom/>
      <diagonal/>
    </border>
    <border>
      <left/>
      <right style="medium">
        <color indexed="8"/>
      </right>
      <top style="thin">
        <color indexed="8"/>
      </top>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style="medium">
        <color indexed="8"/>
      </bottom>
      <diagonal/>
    </border>
    <border>
      <left style="medium">
        <color indexed="8"/>
      </left>
      <right/>
      <top style="medium">
        <color indexed="8"/>
      </top>
      <bottom style="medium">
        <color indexed="8"/>
      </bottom>
      <diagonal/>
    </border>
    <border>
      <left style="medium">
        <color indexed="8"/>
      </left>
      <right style="medium">
        <color indexed="8"/>
      </right>
      <top style="medium">
        <color indexed="8"/>
      </top>
      <bottom/>
      <diagonal/>
    </border>
    <border>
      <left style="medium">
        <color indexed="8"/>
      </left>
      <right/>
      <top style="medium">
        <color indexed="8"/>
      </top>
      <bottom/>
      <diagonal/>
    </border>
    <border>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medium">
        <color indexed="8"/>
      </left>
      <right/>
      <top/>
      <bottom/>
      <diagonal/>
    </border>
    <border>
      <left/>
      <right style="medium">
        <color indexed="8"/>
      </right>
      <top/>
      <bottom/>
      <diagonal/>
    </border>
    <border>
      <left/>
      <right style="thin">
        <color indexed="64"/>
      </right>
      <top style="thin">
        <color indexed="8"/>
      </top>
      <bottom/>
      <diagonal/>
    </border>
    <border>
      <left style="medium">
        <color indexed="64"/>
      </left>
      <right style="medium">
        <color indexed="64"/>
      </right>
      <top style="medium">
        <color indexed="64"/>
      </top>
      <bottom style="medium">
        <color indexed="64"/>
      </bottom>
      <diagonal/>
    </border>
    <border>
      <left/>
      <right/>
      <top style="medium">
        <color indexed="8"/>
      </top>
      <bottom style="medium">
        <color indexed="8"/>
      </bottom>
      <diagonal/>
    </border>
    <border>
      <left style="thin">
        <color indexed="8"/>
      </left>
      <right/>
      <top style="thin">
        <color indexed="8"/>
      </top>
      <bottom/>
      <diagonal/>
    </border>
    <border>
      <left style="thin">
        <color indexed="8"/>
      </left>
      <right/>
      <top/>
      <bottom style="thin">
        <color indexed="8"/>
      </bottom>
      <diagonal/>
    </border>
    <border>
      <left style="thin">
        <color indexed="8"/>
      </left>
      <right style="thin">
        <color indexed="8"/>
      </right>
      <top style="thin">
        <color indexed="64"/>
      </top>
      <bottom style="thin">
        <color indexed="8"/>
      </bottom>
      <diagonal/>
    </border>
    <border>
      <left style="thin">
        <color indexed="8"/>
      </left>
      <right style="thin">
        <color indexed="64"/>
      </right>
      <top style="thin">
        <color indexed="64"/>
      </top>
      <bottom style="thin">
        <color indexed="8"/>
      </bottom>
      <diagonal/>
    </border>
    <border>
      <left style="thin">
        <color indexed="8"/>
      </left>
      <right style="thin">
        <color indexed="64"/>
      </right>
      <top style="thin">
        <color indexed="8"/>
      </top>
      <bottom style="thin">
        <color indexed="8"/>
      </bottom>
      <diagonal/>
    </border>
    <border>
      <left style="thin">
        <color indexed="8"/>
      </left>
      <right style="thin">
        <color indexed="64"/>
      </right>
      <top style="thin">
        <color indexed="8"/>
      </top>
      <bottom style="thin">
        <color indexed="23"/>
      </bottom>
      <diagonal/>
    </border>
    <border>
      <left style="thin">
        <color indexed="8"/>
      </left>
      <right style="thin">
        <color indexed="64"/>
      </right>
      <top style="thin">
        <color indexed="8"/>
      </top>
      <bottom style="thin">
        <color indexed="64"/>
      </bottom>
      <diagonal/>
    </border>
    <border>
      <left/>
      <right style="thin">
        <color indexed="8"/>
      </right>
      <top style="thin">
        <color indexed="8"/>
      </top>
      <bottom style="thin">
        <color indexed="64"/>
      </bottom>
      <diagonal/>
    </border>
    <border>
      <left style="thin">
        <color indexed="8"/>
      </left>
      <right/>
      <top style="thin">
        <color indexed="8"/>
      </top>
      <bottom style="thin">
        <color indexed="64"/>
      </bottom>
      <diagonal/>
    </border>
    <border>
      <left style="thick">
        <color indexed="14"/>
      </left>
      <right style="thin">
        <color indexed="64"/>
      </right>
      <top style="thick">
        <color indexed="14"/>
      </top>
      <bottom style="thick">
        <color indexed="14"/>
      </bottom>
      <diagonal/>
    </border>
    <border>
      <left style="thin">
        <color indexed="64"/>
      </left>
      <right style="thick">
        <color indexed="14"/>
      </right>
      <top style="thick">
        <color indexed="14"/>
      </top>
      <bottom style="thick">
        <color indexed="14"/>
      </bottom>
      <diagonal/>
    </border>
    <border>
      <left style="thin">
        <color indexed="64"/>
      </left>
      <right style="double">
        <color indexed="64"/>
      </right>
      <top/>
      <bottom style="thin">
        <color indexed="64"/>
      </bottom>
      <diagonal/>
    </border>
    <border>
      <left style="thick">
        <color indexed="20"/>
      </left>
      <right/>
      <top style="thick">
        <color indexed="20"/>
      </top>
      <bottom style="thick">
        <color indexed="20"/>
      </bottom>
      <diagonal/>
    </border>
    <border>
      <left/>
      <right style="thick">
        <color indexed="20"/>
      </right>
      <top style="thick">
        <color indexed="20"/>
      </top>
      <bottom style="thick">
        <color indexed="20"/>
      </bottom>
      <diagonal/>
    </border>
    <border>
      <left style="thick">
        <color indexed="18"/>
      </left>
      <right/>
      <top style="thick">
        <color indexed="18"/>
      </top>
      <bottom style="thick">
        <color indexed="18"/>
      </bottom>
      <diagonal/>
    </border>
    <border>
      <left/>
      <right style="thick">
        <color indexed="18"/>
      </right>
      <top style="thick">
        <color indexed="18"/>
      </top>
      <bottom style="thick">
        <color indexed="18"/>
      </bottom>
      <diagonal/>
    </border>
    <border>
      <left/>
      <right style="double">
        <color indexed="64"/>
      </right>
      <top style="thin">
        <color indexed="64"/>
      </top>
      <bottom style="thin">
        <color indexed="64"/>
      </bottom>
      <diagonal/>
    </border>
    <border>
      <left/>
      <right/>
      <top style="thin">
        <color indexed="64"/>
      </top>
      <bottom style="thick">
        <color indexed="20"/>
      </bottom>
      <diagonal/>
    </border>
    <border>
      <left/>
      <right style="double">
        <color indexed="64"/>
      </right>
      <top/>
      <bottom style="thin">
        <color indexed="64"/>
      </bottom>
      <diagonal/>
    </border>
    <border>
      <left style="thin">
        <color indexed="8"/>
      </left>
      <right/>
      <top style="thin">
        <color indexed="23"/>
      </top>
      <bottom style="thin">
        <color indexed="8"/>
      </bottom>
      <diagonal/>
    </border>
    <border>
      <left/>
      <right style="thin">
        <color indexed="8"/>
      </right>
      <top style="thin">
        <color indexed="23"/>
      </top>
      <bottom style="thin">
        <color indexed="8"/>
      </bottom>
      <diagonal/>
    </border>
    <border>
      <left style="thin">
        <color indexed="8"/>
      </left>
      <right style="thin">
        <color indexed="8"/>
      </right>
      <top/>
      <bottom style="thin">
        <color indexed="8"/>
      </bottom>
      <diagonal/>
    </border>
    <border>
      <left style="thin">
        <color indexed="8"/>
      </left>
      <right/>
      <top style="thin">
        <color indexed="8"/>
      </top>
      <bottom style="thin">
        <color indexed="23"/>
      </bottom>
      <diagonal/>
    </border>
    <border>
      <left/>
      <right style="thin">
        <color indexed="8"/>
      </right>
      <top style="thin">
        <color indexed="8"/>
      </top>
      <bottom style="thin">
        <color indexed="23"/>
      </bottom>
      <diagonal/>
    </border>
    <border>
      <left style="thin">
        <color indexed="64"/>
      </left>
      <right style="thin">
        <color indexed="8"/>
      </right>
      <top style="thin">
        <color indexed="64"/>
      </top>
      <bottom style="thin">
        <color indexed="64"/>
      </bottom>
      <diagonal/>
    </border>
    <border>
      <left style="thin">
        <color indexed="8"/>
      </left>
      <right style="thin">
        <color indexed="64"/>
      </right>
      <top style="thin">
        <color indexed="64"/>
      </top>
      <bottom style="thin">
        <color indexed="64"/>
      </bottom>
      <diagonal/>
    </border>
    <border>
      <left style="thin">
        <color indexed="64"/>
      </left>
      <right style="double">
        <color indexed="8"/>
      </right>
      <top style="thin">
        <color indexed="64"/>
      </top>
      <bottom style="thin">
        <color indexed="64"/>
      </bottom>
      <diagonal/>
    </border>
    <border>
      <left/>
      <right style="thin">
        <color indexed="8"/>
      </right>
      <top style="thin">
        <color indexed="8"/>
      </top>
      <bottom/>
      <diagonal/>
    </border>
    <border>
      <left style="thin">
        <color indexed="64"/>
      </left>
      <right style="thin">
        <color indexed="8"/>
      </right>
      <top style="thin">
        <color indexed="64"/>
      </top>
      <bottom style="thin">
        <color indexed="8"/>
      </bottom>
      <diagonal/>
    </border>
    <border>
      <left style="thin">
        <color indexed="64"/>
      </left>
      <right style="thin">
        <color indexed="8"/>
      </right>
      <top style="thin">
        <color indexed="8"/>
      </top>
      <bottom style="thin">
        <color indexed="23"/>
      </bottom>
      <diagonal/>
    </border>
    <border>
      <left style="thin">
        <color indexed="64"/>
      </left>
      <right style="thin">
        <color indexed="8"/>
      </right>
      <top style="thin">
        <color indexed="8"/>
      </top>
      <bottom style="thin">
        <color indexed="8"/>
      </bottom>
      <diagonal/>
    </border>
    <border>
      <left style="thin">
        <color indexed="64"/>
      </left>
      <right/>
      <top style="thin">
        <color indexed="8"/>
      </top>
      <bottom style="thin">
        <color indexed="23"/>
      </bottom>
      <diagonal/>
    </border>
    <border>
      <left style="thin">
        <color indexed="64"/>
      </left>
      <right style="thin">
        <color indexed="8"/>
      </right>
      <top style="thin">
        <color indexed="8"/>
      </top>
      <bottom style="thin">
        <color indexed="64"/>
      </bottom>
      <diagonal/>
    </border>
    <border>
      <left style="medium">
        <color indexed="8"/>
      </left>
      <right/>
      <top style="medium">
        <color indexed="8"/>
      </top>
      <bottom style="thin">
        <color indexed="8"/>
      </bottom>
      <diagonal/>
    </border>
    <border>
      <left/>
      <right/>
      <top style="medium">
        <color indexed="8"/>
      </top>
      <bottom style="thin">
        <color indexed="8"/>
      </bottom>
      <diagonal/>
    </border>
    <border>
      <left/>
      <right style="medium">
        <color indexed="8"/>
      </right>
      <top style="medium">
        <color indexed="8"/>
      </top>
      <bottom style="thin">
        <color indexed="8"/>
      </bottom>
      <diagonal/>
    </border>
    <border>
      <left style="hair">
        <color indexed="8"/>
      </left>
      <right style="hair">
        <color indexed="8"/>
      </right>
      <top style="hair">
        <color indexed="8"/>
      </top>
      <bottom/>
      <diagonal/>
    </border>
    <border>
      <left style="thin">
        <color indexed="8"/>
      </left>
      <right style="thin">
        <color indexed="8"/>
      </right>
      <top/>
      <bottom/>
      <diagonal/>
    </border>
  </borders>
  <cellStyleXfs count="3">
    <xf numFmtId="0" fontId="0" fillId="0" borderId="0"/>
    <xf numFmtId="0" fontId="10" fillId="0" borderId="0" applyNumberFormat="0" applyFill="0" applyBorder="0" applyAlignment="0" applyProtection="0"/>
    <xf numFmtId="0" fontId="1" fillId="0" borderId="0"/>
  </cellStyleXfs>
  <cellXfs count="683">
    <xf numFmtId="0" fontId="0" fillId="0" borderId="0" xfId="0"/>
    <xf numFmtId="0" fontId="0" fillId="0" borderId="0" xfId="0" applyAlignment="1">
      <alignment vertical="center"/>
    </xf>
    <xf numFmtId="0" fontId="2" fillId="0" borderId="0" xfId="0" applyFont="1"/>
    <xf numFmtId="0" fontId="2" fillId="0" borderId="0" xfId="0" applyFont="1" applyAlignment="1">
      <alignment horizontal="center" vertical="center"/>
    </xf>
    <xf numFmtId="0" fontId="2" fillId="0" borderId="0" xfId="0" applyFont="1" applyAlignment="1">
      <alignment vertical="center"/>
    </xf>
    <xf numFmtId="0" fontId="0" fillId="0" borderId="0" xfId="0" applyAlignment="1">
      <alignment horizontal="center" vertical="center"/>
    </xf>
    <xf numFmtId="0" fontId="2" fillId="0" borderId="0" xfId="0" applyFont="1" applyAlignment="1">
      <alignment horizontal="center"/>
    </xf>
    <xf numFmtId="2" fontId="0" fillId="0" borderId="0" xfId="0" applyNumberFormat="1" applyAlignment="1">
      <alignment horizontal="center"/>
    </xf>
    <xf numFmtId="2" fontId="7" fillId="0" borderId="0" xfId="0" applyNumberFormat="1" applyFont="1" applyAlignment="1">
      <alignment horizontal="center"/>
    </xf>
    <xf numFmtId="2" fontId="0" fillId="2" borderId="0" xfId="0" applyNumberFormat="1" applyFill="1" applyAlignment="1">
      <alignment horizontal="center"/>
    </xf>
    <xf numFmtId="0" fontId="7" fillId="0" borderId="0" xfId="0" applyFont="1" applyAlignment="1">
      <alignment horizontal="center"/>
    </xf>
    <xf numFmtId="0" fontId="7" fillId="0" borderId="1" xfId="0" applyFont="1" applyBorder="1" applyAlignment="1">
      <alignment horizontal="center"/>
    </xf>
    <xf numFmtId="0" fontId="0" fillId="0" borderId="0" xfId="0" applyAlignment="1">
      <alignment horizontal="center"/>
    </xf>
    <xf numFmtId="0" fontId="6" fillId="0" borderId="0" xfId="0" applyFont="1"/>
    <xf numFmtId="0" fontId="9" fillId="0" borderId="0" xfId="0" applyFont="1"/>
    <xf numFmtId="0" fontId="10" fillId="0" borderId="0" xfId="1" applyNumberFormat="1" applyFill="1" applyBorder="1" applyAlignment="1" applyProtection="1"/>
    <xf numFmtId="14" fontId="0" fillId="0" borderId="0" xfId="0" applyNumberFormat="1" applyAlignment="1">
      <alignment horizontal="left"/>
    </xf>
    <xf numFmtId="171" fontId="2" fillId="3" borderId="2" xfId="0" applyNumberFormat="1" applyFont="1" applyFill="1" applyBorder="1" applyAlignment="1" applyProtection="1">
      <alignment horizontal="center" vertical="center"/>
      <protection locked="0"/>
    </xf>
    <xf numFmtId="0" fontId="16" fillId="0" borderId="0" xfId="0" applyFont="1" applyAlignment="1">
      <alignment vertical="center"/>
    </xf>
    <xf numFmtId="0" fontId="2" fillId="0" borderId="3" xfId="2" applyFont="1" applyBorder="1"/>
    <xf numFmtId="0" fontId="2" fillId="0" borderId="4" xfId="2" applyFont="1" applyBorder="1"/>
    <xf numFmtId="0" fontId="2" fillId="0" borderId="4" xfId="2" applyFont="1" applyBorder="1" applyAlignment="1">
      <alignment horizontal="center"/>
    </xf>
    <xf numFmtId="0" fontId="15" fillId="0" borderId="4" xfId="2" applyFont="1" applyBorder="1" applyProtection="1">
      <protection hidden="1"/>
    </xf>
    <xf numFmtId="0" fontId="1" fillId="0" borderId="5" xfId="2" applyBorder="1"/>
    <xf numFmtId="0" fontId="2" fillId="0" borderId="0" xfId="2" applyFont="1"/>
    <xf numFmtId="0" fontId="2" fillId="0" borderId="6" xfId="2" applyFont="1" applyBorder="1"/>
    <xf numFmtId="0" fontId="15" fillId="0" borderId="0" xfId="2" applyFont="1" applyProtection="1">
      <protection hidden="1"/>
    </xf>
    <xf numFmtId="0" fontId="1" fillId="0" borderId="7" xfId="2" applyBorder="1"/>
    <xf numFmtId="0" fontId="4" fillId="0" borderId="0" xfId="2" applyFont="1"/>
    <xf numFmtId="0" fontId="2" fillId="0" borderId="7" xfId="2" applyFont="1" applyBorder="1"/>
    <xf numFmtId="0" fontId="2" fillId="0" borderId="0" xfId="2" applyFont="1" applyAlignment="1" applyProtection="1">
      <alignment horizontal="center"/>
      <protection hidden="1"/>
    </xf>
    <xf numFmtId="0" fontId="2" fillId="0" borderId="0" xfId="2" applyFont="1" applyAlignment="1">
      <alignment horizontal="center"/>
    </xf>
    <xf numFmtId="0" fontId="16" fillId="0" borderId="0" xfId="2" applyFont="1"/>
    <xf numFmtId="0" fontId="2" fillId="0" borderId="0" xfId="2" applyFont="1" applyProtection="1">
      <protection hidden="1"/>
    </xf>
    <xf numFmtId="0" fontId="15" fillId="4" borderId="8" xfId="2" applyFont="1" applyFill="1" applyBorder="1" applyAlignment="1" applyProtection="1">
      <alignment horizontal="center"/>
      <protection locked="0"/>
    </xf>
    <xf numFmtId="177" fontId="2" fillId="4" borderId="2" xfId="2" applyNumberFormat="1" applyFont="1" applyFill="1" applyBorder="1" applyAlignment="1" applyProtection="1">
      <alignment horizontal="center"/>
      <protection locked="0"/>
    </xf>
    <xf numFmtId="0" fontId="2" fillId="4" borderId="2" xfId="2" applyFont="1" applyFill="1" applyBorder="1" applyAlignment="1" applyProtection="1">
      <alignment horizontal="center"/>
      <protection locked="0"/>
    </xf>
    <xf numFmtId="0" fontId="16" fillId="0" borderId="0" xfId="2" applyFont="1" applyProtection="1">
      <protection hidden="1"/>
    </xf>
    <xf numFmtId="0" fontId="15" fillId="0" borderId="0" xfId="2" applyFont="1"/>
    <xf numFmtId="14" fontId="15" fillId="0" borderId="0" xfId="2" applyNumberFormat="1" applyFont="1" applyAlignment="1" applyProtection="1">
      <alignment horizontal="center"/>
      <protection hidden="1"/>
    </xf>
    <xf numFmtId="0" fontId="2" fillId="0" borderId="9" xfId="2" applyFont="1" applyBorder="1"/>
    <xf numFmtId="0" fontId="2" fillId="0" borderId="10" xfId="2" applyFont="1" applyBorder="1" applyAlignment="1" applyProtection="1">
      <alignment horizontal="center"/>
      <protection locked="0"/>
    </xf>
    <xf numFmtId="0" fontId="2" fillId="0" borderId="10" xfId="2" applyFont="1" applyBorder="1" applyProtection="1">
      <protection locked="0"/>
    </xf>
    <xf numFmtId="0" fontId="2" fillId="0" borderId="0" xfId="2" applyFont="1" applyProtection="1">
      <protection locked="0"/>
    </xf>
    <xf numFmtId="0" fontId="2" fillId="0" borderId="0" xfId="2" applyFont="1" applyAlignment="1" applyProtection="1">
      <alignment horizontal="center"/>
      <protection locked="0"/>
    </xf>
    <xf numFmtId="0" fontId="15" fillId="0" borderId="0" xfId="2" applyFont="1" applyAlignment="1" applyProtection="1">
      <alignment horizontal="center"/>
      <protection hidden="1"/>
    </xf>
    <xf numFmtId="1" fontId="15" fillId="0" borderId="0" xfId="2" applyNumberFormat="1" applyFont="1" applyAlignment="1" applyProtection="1">
      <alignment horizontal="center"/>
      <protection hidden="1"/>
    </xf>
    <xf numFmtId="0" fontId="0" fillId="0" borderId="0" xfId="0" applyAlignment="1">
      <alignment horizontal="left"/>
    </xf>
    <xf numFmtId="0" fontId="15" fillId="0" borderId="0" xfId="0" applyFont="1"/>
    <xf numFmtId="0" fontId="26" fillId="0" borderId="0" xfId="0" applyFont="1"/>
    <xf numFmtId="14" fontId="0" fillId="0" borderId="0" xfId="0" applyNumberFormat="1" applyAlignment="1">
      <alignment horizontal="center" vertical="center"/>
    </xf>
    <xf numFmtId="0" fontId="2" fillId="0" borderId="3" xfId="0" applyFont="1" applyBorder="1"/>
    <xf numFmtId="0" fontId="2" fillId="0" borderId="4" xfId="0" applyFont="1" applyBorder="1"/>
    <xf numFmtId="0" fontId="2" fillId="0" borderId="4" xfId="0" applyFont="1" applyBorder="1" applyAlignment="1">
      <alignment horizontal="center"/>
    </xf>
    <xf numFmtId="0" fontId="0" fillId="0" borderId="4" xfId="0" applyBorder="1" applyAlignment="1">
      <alignment vertical="center"/>
    </xf>
    <xf numFmtId="0" fontId="0" fillId="0" borderId="5" xfId="0" applyBorder="1" applyAlignment="1">
      <alignment vertical="center"/>
    </xf>
    <xf numFmtId="0" fontId="2" fillId="0" borderId="6" xfId="0" applyFont="1" applyBorder="1"/>
    <xf numFmtId="0" fontId="2" fillId="0" borderId="7" xfId="0" applyFont="1" applyBorder="1" applyAlignment="1">
      <alignment vertical="center"/>
    </xf>
    <xf numFmtId="0" fontId="0" fillId="0" borderId="7" xfId="0" applyBorder="1" applyAlignment="1">
      <alignment vertical="center"/>
    </xf>
    <xf numFmtId="0" fontId="0" fillId="0" borderId="6" xfId="0" applyBorder="1" applyAlignment="1">
      <alignment vertical="center"/>
    </xf>
    <xf numFmtId="0" fontId="0" fillId="0" borderId="9" xfId="0" applyBorder="1" applyAlignment="1">
      <alignment vertical="center"/>
    </xf>
    <xf numFmtId="0" fontId="0" fillId="0" borderId="10" xfId="0" applyBorder="1" applyAlignment="1" applyProtection="1">
      <alignment vertical="center"/>
      <protection locked="0"/>
    </xf>
    <xf numFmtId="0" fontId="0" fillId="0" borderId="0" xfId="0" applyAlignment="1" applyProtection="1">
      <alignment vertical="center"/>
      <protection hidden="1"/>
    </xf>
    <xf numFmtId="169" fontId="0" fillId="0" borderId="0" xfId="0" applyNumberFormat="1" applyAlignment="1" applyProtection="1">
      <alignment vertical="center"/>
      <protection hidden="1"/>
    </xf>
    <xf numFmtId="164" fontId="0" fillId="3" borderId="11" xfId="0" applyNumberFormat="1" applyFill="1" applyBorder="1" applyAlignment="1">
      <alignment horizontal="center"/>
    </xf>
    <xf numFmtId="178" fontId="0" fillId="3" borderId="11" xfId="0" applyNumberFormat="1" applyFill="1" applyBorder="1" applyAlignment="1">
      <alignment horizontal="center"/>
    </xf>
    <xf numFmtId="0" fontId="0" fillId="3" borderId="11" xfId="0" applyFill="1" applyBorder="1" applyAlignment="1">
      <alignment horizontal="center"/>
    </xf>
    <xf numFmtId="0" fontId="15" fillId="0" borderId="10" xfId="2" applyFont="1" applyBorder="1" applyProtection="1">
      <protection locked="0"/>
    </xf>
    <xf numFmtId="0" fontId="10" fillId="0" borderId="0" xfId="1"/>
    <xf numFmtId="0" fontId="2" fillId="0" borderId="12" xfId="0" applyFont="1" applyBorder="1" applyAlignment="1">
      <alignment horizontal="center" vertical="center"/>
    </xf>
    <xf numFmtId="0" fontId="2" fillId="0" borderId="12" xfId="0" applyFont="1" applyBorder="1" applyAlignment="1">
      <alignment horizontal="center"/>
    </xf>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165" fontId="0" fillId="0" borderId="0" xfId="0" applyNumberFormat="1" applyAlignment="1">
      <alignment horizontal="center"/>
    </xf>
    <xf numFmtId="0" fontId="0" fillId="0" borderId="9" xfId="0" applyBorder="1"/>
    <xf numFmtId="0" fontId="0" fillId="0" borderId="10" xfId="0" applyBorder="1"/>
    <xf numFmtId="0" fontId="0" fillId="0" borderId="13" xfId="0" applyBorder="1"/>
    <xf numFmtId="1" fontId="0" fillId="0" borderId="0" xfId="0" applyNumberFormat="1" applyAlignment="1">
      <alignment horizontal="center"/>
    </xf>
    <xf numFmtId="165" fontId="0" fillId="0" borderId="0" xfId="0" applyNumberFormat="1" applyAlignment="1">
      <alignment horizontal="center" vertical="center"/>
    </xf>
    <xf numFmtId="1" fontId="0" fillId="0" borderId="0" xfId="0" applyNumberFormat="1" applyAlignment="1">
      <alignment horizontal="center" vertical="center"/>
    </xf>
    <xf numFmtId="182" fontId="2" fillId="0" borderId="12" xfId="0" applyNumberFormat="1" applyFont="1" applyBorder="1" applyAlignment="1">
      <alignment horizontal="center"/>
    </xf>
    <xf numFmtId="1" fontId="2" fillId="0" borderId="12" xfId="0" applyNumberFormat="1" applyFont="1" applyBorder="1" applyAlignment="1">
      <alignment horizontal="center"/>
    </xf>
    <xf numFmtId="165" fontId="2" fillId="0" borderId="12" xfId="0" applyNumberFormat="1" applyFont="1" applyBorder="1" applyAlignment="1">
      <alignment horizontal="center" vertical="center"/>
    </xf>
    <xf numFmtId="165" fontId="2" fillId="0" borderId="12" xfId="0" applyNumberFormat="1" applyFont="1" applyBorder="1" applyAlignment="1">
      <alignment horizontal="center"/>
    </xf>
    <xf numFmtId="0" fontId="0" fillId="0" borderId="0" xfId="2" applyFont="1" applyAlignment="1" applyProtection="1">
      <alignment horizontal="center"/>
      <protection hidden="1"/>
    </xf>
    <xf numFmtId="0" fontId="8" fillId="0" borderId="4" xfId="2" applyFont="1" applyBorder="1"/>
    <xf numFmtId="0" fontId="8" fillId="0" borderId="0" xfId="2" applyFont="1"/>
    <xf numFmtId="0" fontId="8" fillId="0" borderId="0" xfId="2" applyFont="1" applyProtection="1">
      <protection hidden="1"/>
    </xf>
    <xf numFmtId="0" fontId="8" fillId="0" borderId="10" xfId="2" applyFont="1" applyBorder="1" applyProtection="1">
      <protection locked="0"/>
    </xf>
    <xf numFmtId="0" fontId="8" fillId="0" borderId="0" xfId="2" applyFont="1" applyAlignment="1" applyProtection="1">
      <alignment horizontal="center"/>
      <protection hidden="1"/>
    </xf>
    <xf numFmtId="1" fontId="8" fillId="0" borderId="0" xfId="2" applyNumberFormat="1" applyFont="1" applyAlignment="1" applyProtection="1">
      <alignment horizontal="center"/>
      <protection hidden="1"/>
    </xf>
    <xf numFmtId="0" fontId="31" fillId="0" borderId="0" xfId="2" applyFont="1"/>
    <xf numFmtId="0" fontId="0" fillId="0" borderId="0" xfId="0" applyProtection="1">
      <protection locked="0"/>
    </xf>
    <xf numFmtId="165" fontId="2" fillId="5" borderId="14" xfId="2" applyNumberFormat="1" applyFont="1" applyFill="1" applyBorder="1" applyAlignment="1">
      <alignment horizontal="center"/>
    </xf>
    <xf numFmtId="180" fontId="2" fillId="5" borderId="2" xfId="2" applyNumberFormat="1" applyFont="1" applyFill="1" applyBorder="1" applyAlignment="1">
      <alignment horizontal="center"/>
    </xf>
    <xf numFmtId="180" fontId="2" fillId="5" borderId="14" xfId="2" applyNumberFormat="1" applyFont="1" applyFill="1" applyBorder="1" applyAlignment="1">
      <alignment horizontal="center"/>
    </xf>
    <xf numFmtId="165" fontId="2" fillId="5" borderId="2" xfId="2" applyNumberFormat="1" applyFont="1" applyFill="1" applyBorder="1" applyAlignment="1">
      <alignment horizontal="center"/>
    </xf>
    <xf numFmtId="181" fontId="28" fillId="5" borderId="2" xfId="2" applyNumberFormat="1" applyFont="1" applyFill="1" applyBorder="1" applyAlignment="1">
      <alignment horizontal="center"/>
    </xf>
    <xf numFmtId="181" fontId="28" fillId="5" borderId="14" xfId="2" applyNumberFormat="1" applyFont="1" applyFill="1" applyBorder="1" applyAlignment="1">
      <alignment horizontal="center"/>
    </xf>
    <xf numFmtId="0" fontId="2" fillId="5" borderId="2" xfId="2" applyFont="1" applyFill="1" applyBorder="1" applyAlignment="1" applyProtection="1">
      <alignment horizontal="center"/>
      <protection hidden="1"/>
    </xf>
    <xf numFmtId="0" fontId="28" fillId="5" borderId="2" xfId="2" applyFont="1" applyFill="1" applyBorder="1" applyAlignment="1" applyProtection="1">
      <alignment horizontal="center"/>
      <protection hidden="1"/>
    </xf>
    <xf numFmtId="0" fontId="32" fillId="5" borderId="2" xfId="2" applyFont="1" applyFill="1" applyBorder="1" applyAlignment="1" applyProtection="1">
      <alignment horizontal="center"/>
      <protection hidden="1"/>
    </xf>
    <xf numFmtId="0" fontId="2" fillId="6" borderId="2" xfId="2" applyFont="1" applyFill="1" applyBorder="1" applyAlignment="1">
      <alignment horizontal="center"/>
    </xf>
    <xf numFmtId="0" fontId="28" fillId="6" borderId="2" xfId="2" applyFont="1" applyFill="1" applyBorder="1" applyAlignment="1">
      <alignment horizontal="center"/>
    </xf>
    <xf numFmtId="0" fontId="33" fillId="0" borderId="0" xfId="2" applyFont="1"/>
    <xf numFmtId="0" fontId="33" fillId="6" borderId="2" xfId="2" applyFont="1" applyFill="1" applyBorder="1" applyAlignment="1" applyProtection="1">
      <alignment horizontal="center"/>
      <protection hidden="1"/>
    </xf>
    <xf numFmtId="176" fontId="33" fillId="5" borderId="2" xfId="2" applyNumberFormat="1" applyFont="1" applyFill="1" applyBorder="1" applyAlignment="1" applyProtection="1">
      <alignment horizontal="center"/>
      <protection hidden="1"/>
    </xf>
    <xf numFmtId="0" fontId="33" fillId="5" borderId="2" xfId="2" applyFont="1" applyFill="1" applyBorder="1" applyAlignment="1">
      <alignment horizontal="center"/>
    </xf>
    <xf numFmtId="177" fontId="33" fillId="5" borderId="2" xfId="2" applyNumberFormat="1" applyFont="1" applyFill="1" applyBorder="1" applyAlignment="1" applyProtection="1">
      <alignment horizontal="center"/>
      <protection hidden="1"/>
    </xf>
    <xf numFmtId="176" fontId="33" fillId="5" borderId="2" xfId="2" applyNumberFormat="1" applyFont="1" applyFill="1" applyBorder="1" applyAlignment="1">
      <alignment horizontal="center"/>
    </xf>
    <xf numFmtId="178" fontId="33" fillId="5" borderId="2" xfId="2" applyNumberFormat="1" applyFont="1" applyFill="1" applyBorder="1" applyAlignment="1" applyProtection="1">
      <alignment horizontal="center"/>
      <protection hidden="1"/>
    </xf>
    <xf numFmtId="0" fontId="33" fillId="0" borderId="0" xfId="2" applyFont="1" applyProtection="1">
      <protection hidden="1"/>
    </xf>
    <xf numFmtId="2" fontId="0" fillId="7" borderId="15" xfId="0" applyNumberFormat="1" applyFill="1" applyBorder="1" applyAlignment="1">
      <alignment horizontal="center" vertical="center"/>
    </xf>
    <xf numFmtId="165" fontId="0" fillId="7" borderId="15" xfId="0" applyNumberFormat="1" applyFill="1" applyBorder="1" applyAlignment="1">
      <alignment horizontal="center" vertical="center"/>
    </xf>
    <xf numFmtId="1" fontId="2" fillId="7" borderId="15" xfId="0" applyNumberFormat="1" applyFont="1" applyFill="1" applyBorder="1" applyAlignment="1">
      <alignment horizontal="center" vertical="center"/>
    </xf>
    <xf numFmtId="165" fontId="2" fillId="7" borderId="15" xfId="0" applyNumberFormat="1" applyFont="1" applyFill="1" applyBorder="1" applyAlignment="1">
      <alignment horizontal="center" vertical="center"/>
    </xf>
    <xf numFmtId="1" fontId="0" fillId="7" borderId="15" xfId="0" applyNumberFormat="1" applyFill="1" applyBorder="1" applyAlignment="1">
      <alignment horizontal="center" vertical="center"/>
    </xf>
    <xf numFmtId="1" fontId="15" fillId="7" borderId="15" xfId="0" applyNumberFormat="1" applyFont="1" applyFill="1" applyBorder="1" applyAlignment="1">
      <alignment horizontal="center" vertical="center"/>
    </xf>
    <xf numFmtId="165" fontId="15" fillId="7" borderId="15" xfId="0" applyNumberFormat="1" applyFont="1" applyFill="1" applyBorder="1" applyAlignment="1">
      <alignment horizontal="center" vertical="center"/>
    </xf>
    <xf numFmtId="165" fontId="0" fillId="7" borderId="16" xfId="0" applyNumberFormat="1" applyFill="1" applyBorder="1" applyAlignment="1">
      <alignment horizontal="center" vertical="center"/>
    </xf>
    <xf numFmtId="1" fontId="2" fillId="7" borderId="16" xfId="0" applyNumberFormat="1" applyFont="1" applyFill="1" applyBorder="1" applyAlignment="1">
      <alignment horizontal="center" vertical="center"/>
    </xf>
    <xf numFmtId="165" fontId="15" fillId="7" borderId="16" xfId="0" applyNumberFormat="1" applyFont="1" applyFill="1" applyBorder="1" applyAlignment="1">
      <alignment horizontal="center" vertical="center"/>
    </xf>
    <xf numFmtId="1" fontId="2" fillId="7" borderId="17" xfId="0" applyNumberFormat="1" applyFont="1" applyFill="1" applyBorder="1" applyAlignment="1">
      <alignment horizontal="center" vertical="center"/>
    </xf>
    <xf numFmtId="1" fontId="0" fillId="7" borderId="17" xfId="0" applyNumberFormat="1" applyFill="1" applyBorder="1" applyAlignment="1">
      <alignment horizontal="center" vertical="center"/>
    </xf>
    <xf numFmtId="0" fontId="0" fillId="7" borderId="17" xfId="0" applyFill="1" applyBorder="1" applyAlignment="1">
      <alignment horizontal="center" vertical="center"/>
    </xf>
    <xf numFmtId="165" fontId="0" fillId="7" borderId="17" xfId="0" applyNumberFormat="1" applyFill="1" applyBorder="1" applyAlignment="1">
      <alignment horizontal="center" vertical="center"/>
    </xf>
    <xf numFmtId="1" fontId="15" fillId="7" borderId="16" xfId="0" applyNumberFormat="1" applyFont="1" applyFill="1" applyBorder="1" applyAlignment="1">
      <alignment horizontal="center" vertical="center"/>
    </xf>
    <xf numFmtId="1" fontId="15" fillId="7" borderId="17" xfId="0" applyNumberFormat="1" applyFont="1" applyFill="1" applyBorder="1" applyAlignment="1">
      <alignment horizontal="center" vertical="center"/>
    </xf>
    <xf numFmtId="165" fontId="2" fillId="7" borderId="17" xfId="0" applyNumberFormat="1" applyFont="1" applyFill="1" applyBorder="1" applyAlignment="1">
      <alignment horizontal="center" vertical="center"/>
    </xf>
    <xf numFmtId="173" fontId="2" fillId="7" borderId="2" xfId="0" applyNumberFormat="1" applyFont="1" applyFill="1" applyBorder="1" applyAlignment="1">
      <alignment horizontal="center" vertical="center"/>
    </xf>
    <xf numFmtId="0" fontId="2" fillId="8" borderId="18" xfId="0" applyFont="1" applyFill="1" applyBorder="1" applyAlignment="1" applyProtection="1">
      <alignment horizontal="center" vertical="center"/>
      <protection hidden="1"/>
    </xf>
    <xf numFmtId="0" fontId="2" fillId="9" borderId="15" xfId="0" applyFont="1" applyFill="1" applyBorder="1" applyAlignment="1" applyProtection="1">
      <alignment horizontal="center" vertical="center"/>
      <protection hidden="1"/>
    </xf>
    <xf numFmtId="0" fontId="5" fillId="9" borderId="15" xfId="0" applyFont="1" applyFill="1" applyBorder="1" applyAlignment="1" applyProtection="1">
      <alignment horizontal="center" vertical="center"/>
      <protection hidden="1"/>
    </xf>
    <xf numFmtId="0" fontId="0" fillId="9" borderId="15" xfId="0" applyFill="1" applyBorder="1" applyAlignment="1" applyProtection="1">
      <alignment horizontal="center" vertical="center"/>
      <protection hidden="1"/>
    </xf>
    <xf numFmtId="0" fontId="2" fillId="6" borderId="2" xfId="2" applyFont="1" applyFill="1" applyBorder="1" applyAlignment="1" applyProtection="1">
      <alignment horizontal="center"/>
      <protection hidden="1"/>
    </xf>
    <xf numFmtId="0" fontId="2" fillId="10" borderId="2" xfId="2" applyFont="1" applyFill="1" applyBorder="1" applyAlignment="1" applyProtection="1">
      <alignment horizontal="center" vertical="center"/>
      <protection hidden="1"/>
    </xf>
    <xf numFmtId="0" fontId="2" fillId="10" borderId="2" xfId="2" applyFont="1" applyFill="1" applyBorder="1" applyAlignment="1" applyProtection="1">
      <alignment horizontal="center"/>
      <protection hidden="1"/>
    </xf>
    <xf numFmtId="0" fontId="2" fillId="11" borderId="15" xfId="0" applyFont="1" applyFill="1" applyBorder="1" applyAlignment="1" applyProtection="1">
      <alignment horizontal="center" vertical="center"/>
      <protection hidden="1"/>
    </xf>
    <xf numFmtId="0" fontId="2" fillId="11" borderId="18" xfId="0" applyFont="1" applyFill="1" applyBorder="1" applyAlignment="1" applyProtection="1">
      <alignment horizontal="center" vertical="center"/>
      <protection hidden="1"/>
    </xf>
    <xf numFmtId="0" fontId="13" fillId="12" borderId="2" xfId="0" applyFont="1" applyFill="1" applyBorder="1" applyAlignment="1" applyProtection="1">
      <alignment horizontal="center"/>
      <protection hidden="1"/>
    </xf>
    <xf numFmtId="0" fontId="2" fillId="13" borderId="2" xfId="0" applyFont="1" applyFill="1" applyBorder="1" applyAlignment="1" applyProtection="1">
      <alignment horizontal="center" vertical="center"/>
      <protection locked="0"/>
    </xf>
    <xf numFmtId="174" fontId="2" fillId="13" borderId="2" xfId="0" applyNumberFormat="1" applyFont="1" applyFill="1" applyBorder="1" applyAlignment="1" applyProtection="1">
      <alignment horizontal="center" vertical="center"/>
      <protection locked="0"/>
    </xf>
    <xf numFmtId="178" fontId="14" fillId="14" borderId="2" xfId="2" applyNumberFormat="1" applyFont="1" applyFill="1" applyBorder="1" applyAlignment="1">
      <alignment horizontal="center"/>
    </xf>
    <xf numFmtId="1" fontId="30" fillId="14" borderId="2" xfId="2" applyNumberFormat="1" applyFont="1" applyFill="1" applyBorder="1" applyAlignment="1">
      <alignment horizontal="center"/>
    </xf>
    <xf numFmtId="0" fontId="2" fillId="10" borderId="2" xfId="2" applyFont="1" applyFill="1" applyBorder="1" applyAlignment="1">
      <alignment horizontal="center"/>
    </xf>
    <xf numFmtId="0" fontId="0" fillId="7" borderId="15" xfId="0" applyFill="1" applyBorder="1" applyAlignment="1">
      <alignment horizontal="center" vertical="center"/>
    </xf>
    <xf numFmtId="0" fontId="2" fillId="7" borderId="15" xfId="0" applyFont="1" applyFill="1" applyBorder="1" applyAlignment="1">
      <alignment horizontal="center" vertical="center"/>
    </xf>
    <xf numFmtId="0" fontId="0" fillId="13" borderId="15" xfId="0" applyFill="1" applyBorder="1" applyAlignment="1" applyProtection="1">
      <alignment horizontal="center" vertical="center"/>
      <protection locked="0"/>
    </xf>
    <xf numFmtId="185" fontId="2" fillId="7" borderId="2" xfId="0" applyNumberFormat="1" applyFont="1" applyFill="1" applyBorder="1" applyAlignment="1">
      <alignment horizontal="center" vertical="center"/>
    </xf>
    <xf numFmtId="186" fontId="0" fillId="7" borderId="16" xfId="0" applyNumberFormat="1" applyFill="1" applyBorder="1" applyAlignment="1">
      <alignment horizontal="center" vertical="center"/>
    </xf>
    <xf numFmtId="186" fontId="2" fillId="7" borderId="15" xfId="0" applyNumberFormat="1" applyFont="1" applyFill="1" applyBorder="1" applyAlignment="1">
      <alignment horizontal="center" vertical="center"/>
    </xf>
    <xf numFmtId="175" fontId="15" fillId="7" borderId="16" xfId="0" applyNumberFormat="1" applyFont="1" applyFill="1" applyBorder="1" applyAlignment="1">
      <alignment horizontal="center" vertical="center"/>
    </xf>
    <xf numFmtId="175" fontId="15" fillId="7" borderId="15" xfId="0" applyNumberFormat="1" applyFont="1" applyFill="1" applyBorder="1" applyAlignment="1">
      <alignment horizontal="center" vertical="center"/>
    </xf>
    <xf numFmtId="175" fontId="2" fillId="7" borderId="16" xfId="0" applyNumberFormat="1" applyFont="1" applyFill="1" applyBorder="1" applyAlignment="1">
      <alignment horizontal="center" vertical="center"/>
    </xf>
    <xf numFmtId="175" fontId="2" fillId="7" borderId="15" xfId="0" applyNumberFormat="1" applyFont="1" applyFill="1" applyBorder="1" applyAlignment="1">
      <alignment horizontal="center" vertical="center"/>
    </xf>
    <xf numFmtId="172" fontId="2" fillId="7" borderId="15" xfId="0" applyNumberFormat="1" applyFont="1" applyFill="1" applyBorder="1" applyAlignment="1">
      <alignment horizontal="center" vertical="center"/>
    </xf>
    <xf numFmtId="172" fontId="2" fillId="7" borderId="16" xfId="0" applyNumberFormat="1" applyFont="1" applyFill="1" applyBorder="1" applyAlignment="1">
      <alignment horizontal="center" vertical="center"/>
    </xf>
    <xf numFmtId="172" fontId="15" fillId="7" borderId="15" xfId="0" applyNumberFormat="1" applyFont="1" applyFill="1" applyBorder="1" applyAlignment="1">
      <alignment horizontal="center" vertical="center"/>
    </xf>
    <xf numFmtId="0" fontId="0" fillId="0" borderId="19" xfId="0" applyBorder="1" applyAlignment="1">
      <alignment vertical="center"/>
    </xf>
    <xf numFmtId="0" fontId="0" fillId="0" borderId="20" xfId="0" applyBorder="1" applyAlignment="1">
      <alignment vertical="center"/>
    </xf>
    <xf numFmtId="0" fontId="0" fillId="0" borderId="21" xfId="0" applyBorder="1" applyAlignment="1">
      <alignment vertical="center"/>
    </xf>
    <xf numFmtId="0" fontId="0" fillId="0" borderId="22" xfId="0" applyBorder="1" applyAlignment="1">
      <alignment vertical="center"/>
    </xf>
    <xf numFmtId="0" fontId="0" fillId="0" borderId="23" xfId="0" applyBorder="1" applyAlignment="1">
      <alignment vertical="center"/>
    </xf>
    <xf numFmtId="0" fontId="2" fillId="11" borderId="24" xfId="0" applyFont="1" applyFill="1" applyBorder="1" applyAlignment="1" applyProtection="1">
      <alignment horizontal="center" vertical="center"/>
      <protection hidden="1"/>
    </xf>
    <xf numFmtId="178" fontId="2" fillId="3" borderId="25" xfId="0" applyNumberFormat="1" applyFont="1" applyFill="1" applyBorder="1" applyAlignment="1" applyProtection="1">
      <alignment horizontal="center" vertical="center"/>
      <protection locked="0"/>
    </xf>
    <xf numFmtId="178" fontId="2" fillId="3" borderId="26" xfId="0" applyNumberFormat="1" applyFont="1" applyFill="1" applyBorder="1" applyAlignment="1" applyProtection="1">
      <alignment horizontal="center" vertical="center"/>
      <protection locked="0"/>
    </xf>
    <xf numFmtId="0" fontId="2" fillId="8" borderId="24" xfId="0" applyFont="1" applyFill="1" applyBorder="1" applyAlignment="1" applyProtection="1">
      <alignment horizontal="center" vertical="center"/>
      <protection hidden="1"/>
    </xf>
    <xf numFmtId="0" fontId="2" fillId="9" borderId="27" xfId="0" applyFont="1" applyFill="1" applyBorder="1" applyAlignment="1" applyProtection="1">
      <alignment horizontal="center" vertical="center"/>
      <protection hidden="1"/>
    </xf>
    <xf numFmtId="0" fontId="0" fillId="9" borderId="27" xfId="0" applyFill="1" applyBorder="1" applyAlignment="1" applyProtection="1">
      <alignment horizontal="center" vertical="center"/>
      <protection hidden="1"/>
    </xf>
    <xf numFmtId="0" fontId="2" fillId="0" borderId="21" xfId="0" applyFont="1" applyBorder="1" applyAlignment="1">
      <alignment vertical="center"/>
    </xf>
    <xf numFmtId="14" fontId="0" fillId="0" borderId="23" xfId="0" applyNumberFormat="1" applyBorder="1" applyAlignment="1">
      <alignment horizontal="center" vertical="center"/>
    </xf>
    <xf numFmtId="189" fontId="2" fillId="7" borderId="25" xfId="0" applyNumberFormat="1" applyFont="1" applyFill="1" applyBorder="1" applyAlignment="1">
      <alignment horizontal="center" vertical="center"/>
    </xf>
    <xf numFmtId="0" fontId="34" fillId="6" borderId="2" xfId="2" applyFont="1" applyFill="1" applyBorder="1" applyAlignment="1" applyProtection="1">
      <alignment horizontal="center"/>
      <protection hidden="1"/>
    </xf>
    <xf numFmtId="178" fontId="34" fillId="5" borderId="2" xfId="2" applyNumberFormat="1" applyFont="1" applyFill="1" applyBorder="1" applyAlignment="1">
      <alignment horizontal="center"/>
    </xf>
    <xf numFmtId="177" fontId="2" fillId="4" borderId="25" xfId="2" applyNumberFormat="1" applyFont="1" applyFill="1" applyBorder="1" applyAlignment="1" applyProtection="1">
      <alignment horizontal="center"/>
      <protection locked="0"/>
    </xf>
    <xf numFmtId="0" fontId="2" fillId="10" borderId="28" xfId="2" applyFont="1" applyFill="1" applyBorder="1" applyAlignment="1" applyProtection="1">
      <alignment horizontal="center"/>
      <protection hidden="1"/>
    </xf>
    <xf numFmtId="0" fontId="2" fillId="10" borderId="29" xfId="2" applyFont="1" applyFill="1" applyBorder="1" applyAlignment="1" applyProtection="1">
      <alignment horizontal="center"/>
      <protection hidden="1"/>
    </xf>
    <xf numFmtId="0" fontId="36" fillId="10" borderId="30" xfId="2" applyFont="1" applyFill="1" applyBorder="1" applyAlignment="1" applyProtection="1">
      <alignment horizontal="center"/>
      <protection hidden="1"/>
    </xf>
    <xf numFmtId="0" fontId="0" fillId="0" borderId="10" xfId="0" applyBorder="1" applyAlignment="1">
      <alignment vertical="center"/>
    </xf>
    <xf numFmtId="0" fontId="15" fillId="0" borderId="10" xfId="2" applyFont="1" applyBorder="1"/>
    <xf numFmtId="0" fontId="15" fillId="0" borderId="31" xfId="2" applyFont="1" applyBorder="1" applyAlignment="1" applyProtection="1">
      <alignment horizontal="center"/>
      <protection hidden="1"/>
    </xf>
    <xf numFmtId="0" fontId="15" fillId="0" borderId="32" xfId="2" applyFont="1" applyBorder="1" applyAlignment="1">
      <alignment horizontal="center"/>
    </xf>
    <xf numFmtId="0" fontId="15" fillId="0" borderId="19" xfId="2" applyFont="1" applyBorder="1" applyAlignment="1" applyProtection="1">
      <alignment horizontal="center"/>
      <protection hidden="1"/>
    </xf>
    <xf numFmtId="0" fontId="15" fillId="0" borderId="20" xfId="2" applyFont="1" applyBorder="1" applyAlignment="1">
      <alignment horizontal="center"/>
    </xf>
    <xf numFmtId="0" fontId="15" fillId="0" borderId="21" xfId="2" applyFont="1" applyBorder="1" applyAlignment="1" applyProtection="1">
      <alignment horizontal="center"/>
      <protection hidden="1"/>
    </xf>
    <xf numFmtId="0" fontId="15" fillId="0" borderId="23" xfId="2" applyFont="1" applyBorder="1" applyAlignment="1">
      <alignment horizontal="center"/>
    </xf>
    <xf numFmtId="0" fontId="15" fillId="0" borderId="20" xfId="2" applyFont="1" applyBorder="1" applyAlignment="1" applyProtection="1">
      <alignment horizontal="center"/>
      <protection hidden="1"/>
    </xf>
    <xf numFmtId="0" fontId="15" fillId="0" borderId="23" xfId="2" applyFont="1" applyBorder="1" applyAlignment="1" applyProtection="1">
      <alignment horizontal="center"/>
      <protection hidden="1"/>
    </xf>
    <xf numFmtId="2" fontId="15" fillId="0" borderId="31" xfId="2" applyNumberFormat="1" applyFont="1" applyBorder="1" applyAlignment="1" applyProtection="1">
      <alignment horizontal="center"/>
      <protection hidden="1"/>
    </xf>
    <xf numFmtId="0" fontId="0" fillId="0" borderId="31" xfId="2" applyFont="1" applyBorder="1" applyAlignment="1" applyProtection="1">
      <alignment horizontal="center"/>
      <protection hidden="1"/>
    </xf>
    <xf numFmtId="0" fontId="0" fillId="0" borderId="33" xfId="2" applyFont="1" applyBorder="1" applyAlignment="1" applyProtection="1">
      <alignment horizontal="center"/>
      <protection hidden="1"/>
    </xf>
    <xf numFmtId="0" fontId="0" fillId="0" borderId="32" xfId="2" applyFont="1" applyBorder="1" applyAlignment="1" applyProtection="1">
      <alignment horizontal="center"/>
      <protection hidden="1"/>
    </xf>
    <xf numFmtId="0" fontId="0" fillId="0" borderId="19" xfId="2" applyFont="1" applyBorder="1" applyAlignment="1" applyProtection="1">
      <alignment horizontal="center"/>
      <protection hidden="1"/>
    </xf>
    <xf numFmtId="0" fontId="15" fillId="0" borderId="22" xfId="2" applyFont="1" applyBorder="1" applyAlignment="1" applyProtection="1">
      <alignment horizontal="center"/>
      <protection hidden="1"/>
    </xf>
    <xf numFmtId="1" fontId="15" fillId="0" borderId="33" xfId="2" applyNumberFormat="1" applyFont="1" applyBorder="1" applyAlignment="1" applyProtection="1">
      <alignment horizontal="center"/>
      <protection hidden="1"/>
    </xf>
    <xf numFmtId="1" fontId="8" fillId="0" borderId="32" xfId="2" applyNumberFormat="1" applyFont="1" applyBorder="1" applyAlignment="1" applyProtection="1">
      <alignment horizontal="center"/>
      <protection hidden="1"/>
    </xf>
    <xf numFmtId="1" fontId="8" fillId="0" borderId="20" xfId="2" applyNumberFormat="1" applyFont="1" applyBorder="1" applyAlignment="1" applyProtection="1">
      <alignment horizontal="center"/>
      <protection hidden="1"/>
    </xf>
    <xf numFmtId="1" fontId="15" fillId="0" borderId="22" xfId="2" applyNumberFormat="1" applyFont="1" applyBorder="1" applyAlignment="1" applyProtection="1">
      <alignment horizontal="center"/>
      <protection hidden="1"/>
    </xf>
    <xf numFmtId="1" fontId="8" fillId="0" borderId="23" xfId="2" applyNumberFormat="1" applyFont="1" applyBorder="1" applyAlignment="1" applyProtection="1">
      <alignment horizontal="center"/>
      <protection hidden="1"/>
    </xf>
    <xf numFmtId="0" fontId="15" fillId="0" borderId="33" xfId="2" applyFont="1" applyBorder="1" applyAlignment="1" applyProtection="1">
      <alignment horizontal="center"/>
      <protection hidden="1"/>
    </xf>
    <xf numFmtId="2" fontId="15" fillId="0" borderId="33" xfId="2" applyNumberFormat="1" applyFont="1" applyBorder="1" applyAlignment="1" applyProtection="1">
      <alignment horizontal="center"/>
      <protection hidden="1"/>
    </xf>
    <xf numFmtId="0" fontId="8" fillId="0" borderId="32" xfId="2" applyFont="1" applyBorder="1" applyAlignment="1" applyProtection="1">
      <alignment horizontal="center"/>
      <protection hidden="1"/>
    </xf>
    <xf numFmtId="0" fontId="8" fillId="0" borderId="20" xfId="2" applyFont="1" applyBorder="1" applyAlignment="1" applyProtection="1">
      <alignment horizontal="center"/>
      <protection hidden="1"/>
    </xf>
    <xf numFmtId="0" fontId="8" fillId="0" borderId="23" xfId="2" applyFont="1" applyBorder="1" applyAlignment="1" applyProtection="1">
      <alignment horizontal="center"/>
      <protection hidden="1"/>
    </xf>
    <xf numFmtId="1" fontId="15" fillId="0" borderId="32" xfId="2" applyNumberFormat="1" applyFont="1" applyBorder="1" applyAlignment="1" applyProtection="1">
      <alignment horizontal="center"/>
      <protection hidden="1"/>
    </xf>
    <xf numFmtId="1" fontId="15" fillId="0" borderId="20" xfId="2" applyNumberFormat="1" applyFont="1" applyBorder="1" applyAlignment="1" applyProtection="1">
      <alignment horizontal="center"/>
      <protection hidden="1"/>
    </xf>
    <xf numFmtId="1" fontId="15" fillId="0" borderId="23" xfId="2" applyNumberFormat="1" applyFont="1" applyBorder="1" applyAlignment="1" applyProtection="1">
      <alignment horizontal="center"/>
      <protection hidden="1"/>
    </xf>
    <xf numFmtId="0" fontId="0" fillId="0" borderId="31" xfId="0" applyBorder="1" applyAlignment="1">
      <alignment horizontal="center" vertical="center"/>
    </xf>
    <xf numFmtId="0" fontId="0" fillId="0" borderId="32" xfId="0" applyBorder="1" applyAlignment="1">
      <alignment horizontal="center" vertical="center"/>
    </xf>
    <xf numFmtId="0" fontId="0" fillId="0" borderId="21" xfId="2" applyFont="1" applyBorder="1" applyAlignment="1" applyProtection="1">
      <alignment horizontal="center"/>
      <protection hidden="1"/>
    </xf>
    <xf numFmtId="165" fontId="0" fillId="0" borderId="19" xfId="0" applyNumberFormat="1" applyBorder="1" applyAlignment="1">
      <alignment horizontal="center" vertical="center"/>
    </xf>
    <xf numFmtId="1" fontId="0" fillId="0" borderId="20" xfId="0" applyNumberFormat="1" applyBorder="1" applyAlignment="1">
      <alignment horizontal="center" vertical="center"/>
    </xf>
    <xf numFmtId="165" fontId="0" fillId="0" borderId="21" xfId="0" applyNumberFormat="1" applyBorder="1" applyAlignment="1">
      <alignment horizontal="center" vertical="center"/>
    </xf>
    <xf numFmtId="1" fontId="0" fillId="0" borderId="23" xfId="0" applyNumberFormat="1" applyBorder="1" applyAlignment="1">
      <alignment horizontal="center" vertical="center"/>
    </xf>
    <xf numFmtId="1" fontId="0" fillId="0" borderId="19" xfId="0" applyNumberFormat="1" applyBorder="1" applyAlignment="1">
      <alignment horizontal="center" vertical="center"/>
    </xf>
    <xf numFmtId="1" fontId="0" fillId="0" borderId="21" xfId="0" applyNumberFormat="1" applyBorder="1" applyAlignment="1">
      <alignment horizontal="center" vertical="center"/>
    </xf>
    <xf numFmtId="0" fontId="0" fillId="0" borderId="23" xfId="0" applyBorder="1" applyAlignment="1">
      <alignment horizontal="center" vertical="center"/>
    </xf>
    <xf numFmtId="0" fontId="14" fillId="15" borderId="8" xfId="0" applyFont="1" applyFill="1" applyBorder="1" applyAlignment="1" applyProtection="1">
      <alignment horizontal="center"/>
      <protection locked="0"/>
    </xf>
    <xf numFmtId="0" fontId="0" fillId="0" borderId="0" xfId="0" applyAlignment="1">
      <alignment horizontal="right" vertical="center"/>
    </xf>
    <xf numFmtId="190" fontId="2" fillId="4" borderId="2" xfId="2" applyNumberFormat="1" applyFont="1" applyFill="1" applyBorder="1" applyAlignment="1" applyProtection="1">
      <alignment horizontal="center"/>
      <protection locked="0"/>
    </xf>
    <xf numFmtId="0" fontId="0" fillId="0" borderId="0" xfId="2" applyFont="1"/>
    <xf numFmtId="0" fontId="30" fillId="6" borderId="2" xfId="2" applyFont="1" applyFill="1" applyBorder="1" applyAlignment="1" applyProtection="1">
      <alignment horizontal="center"/>
      <protection hidden="1"/>
    </xf>
    <xf numFmtId="189" fontId="2" fillId="3" borderId="2" xfId="0" applyNumberFormat="1" applyFont="1" applyFill="1" applyBorder="1" applyAlignment="1" applyProtection="1">
      <alignment horizontal="center" vertical="center"/>
      <protection locked="0"/>
    </xf>
    <xf numFmtId="0" fontId="0" fillId="0" borderId="0" xfId="0" applyAlignment="1">
      <alignment horizontal="right"/>
    </xf>
    <xf numFmtId="0" fontId="2" fillId="11" borderId="18" xfId="1" applyFont="1" applyFill="1" applyBorder="1" applyAlignment="1" applyProtection="1">
      <alignment horizontal="center" vertical="center"/>
      <protection hidden="1"/>
    </xf>
    <xf numFmtId="0" fontId="0" fillId="0" borderId="33" xfId="0" applyBorder="1" applyAlignment="1">
      <alignment horizontal="center" vertical="center"/>
    </xf>
    <xf numFmtId="0" fontId="0" fillId="0" borderId="21" xfId="0" applyBorder="1" applyAlignment="1">
      <alignment horizontal="center" vertical="center"/>
    </xf>
    <xf numFmtId="1" fontId="0" fillId="0" borderId="22" xfId="0" applyNumberFormat="1" applyBorder="1" applyAlignment="1">
      <alignment horizontal="center" vertical="center"/>
    </xf>
    <xf numFmtId="0" fontId="0" fillId="0" borderId="19" xfId="0" applyBorder="1" applyAlignment="1">
      <alignment horizontal="center" vertical="center"/>
    </xf>
    <xf numFmtId="0" fontId="0" fillId="0" borderId="31" xfId="0" applyBorder="1" applyAlignment="1">
      <alignment vertical="center"/>
    </xf>
    <xf numFmtId="0" fontId="0" fillId="0" borderId="32" xfId="0" applyBorder="1" applyAlignment="1">
      <alignment horizontal="left" vertical="center"/>
    </xf>
    <xf numFmtId="0" fontId="0" fillId="0" borderId="20" xfId="0" applyBorder="1" applyAlignment="1">
      <alignment horizontal="left" vertical="center"/>
    </xf>
    <xf numFmtId="0" fontId="0" fillId="0" borderId="19" xfId="0" applyBorder="1" applyAlignment="1">
      <alignment horizontal="right" vertical="center"/>
    </xf>
    <xf numFmtId="2" fontId="0" fillId="0" borderId="20" xfId="0" applyNumberFormat="1" applyBorder="1" applyAlignment="1">
      <alignment horizontal="center" vertical="center"/>
    </xf>
    <xf numFmtId="0" fontId="0" fillId="0" borderId="21" xfId="0" applyBorder="1" applyAlignment="1">
      <alignment horizontal="right" vertical="center"/>
    </xf>
    <xf numFmtId="2" fontId="0" fillId="0" borderId="23" xfId="0" applyNumberFormat="1" applyBorder="1" applyAlignment="1">
      <alignment horizontal="center" vertical="center"/>
    </xf>
    <xf numFmtId="0" fontId="0" fillId="0" borderId="31" xfId="0" applyBorder="1" applyAlignment="1">
      <alignment horizontal="right" vertical="center"/>
    </xf>
    <xf numFmtId="2" fontId="0" fillId="0" borderId="32" xfId="0" applyNumberFormat="1" applyBorder="1" applyAlignment="1">
      <alignment horizontal="center" vertical="center"/>
    </xf>
    <xf numFmtId="0" fontId="2" fillId="0" borderId="20" xfId="0" applyFont="1" applyBorder="1" applyAlignment="1">
      <alignment horizontal="center" vertical="center"/>
    </xf>
    <xf numFmtId="1" fontId="2" fillId="0" borderId="0" xfId="0" applyNumberFormat="1" applyFont="1" applyAlignment="1">
      <alignment horizontal="center"/>
    </xf>
    <xf numFmtId="0" fontId="2" fillId="0" borderId="32" xfId="0" applyFont="1" applyBorder="1" applyAlignment="1">
      <alignment horizontal="center"/>
    </xf>
    <xf numFmtId="0" fontId="2" fillId="0" borderId="20" xfId="0" applyFont="1" applyBorder="1" applyAlignment="1">
      <alignment horizontal="center"/>
    </xf>
    <xf numFmtId="1" fontId="2" fillId="0" borderId="23" xfId="0" applyNumberFormat="1" applyFont="1" applyBorder="1" applyAlignment="1">
      <alignment horizontal="center"/>
    </xf>
    <xf numFmtId="0" fontId="2" fillId="0" borderId="33" xfId="0" applyFont="1" applyBorder="1" applyAlignment="1">
      <alignment horizontal="center"/>
    </xf>
    <xf numFmtId="165" fontId="2" fillId="0" borderId="0" xfId="0" applyNumberFormat="1" applyFont="1" applyAlignment="1">
      <alignment horizontal="center" vertical="center"/>
    </xf>
    <xf numFmtId="165" fontId="2" fillId="0" borderId="0" xfId="0" applyNumberFormat="1" applyFont="1" applyAlignment="1">
      <alignment horizontal="center"/>
    </xf>
    <xf numFmtId="0" fontId="2" fillId="0" borderId="33" xfId="0" applyFont="1" applyBorder="1"/>
    <xf numFmtId="165" fontId="2" fillId="0" borderId="33" xfId="0" applyNumberFormat="1" applyFont="1" applyBorder="1" applyAlignment="1">
      <alignment horizontal="center" vertical="center"/>
    </xf>
    <xf numFmtId="165" fontId="2" fillId="0" borderId="32" xfId="0" applyNumberFormat="1" applyFont="1" applyBorder="1" applyAlignment="1">
      <alignment horizontal="center" vertical="center"/>
    </xf>
    <xf numFmtId="0" fontId="2" fillId="0" borderId="20" xfId="0" applyFont="1" applyBorder="1"/>
    <xf numFmtId="165" fontId="2" fillId="0" borderId="20" xfId="0" applyNumberFormat="1" applyFont="1" applyBorder="1" applyAlignment="1">
      <alignment horizontal="center" vertical="center"/>
    </xf>
    <xf numFmtId="165" fontId="2" fillId="0" borderId="20" xfId="0" applyNumberFormat="1" applyFont="1" applyBorder="1" applyAlignment="1">
      <alignment horizontal="center"/>
    </xf>
    <xf numFmtId="0" fontId="2" fillId="0" borderId="22" xfId="0" applyFont="1" applyBorder="1"/>
    <xf numFmtId="165" fontId="2" fillId="0" borderId="22" xfId="0" applyNumberFormat="1" applyFont="1" applyBorder="1" applyAlignment="1">
      <alignment horizontal="center" vertical="center"/>
    </xf>
    <xf numFmtId="165" fontId="2" fillId="0" borderId="23" xfId="0" applyNumberFormat="1" applyFont="1" applyBorder="1" applyAlignment="1">
      <alignment horizontal="center" vertical="center"/>
    </xf>
    <xf numFmtId="165" fontId="0" fillId="0" borderId="0" xfId="0" applyNumberFormat="1" applyAlignment="1">
      <alignment horizontal="left"/>
    </xf>
    <xf numFmtId="0" fontId="2" fillId="4" borderId="0" xfId="0" applyFont="1" applyFill="1" applyAlignment="1" applyProtection="1">
      <alignment horizontal="center" vertical="center"/>
      <protection locked="0"/>
    </xf>
    <xf numFmtId="0" fontId="2" fillId="0" borderId="23" xfId="0" applyFont="1" applyBorder="1" applyAlignment="1">
      <alignment horizontal="center"/>
    </xf>
    <xf numFmtId="0" fontId="0" fillId="0" borderId="33" xfId="0" applyBorder="1" applyAlignment="1">
      <alignment horizontal="center"/>
    </xf>
    <xf numFmtId="0" fontId="0" fillId="0" borderId="32" xfId="0" applyBorder="1" applyAlignment="1">
      <alignment horizontal="center"/>
    </xf>
    <xf numFmtId="1" fontId="2" fillId="0" borderId="22" xfId="0" applyNumberFormat="1" applyFont="1" applyBorder="1" applyAlignment="1">
      <alignment horizontal="center"/>
    </xf>
    <xf numFmtId="165" fontId="2" fillId="0" borderId="23" xfId="0" applyNumberFormat="1" applyFont="1" applyBorder="1" applyAlignment="1">
      <alignment horizontal="center"/>
    </xf>
    <xf numFmtId="0" fontId="0" fillId="0" borderId="33" xfId="0" applyBorder="1"/>
    <xf numFmtId="0" fontId="0" fillId="0" borderId="32" xfId="0" applyBorder="1"/>
    <xf numFmtId="0" fontId="0" fillId="0" borderId="20" xfId="0" applyBorder="1"/>
    <xf numFmtId="0" fontId="2" fillId="4" borderId="20" xfId="0" applyFont="1" applyFill="1" applyBorder="1" applyAlignment="1" applyProtection="1">
      <alignment horizontal="center" vertical="center"/>
      <protection locked="0"/>
    </xf>
    <xf numFmtId="0" fontId="0" fillId="0" borderId="21" xfId="0" applyBorder="1"/>
    <xf numFmtId="0" fontId="0" fillId="0" borderId="22" xfId="0" applyBorder="1"/>
    <xf numFmtId="0" fontId="0" fillId="0" borderId="23" xfId="0" applyBorder="1"/>
    <xf numFmtId="0" fontId="29" fillId="0" borderId="20" xfId="0" applyFont="1" applyBorder="1" applyAlignment="1">
      <alignment horizontal="left"/>
    </xf>
    <xf numFmtId="0" fontId="2" fillId="0" borderId="0" xfId="0" applyFont="1" applyAlignment="1">
      <alignment horizontal="right"/>
    </xf>
    <xf numFmtId="0" fontId="2" fillId="0" borderId="22" xfId="0" applyFont="1" applyBorder="1" applyAlignment="1">
      <alignment horizontal="center"/>
    </xf>
    <xf numFmtId="0" fontId="2" fillId="0" borderId="31" xfId="0" applyFont="1" applyBorder="1" applyAlignment="1">
      <alignment horizontal="center"/>
    </xf>
    <xf numFmtId="0" fontId="2" fillId="0" borderId="19" xfId="0" applyFont="1" applyBorder="1" applyAlignment="1">
      <alignment horizontal="center"/>
    </xf>
    <xf numFmtId="0" fontId="2" fillId="0" borderId="21" xfId="0" applyFont="1" applyBorder="1" applyAlignment="1">
      <alignment horizontal="center"/>
    </xf>
    <xf numFmtId="0" fontId="2" fillId="0" borderId="19" xfId="0" applyFont="1" applyBorder="1" applyAlignment="1">
      <alignment horizontal="center" vertical="center"/>
    </xf>
    <xf numFmtId="0" fontId="2" fillId="4" borderId="23" xfId="0" applyFont="1" applyFill="1" applyBorder="1" applyAlignment="1" applyProtection="1">
      <alignment horizontal="center" vertical="center"/>
      <protection locked="0"/>
    </xf>
    <xf numFmtId="1" fontId="2" fillId="0" borderId="20" xfId="0" applyNumberFormat="1" applyFont="1" applyBorder="1" applyAlignment="1">
      <alignment horizontal="center"/>
    </xf>
    <xf numFmtId="165" fontId="2" fillId="0" borderId="22" xfId="0" applyNumberFormat="1" applyFont="1" applyBorder="1" applyAlignment="1">
      <alignment horizontal="center"/>
    </xf>
    <xf numFmtId="0" fontId="2" fillId="0" borderId="34" xfId="0" applyFont="1" applyBorder="1" applyAlignment="1">
      <alignment horizontal="center"/>
    </xf>
    <xf numFmtId="1" fontId="2" fillId="0" borderId="0" xfId="0" applyNumberFormat="1" applyFont="1" applyAlignment="1">
      <alignment horizontal="center" vertical="center"/>
    </xf>
    <xf numFmtId="1" fontId="2" fillId="0" borderId="20" xfId="0" applyNumberFormat="1" applyFont="1" applyBorder="1" applyAlignment="1">
      <alignment horizontal="center" vertical="center"/>
    </xf>
    <xf numFmtId="0" fontId="2" fillId="0" borderId="35" xfId="0" applyFont="1" applyBorder="1"/>
    <xf numFmtId="1" fontId="2" fillId="0" borderId="35" xfId="0" applyNumberFormat="1" applyFont="1" applyBorder="1" applyAlignment="1">
      <alignment horizontal="center"/>
    </xf>
    <xf numFmtId="0" fontId="2" fillId="0" borderId="35" xfId="0" applyFont="1" applyBorder="1" applyAlignment="1">
      <alignment horizontal="center"/>
    </xf>
    <xf numFmtId="0" fontId="2" fillId="4" borderId="32" xfId="0" applyFont="1" applyFill="1" applyBorder="1" applyAlignment="1" applyProtection="1">
      <alignment horizontal="center" vertical="center"/>
      <protection locked="0"/>
    </xf>
    <xf numFmtId="0" fontId="2" fillId="0" borderId="23" xfId="0" applyFont="1" applyBorder="1"/>
    <xf numFmtId="0" fontId="30" fillId="0" borderId="13" xfId="0" applyFont="1" applyBorder="1" applyAlignment="1">
      <alignment horizontal="right" vertical="center"/>
    </xf>
    <xf numFmtId="0" fontId="30" fillId="0" borderId="13" xfId="2" applyFont="1" applyBorder="1" applyAlignment="1">
      <alignment horizontal="right"/>
    </xf>
    <xf numFmtId="2" fontId="0" fillId="16" borderId="31" xfId="0" applyNumberFormat="1" applyFill="1" applyBorder="1" applyAlignment="1">
      <alignment horizontal="center"/>
    </xf>
    <xf numFmtId="2" fontId="0" fillId="16" borderId="33" xfId="0" applyNumberFormat="1" applyFill="1" applyBorder="1" applyAlignment="1">
      <alignment horizontal="center"/>
    </xf>
    <xf numFmtId="2" fontId="0" fillId="16" borderId="32" xfId="0" applyNumberFormat="1" applyFill="1" applyBorder="1" applyAlignment="1">
      <alignment horizontal="center"/>
    </xf>
    <xf numFmtId="0" fontId="0" fillId="16" borderId="31" xfId="0" applyFill="1" applyBorder="1" applyAlignment="1">
      <alignment horizontal="center"/>
    </xf>
    <xf numFmtId="0" fontId="0" fillId="16" borderId="33" xfId="0" applyFill="1" applyBorder="1" applyAlignment="1">
      <alignment horizontal="center"/>
    </xf>
    <xf numFmtId="0" fontId="0" fillId="16" borderId="32" xfId="0" applyFill="1" applyBorder="1" applyAlignment="1">
      <alignment horizontal="center"/>
    </xf>
    <xf numFmtId="2" fontId="0" fillId="0" borderId="0" xfId="0" applyNumberFormat="1"/>
    <xf numFmtId="2" fontId="0" fillId="0" borderId="0" xfId="0" applyNumberFormat="1" applyAlignment="1">
      <alignment horizontal="left"/>
    </xf>
    <xf numFmtId="2" fontId="9" fillId="0" borderId="0" xfId="0" applyNumberFormat="1" applyFont="1" applyAlignment="1">
      <alignment horizontal="left"/>
    </xf>
    <xf numFmtId="2" fontId="10" fillId="0" borderId="0" xfId="1" applyNumberFormat="1" applyAlignment="1">
      <alignment horizontal="left"/>
    </xf>
    <xf numFmtId="2" fontId="10" fillId="0" borderId="0" xfId="1" applyNumberFormat="1" applyAlignment="1">
      <alignment horizontal="center"/>
    </xf>
    <xf numFmtId="2" fontId="0" fillId="0" borderId="0" xfId="0" quotePrefix="1" applyNumberFormat="1" applyAlignment="1">
      <alignment horizontal="center"/>
    </xf>
    <xf numFmtId="2" fontId="0" fillId="21" borderId="20" xfId="0" applyNumberFormat="1" applyFill="1" applyBorder="1" applyAlignment="1">
      <alignment horizontal="center"/>
    </xf>
    <xf numFmtId="2" fontId="0" fillId="21" borderId="23" xfId="0" applyNumberFormat="1" applyFill="1" applyBorder="1" applyAlignment="1">
      <alignment horizontal="center"/>
    </xf>
    <xf numFmtId="2" fontId="0" fillId="21" borderId="19" xfId="0" applyNumberFormat="1" applyFill="1" applyBorder="1" applyAlignment="1">
      <alignment horizontal="center"/>
    </xf>
    <xf numFmtId="2" fontId="0" fillId="21" borderId="0" xfId="0" applyNumberFormat="1" applyFill="1" applyAlignment="1">
      <alignment horizontal="center"/>
    </xf>
    <xf numFmtId="2" fontId="0" fillId="21" borderId="21" xfId="0" applyNumberFormat="1" applyFill="1" applyBorder="1" applyAlignment="1">
      <alignment horizontal="center"/>
    </xf>
    <xf numFmtId="2" fontId="0" fillId="21" borderId="22" xfId="0" applyNumberFormat="1" applyFill="1" applyBorder="1" applyAlignment="1">
      <alignment horizontal="center"/>
    </xf>
    <xf numFmtId="1" fontId="0" fillId="21" borderId="19" xfId="0" applyNumberFormat="1" applyFill="1" applyBorder="1" applyAlignment="1">
      <alignment horizontal="center"/>
    </xf>
    <xf numFmtId="2" fontId="0" fillId="21" borderId="26" xfId="0" applyNumberFormat="1" applyFill="1" applyBorder="1" applyAlignment="1">
      <alignment horizontal="center"/>
    </xf>
    <xf numFmtId="1" fontId="0" fillId="21" borderId="21" xfId="0" applyNumberFormat="1" applyFill="1" applyBorder="1" applyAlignment="1">
      <alignment horizontal="center"/>
    </xf>
    <xf numFmtId="2" fontId="0" fillId="21" borderId="25" xfId="0" applyNumberFormat="1" applyFill="1" applyBorder="1" applyAlignment="1">
      <alignment horizontal="center"/>
    </xf>
    <xf numFmtId="0" fontId="0" fillId="21" borderId="19" xfId="0" applyFill="1" applyBorder="1"/>
    <xf numFmtId="0" fontId="0" fillId="21" borderId="0" xfId="0" applyFill="1"/>
    <xf numFmtId="0" fontId="0" fillId="21" borderId="20" xfId="0" applyFill="1" applyBorder="1" applyAlignment="1">
      <alignment horizontal="center"/>
    </xf>
    <xf numFmtId="0" fontId="0" fillId="21" borderId="21" xfId="0" applyFill="1" applyBorder="1"/>
    <xf numFmtId="0" fontId="0" fillId="21" borderId="22" xfId="0" applyFill="1" applyBorder="1"/>
    <xf numFmtId="0" fontId="0" fillId="21" borderId="23" xfId="0" applyFill="1" applyBorder="1" applyAlignment="1">
      <alignment horizontal="center"/>
    </xf>
    <xf numFmtId="1" fontId="0" fillId="21" borderId="31" xfId="0" applyNumberFormat="1" applyFill="1" applyBorder="1" applyAlignment="1">
      <alignment horizontal="center"/>
    </xf>
    <xf numFmtId="1" fontId="0" fillId="21" borderId="33" xfId="0" applyNumberFormat="1" applyFill="1" applyBorder="1" applyAlignment="1">
      <alignment horizontal="center"/>
    </xf>
    <xf numFmtId="1" fontId="0" fillId="21" borderId="32" xfId="0" applyNumberFormat="1" applyFill="1" applyBorder="1" applyAlignment="1">
      <alignment horizontal="center"/>
    </xf>
    <xf numFmtId="1" fontId="0" fillId="21" borderId="0" xfId="0" applyNumberFormat="1" applyFill="1" applyAlignment="1">
      <alignment horizontal="center"/>
    </xf>
    <xf numFmtId="1" fontId="0" fillId="21" borderId="20" xfId="0" applyNumberFormat="1" applyFill="1" applyBorder="1" applyAlignment="1">
      <alignment horizontal="center"/>
    </xf>
    <xf numFmtId="1" fontId="0" fillId="21" borderId="22" xfId="0" applyNumberFormat="1" applyFill="1" applyBorder="1" applyAlignment="1">
      <alignment horizontal="center"/>
    </xf>
    <xf numFmtId="1" fontId="0" fillId="21" borderId="23" xfId="0" applyNumberFormat="1" applyFill="1" applyBorder="1" applyAlignment="1">
      <alignment horizontal="center"/>
    </xf>
    <xf numFmtId="2" fontId="0" fillId="21" borderId="32" xfId="0" applyNumberFormat="1" applyFill="1" applyBorder="1" applyAlignment="1">
      <alignment horizontal="center"/>
    </xf>
    <xf numFmtId="2" fontId="0" fillId="21" borderId="24" xfId="0" applyNumberFormat="1" applyFill="1" applyBorder="1" applyAlignment="1">
      <alignment horizontal="center"/>
    </xf>
    <xf numFmtId="2" fontId="0" fillId="21" borderId="31" xfId="0" applyNumberFormat="1" applyFill="1" applyBorder="1" applyAlignment="1">
      <alignment horizontal="center"/>
    </xf>
    <xf numFmtId="0" fontId="0" fillId="22" borderId="36" xfId="0" applyFill="1" applyBorder="1" applyAlignment="1">
      <alignment horizontal="center"/>
    </xf>
    <xf numFmtId="0" fontId="0" fillId="22" borderId="37" xfId="0" applyFill="1" applyBorder="1" applyAlignment="1">
      <alignment horizontal="center"/>
    </xf>
    <xf numFmtId="0" fontId="0" fillId="22" borderId="38" xfId="0" applyFill="1" applyBorder="1" applyAlignment="1">
      <alignment horizontal="center"/>
    </xf>
    <xf numFmtId="0" fontId="0" fillId="22" borderId="39" xfId="0" applyFill="1" applyBorder="1" applyAlignment="1">
      <alignment horizontal="center"/>
    </xf>
    <xf numFmtId="0" fontId="0" fillId="22" borderId="40" xfId="0" applyFill="1" applyBorder="1" applyAlignment="1">
      <alignment horizontal="center"/>
    </xf>
    <xf numFmtId="0" fontId="0" fillId="22" borderId="41" xfId="0" applyFill="1" applyBorder="1" applyAlignment="1">
      <alignment horizontal="center"/>
    </xf>
    <xf numFmtId="0" fontId="0" fillId="22" borderId="42" xfId="0" applyFill="1" applyBorder="1" applyAlignment="1">
      <alignment horizontal="center"/>
    </xf>
    <xf numFmtId="0" fontId="0" fillId="22" borderId="43" xfId="0" applyFill="1" applyBorder="1" applyAlignment="1">
      <alignment horizontal="center"/>
    </xf>
    <xf numFmtId="0" fontId="0" fillId="22" borderId="44" xfId="0" applyFill="1" applyBorder="1" applyAlignment="1">
      <alignment horizontal="center"/>
    </xf>
    <xf numFmtId="0" fontId="0" fillId="22" borderId="45" xfId="0" applyFill="1" applyBorder="1" applyAlignment="1">
      <alignment horizontal="center"/>
    </xf>
    <xf numFmtId="0" fontId="0" fillId="22" borderId="46" xfId="0" applyFill="1" applyBorder="1" applyAlignment="1">
      <alignment horizontal="center"/>
    </xf>
    <xf numFmtId="0" fontId="0" fillId="22" borderId="47" xfId="0" applyFill="1" applyBorder="1" applyAlignment="1">
      <alignment horizontal="center"/>
    </xf>
    <xf numFmtId="0" fontId="0" fillId="22" borderId="48" xfId="0" applyFill="1" applyBorder="1" applyAlignment="1">
      <alignment horizontal="center"/>
    </xf>
    <xf numFmtId="0" fontId="0" fillId="22" borderId="49" xfId="0" applyFill="1" applyBorder="1" applyAlignment="1">
      <alignment horizontal="center"/>
    </xf>
    <xf numFmtId="0" fontId="0" fillId="22" borderId="50" xfId="0" applyFill="1" applyBorder="1" applyAlignment="1">
      <alignment horizontal="center"/>
    </xf>
    <xf numFmtId="0" fontId="8" fillId="22" borderId="36" xfId="0" applyFont="1" applyFill="1" applyBorder="1" applyAlignment="1">
      <alignment horizontal="center"/>
    </xf>
    <xf numFmtId="0" fontId="15" fillId="22" borderId="37" xfId="0" applyFont="1" applyFill="1" applyBorder="1" applyAlignment="1">
      <alignment horizontal="center"/>
    </xf>
    <xf numFmtId="2" fontId="0" fillId="23" borderId="19" xfId="0" applyNumberFormat="1" applyFill="1" applyBorder="1" applyAlignment="1">
      <alignment horizontal="center"/>
    </xf>
    <xf numFmtId="2" fontId="0" fillId="23" borderId="21" xfId="0" applyNumberFormat="1" applyFill="1" applyBorder="1" applyAlignment="1">
      <alignment horizontal="center"/>
    </xf>
    <xf numFmtId="2" fontId="0" fillId="24" borderId="32" xfId="0" applyNumberFormat="1" applyFill="1" applyBorder="1" applyAlignment="1">
      <alignment horizontal="center"/>
    </xf>
    <xf numFmtId="2" fontId="0" fillId="24" borderId="31" xfId="0" applyNumberFormat="1" applyFill="1" applyBorder="1" applyAlignment="1">
      <alignment horizontal="center"/>
    </xf>
    <xf numFmtId="2" fontId="0" fillId="24" borderId="33" xfId="0" applyNumberFormat="1" applyFill="1" applyBorder="1" applyAlignment="1">
      <alignment horizontal="center"/>
    </xf>
    <xf numFmtId="0" fontId="0" fillId="25" borderId="51" xfId="0" applyFill="1" applyBorder="1" applyAlignment="1">
      <alignment horizontal="center"/>
    </xf>
    <xf numFmtId="184" fontId="0" fillId="25" borderId="11" xfId="0" applyNumberFormat="1" applyFill="1" applyBorder="1" applyAlignment="1">
      <alignment horizontal="center"/>
    </xf>
    <xf numFmtId="173" fontId="0" fillId="25" borderId="11" xfId="0" applyNumberFormat="1" applyFill="1" applyBorder="1" applyAlignment="1">
      <alignment horizontal="center"/>
    </xf>
    <xf numFmtId="164" fontId="0" fillId="24" borderId="11" xfId="0" applyNumberFormat="1" applyFill="1" applyBorder="1" applyAlignment="1">
      <alignment horizontal="center"/>
    </xf>
    <xf numFmtId="164" fontId="0" fillId="25" borderId="11" xfId="0" applyNumberFormat="1" applyFill="1" applyBorder="1" applyAlignment="1">
      <alignment horizontal="center"/>
    </xf>
    <xf numFmtId="178" fontId="0" fillId="24" borderId="11" xfId="0" applyNumberFormat="1" applyFill="1" applyBorder="1" applyAlignment="1">
      <alignment horizontal="center"/>
    </xf>
    <xf numFmtId="0" fontId="0" fillId="24" borderId="11" xfId="0" applyFill="1" applyBorder="1" applyAlignment="1">
      <alignment horizontal="center"/>
    </xf>
    <xf numFmtId="0" fontId="0" fillId="25" borderId="52" xfId="0" applyFill="1" applyBorder="1" applyAlignment="1">
      <alignment horizontal="center"/>
    </xf>
    <xf numFmtId="0" fontId="0" fillId="25" borderId="53" xfId="0" applyFill="1" applyBorder="1" applyAlignment="1">
      <alignment horizontal="center"/>
    </xf>
    <xf numFmtId="0" fontId="2" fillId="26" borderId="52" xfId="0" applyFont="1" applyFill="1" applyBorder="1" applyAlignment="1">
      <alignment horizontal="center"/>
    </xf>
    <xf numFmtId="0" fontId="0" fillId="26" borderId="54" xfId="0" applyFill="1" applyBorder="1" applyAlignment="1">
      <alignment horizontal="center"/>
    </xf>
    <xf numFmtId="0" fontId="0" fillId="26" borderId="53" xfId="0" applyFill="1" applyBorder="1" applyAlignment="1">
      <alignment horizontal="center"/>
    </xf>
    <xf numFmtId="0" fontId="0" fillId="25" borderId="55" xfId="0" applyFill="1" applyBorder="1" applyAlignment="1">
      <alignment horizontal="center"/>
    </xf>
    <xf numFmtId="0" fontId="0" fillId="25" borderId="56" xfId="0" applyFill="1" applyBorder="1" applyAlignment="1">
      <alignment horizontal="center"/>
    </xf>
    <xf numFmtId="0" fontId="0" fillId="25" borderId="57" xfId="0" applyFill="1" applyBorder="1" applyAlignment="1">
      <alignment horizontal="center"/>
    </xf>
    <xf numFmtId="0" fontId="0" fillId="25" borderId="58" xfId="0" applyFill="1" applyBorder="1" applyAlignment="1">
      <alignment horizontal="center"/>
    </xf>
    <xf numFmtId="0" fontId="0" fillId="25" borderId="59" xfId="0" applyFill="1" applyBorder="1" applyAlignment="1">
      <alignment horizontal="center"/>
    </xf>
    <xf numFmtId="0" fontId="0" fillId="25" borderId="60" xfId="0" applyFill="1" applyBorder="1" applyAlignment="1">
      <alignment horizontal="center"/>
    </xf>
    <xf numFmtId="0" fontId="0" fillId="3" borderId="55" xfId="0" applyFill="1" applyBorder="1" applyAlignment="1">
      <alignment horizontal="center"/>
    </xf>
    <xf numFmtId="0" fontId="0" fillId="3" borderId="56" xfId="0" applyFill="1" applyBorder="1" applyAlignment="1">
      <alignment horizontal="center"/>
    </xf>
    <xf numFmtId="0" fontId="0" fillId="3" borderId="61" xfId="0" applyFill="1" applyBorder="1" applyAlignment="1">
      <alignment horizontal="center"/>
    </xf>
    <xf numFmtId="0" fontId="0" fillId="3" borderId="0" xfId="0" applyFill="1" applyAlignment="1">
      <alignment horizontal="center"/>
    </xf>
    <xf numFmtId="183" fontId="0" fillId="25" borderId="58" xfId="0" applyNumberFormat="1" applyFill="1" applyBorder="1" applyAlignment="1">
      <alignment horizontal="center"/>
    </xf>
    <xf numFmtId="183" fontId="0" fillId="25" borderId="59" xfId="0" applyNumberFormat="1" applyFill="1" applyBorder="1" applyAlignment="1">
      <alignment horizontal="center"/>
    </xf>
    <xf numFmtId="2" fontId="0" fillId="3" borderId="0" xfId="0" applyNumberFormat="1" applyFill="1" applyAlignment="1">
      <alignment horizontal="center"/>
    </xf>
    <xf numFmtId="169" fontId="0" fillId="3" borderId="56" xfId="0" applyNumberFormat="1" applyFill="1" applyBorder="1" applyAlignment="1">
      <alignment horizontal="center"/>
    </xf>
    <xf numFmtId="0" fontId="0" fillId="26" borderId="1" xfId="0" applyFill="1" applyBorder="1" applyAlignment="1">
      <alignment horizontal="center"/>
    </xf>
    <xf numFmtId="0" fontId="0" fillId="26" borderId="51" xfId="0" applyFill="1" applyBorder="1" applyAlignment="1">
      <alignment horizontal="center"/>
    </xf>
    <xf numFmtId="183" fontId="0" fillId="26" borderId="51" xfId="0" applyNumberFormat="1" applyFill="1" applyBorder="1" applyAlignment="1">
      <alignment horizontal="center"/>
    </xf>
    <xf numFmtId="0" fontId="0" fillId="24" borderId="57" xfId="0" applyFill="1" applyBorder="1" applyAlignment="1">
      <alignment horizontal="center"/>
    </xf>
    <xf numFmtId="0" fontId="0" fillId="24" borderId="62" xfId="0" applyFill="1" applyBorder="1" applyAlignment="1">
      <alignment horizontal="center"/>
    </xf>
    <xf numFmtId="183" fontId="0" fillId="25" borderId="60" xfId="0" applyNumberFormat="1" applyFill="1" applyBorder="1" applyAlignment="1">
      <alignment horizontal="center"/>
    </xf>
    <xf numFmtId="0" fontId="45" fillId="0" borderId="0" xfId="0" applyFont="1" applyAlignment="1">
      <alignment vertical="center"/>
    </xf>
    <xf numFmtId="0" fontId="46" fillId="0" borderId="0" xfId="2" applyFont="1"/>
    <xf numFmtId="0" fontId="46" fillId="27" borderId="2" xfId="2" applyFont="1" applyFill="1" applyBorder="1" applyAlignment="1" applyProtection="1">
      <alignment horizontal="center"/>
      <protection hidden="1"/>
    </xf>
    <xf numFmtId="177" fontId="47" fillId="5" borderId="2" xfId="2" applyNumberFormat="1" applyFont="1" applyFill="1" applyBorder="1" applyAlignment="1" applyProtection="1">
      <alignment horizontal="center"/>
      <protection hidden="1"/>
    </xf>
    <xf numFmtId="0" fontId="45" fillId="0" borderId="0" xfId="2" applyFont="1"/>
    <xf numFmtId="0" fontId="48" fillId="0" borderId="10" xfId="2" applyFont="1" applyBorder="1" applyAlignment="1">
      <alignment horizontal="right"/>
    </xf>
    <xf numFmtId="0" fontId="46" fillId="0" borderId="10" xfId="2" applyFont="1" applyBorder="1"/>
    <xf numFmtId="0" fontId="49" fillId="0" borderId="10" xfId="2" applyFont="1" applyBorder="1" applyAlignment="1">
      <alignment horizontal="left"/>
    </xf>
    <xf numFmtId="0" fontId="48" fillId="0" borderId="10" xfId="2" applyFont="1" applyBorder="1"/>
    <xf numFmtId="0" fontId="48" fillId="0" borderId="7" xfId="0" applyFont="1" applyBorder="1" applyAlignment="1">
      <alignment horizontal="right" vertical="center"/>
    </xf>
    <xf numFmtId="0" fontId="49" fillId="0" borderId="7" xfId="0" applyFont="1" applyBorder="1" applyAlignment="1">
      <alignment horizontal="right" vertical="center"/>
    </xf>
    <xf numFmtId="166" fontId="0" fillId="0" borderId="7" xfId="0" applyNumberFormat="1" applyBorder="1" applyAlignment="1">
      <alignment horizontal="right" vertical="center"/>
    </xf>
    <xf numFmtId="193" fontId="0" fillId="3" borderId="11" xfId="0" applyNumberFormat="1" applyFill="1" applyBorder="1" applyAlignment="1">
      <alignment horizontal="center"/>
    </xf>
    <xf numFmtId="0" fontId="0" fillId="28" borderId="24" xfId="0" applyFill="1" applyBorder="1" applyAlignment="1">
      <alignment horizontal="center"/>
    </xf>
    <xf numFmtId="0" fontId="0" fillId="29" borderId="26" xfId="0" applyFill="1" applyBorder="1" applyAlignment="1">
      <alignment horizontal="center"/>
    </xf>
    <xf numFmtId="186" fontId="0" fillId="25" borderId="11" xfId="0" applyNumberFormat="1" applyFill="1" applyBorder="1" applyAlignment="1">
      <alignment horizontal="center"/>
    </xf>
    <xf numFmtId="176" fontId="33" fillId="5" borderId="24" xfId="2" applyNumberFormat="1" applyFont="1" applyFill="1" applyBorder="1" applyAlignment="1" applyProtection="1">
      <alignment horizontal="center"/>
      <protection hidden="1"/>
    </xf>
    <xf numFmtId="176" fontId="33" fillId="5" borderId="26" xfId="2" applyNumberFormat="1" applyFont="1" applyFill="1" applyBorder="1" applyAlignment="1" applyProtection="1">
      <alignment horizontal="center"/>
      <protection hidden="1"/>
    </xf>
    <xf numFmtId="176" fontId="33" fillId="5" borderId="25" xfId="2" applyNumberFormat="1" applyFont="1" applyFill="1" applyBorder="1" applyAlignment="1" applyProtection="1">
      <alignment horizontal="center"/>
      <protection hidden="1"/>
    </xf>
    <xf numFmtId="0" fontId="33" fillId="5" borderId="63" xfId="2" applyFont="1" applyFill="1" applyBorder="1" applyAlignment="1">
      <alignment horizontal="center"/>
    </xf>
    <xf numFmtId="0" fontId="33" fillId="5" borderId="20" xfId="2" applyFont="1" applyFill="1" applyBorder="1" applyAlignment="1">
      <alignment horizontal="center"/>
    </xf>
    <xf numFmtId="0" fontId="33" fillId="5" borderId="23" xfId="2" applyFont="1" applyFill="1" applyBorder="1" applyAlignment="1">
      <alignment horizontal="center"/>
    </xf>
    <xf numFmtId="176" fontId="33" fillId="5" borderId="63" xfId="2" applyNumberFormat="1" applyFont="1" applyFill="1" applyBorder="1" applyAlignment="1">
      <alignment horizontal="center"/>
    </xf>
    <xf numFmtId="196" fontId="33" fillId="5" borderId="63" xfId="2" applyNumberFormat="1" applyFont="1" applyFill="1" applyBorder="1" applyAlignment="1">
      <alignment horizontal="center"/>
    </xf>
    <xf numFmtId="196" fontId="33" fillId="5" borderId="20" xfId="2" applyNumberFormat="1" applyFont="1" applyFill="1" applyBorder="1" applyAlignment="1">
      <alignment horizontal="center"/>
    </xf>
    <xf numFmtId="196" fontId="33" fillId="5" borderId="23" xfId="2" applyNumberFormat="1" applyFont="1" applyFill="1" applyBorder="1" applyAlignment="1">
      <alignment horizontal="center"/>
    </xf>
    <xf numFmtId="174" fontId="33" fillId="5" borderId="63" xfId="2" applyNumberFormat="1" applyFont="1" applyFill="1" applyBorder="1" applyAlignment="1">
      <alignment horizontal="center"/>
    </xf>
    <xf numFmtId="174" fontId="33" fillId="5" borderId="20" xfId="2" applyNumberFormat="1" applyFont="1" applyFill="1" applyBorder="1" applyAlignment="1">
      <alignment horizontal="center"/>
    </xf>
    <xf numFmtId="174" fontId="33" fillId="5" borderId="23" xfId="2" applyNumberFormat="1" applyFont="1" applyFill="1" applyBorder="1" applyAlignment="1">
      <alignment horizontal="center"/>
    </xf>
    <xf numFmtId="167" fontId="33" fillId="5" borderId="63" xfId="2" applyNumberFormat="1" applyFont="1" applyFill="1" applyBorder="1" applyAlignment="1">
      <alignment horizontal="center"/>
    </xf>
    <xf numFmtId="167" fontId="33" fillId="5" borderId="20" xfId="2" applyNumberFormat="1" applyFont="1" applyFill="1" applyBorder="1" applyAlignment="1">
      <alignment horizontal="center"/>
    </xf>
    <xf numFmtId="167" fontId="33" fillId="5" borderId="23" xfId="2" applyNumberFormat="1" applyFont="1" applyFill="1" applyBorder="1" applyAlignment="1">
      <alignment horizontal="center"/>
    </xf>
    <xf numFmtId="170" fontId="33" fillId="5" borderId="63" xfId="2" applyNumberFormat="1" applyFont="1" applyFill="1" applyBorder="1" applyAlignment="1">
      <alignment horizontal="center"/>
    </xf>
    <xf numFmtId="170" fontId="33" fillId="5" borderId="20" xfId="2" applyNumberFormat="1" applyFont="1" applyFill="1" applyBorder="1" applyAlignment="1">
      <alignment horizontal="center"/>
    </xf>
    <xf numFmtId="170" fontId="33" fillId="5" borderId="23" xfId="2" applyNumberFormat="1" applyFont="1" applyFill="1" applyBorder="1" applyAlignment="1">
      <alignment horizontal="center"/>
    </xf>
    <xf numFmtId="0" fontId="2" fillId="9" borderId="2" xfId="0" applyFont="1" applyFill="1" applyBorder="1" applyAlignment="1" applyProtection="1">
      <alignment horizontal="center" vertical="center"/>
      <protection hidden="1"/>
    </xf>
    <xf numFmtId="0" fontId="0" fillId="9" borderId="2" xfId="0" applyFill="1" applyBorder="1" applyAlignment="1" applyProtection="1">
      <alignment horizontal="center" vertical="center"/>
      <protection hidden="1"/>
    </xf>
    <xf numFmtId="0" fontId="0" fillId="0" borderId="22" xfId="0" applyBorder="1" applyAlignment="1">
      <alignment horizontal="center" vertical="center"/>
    </xf>
    <xf numFmtId="0" fontId="8" fillId="0" borderId="33" xfId="0" applyFont="1" applyBorder="1" applyAlignment="1">
      <alignment horizontal="center" vertical="center"/>
    </xf>
    <xf numFmtId="0" fontId="8" fillId="0" borderId="32" xfId="0" applyFont="1" applyBorder="1" applyAlignment="1">
      <alignment horizontal="center" vertical="center"/>
    </xf>
    <xf numFmtId="187" fontId="2" fillId="7" borderId="2" xfId="0" applyNumberFormat="1" applyFont="1" applyFill="1" applyBorder="1" applyAlignment="1">
      <alignment horizontal="center" vertical="center"/>
    </xf>
    <xf numFmtId="197" fontId="33" fillId="5" borderId="24" xfId="2" applyNumberFormat="1" applyFont="1" applyFill="1" applyBorder="1" applyAlignment="1">
      <alignment horizontal="center"/>
    </xf>
    <xf numFmtId="197" fontId="33" fillId="5" borderId="26" xfId="2" applyNumberFormat="1" applyFont="1" applyFill="1" applyBorder="1" applyAlignment="1">
      <alignment horizontal="center"/>
    </xf>
    <xf numFmtId="197" fontId="33" fillId="5" borderId="25" xfId="2" applyNumberFormat="1" applyFont="1" applyFill="1" applyBorder="1" applyAlignment="1">
      <alignment horizontal="center"/>
    </xf>
    <xf numFmtId="0" fontId="45" fillId="0" borderId="0" xfId="2" applyFont="1" applyAlignment="1" applyProtection="1">
      <alignment horizontal="right"/>
      <protection hidden="1"/>
    </xf>
    <xf numFmtId="0" fontId="2" fillId="0" borderId="31" xfId="0" applyFont="1" applyBorder="1"/>
    <xf numFmtId="0" fontId="2" fillId="0" borderId="32" xfId="0" applyFont="1" applyBorder="1"/>
    <xf numFmtId="0" fontId="2" fillId="0" borderId="21" xfId="0" applyFont="1" applyBorder="1"/>
    <xf numFmtId="0" fontId="2" fillId="0" borderId="19" xfId="0" applyFont="1" applyBorder="1" applyAlignment="1">
      <alignment horizontal="left"/>
    </xf>
    <xf numFmtId="14" fontId="2" fillId="0" borderId="23" xfId="0" applyNumberFormat="1" applyFont="1" applyBorder="1" applyAlignment="1">
      <alignment horizontal="center"/>
    </xf>
    <xf numFmtId="0" fontId="15" fillId="0" borderId="0" xfId="0" applyFont="1" applyAlignment="1">
      <alignment horizontal="right"/>
    </xf>
    <xf numFmtId="0" fontId="42" fillId="0" borderId="0" xfId="0" applyFont="1" applyAlignment="1">
      <alignment horizontal="center"/>
    </xf>
    <xf numFmtId="0" fontId="15" fillId="0" borderId="0" xfId="0" applyFont="1" applyAlignment="1">
      <alignment horizontal="center"/>
    </xf>
    <xf numFmtId="0" fontId="2" fillId="0" borderId="19" xfId="0" applyFont="1" applyBorder="1"/>
    <xf numFmtId="0" fontId="2" fillId="0" borderId="34" xfId="0" applyFont="1" applyBorder="1"/>
    <xf numFmtId="0" fontId="2" fillId="0" borderId="14" xfId="0" applyFont="1" applyBorder="1" applyAlignment="1">
      <alignment horizontal="center"/>
    </xf>
    <xf numFmtId="0" fontId="15" fillId="0" borderId="2" xfId="0" applyFont="1" applyBorder="1" applyAlignment="1">
      <alignment horizontal="center"/>
    </xf>
    <xf numFmtId="0" fontId="15" fillId="0" borderId="64" xfId="0" applyFont="1" applyBorder="1" applyAlignment="1">
      <alignment horizontal="center"/>
    </xf>
    <xf numFmtId="201" fontId="15" fillId="0" borderId="0" xfId="0" applyNumberFormat="1" applyFont="1"/>
    <xf numFmtId="191" fontId="0" fillId="0" borderId="0" xfId="0" applyNumberFormat="1"/>
    <xf numFmtId="192" fontId="0" fillId="0" borderId="0" xfId="0" applyNumberFormat="1"/>
    <xf numFmtId="0" fontId="43" fillId="0" borderId="0" xfId="0" applyFont="1"/>
    <xf numFmtId="192" fontId="2" fillId="30" borderId="32" xfId="0" applyNumberFormat="1" applyFont="1" applyFill="1" applyBorder="1" applyProtection="1">
      <protection locked="0"/>
    </xf>
    <xf numFmtId="198" fontId="2" fillId="0" borderId="23" xfId="0" applyNumberFormat="1" applyFont="1" applyBorder="1"/>
    <xf numFmtId="0" fontId="42" fillId="0" borderId="0" xfId="0" applyFont="1"/>
    <xf numFmtId="3" fontId="2" fillId="30" borderId="32" xfId="0" applyNumberFormat="1" applyFont="1" applyFill="1" applyBorder="1" applyAlignment="1">
      <alignment horizontal="center"/>
    </xf>
    <xf numFmtId="191" fontId="2" fillId="0" borderId="33" xfId="0" applyNumberFormat="1" applyFont="1" applyBorder="1" applyAlignment="1">
      <alignment horizontal="center"/>
    </xf>
    <xf numFmtId="192" fontId="2" fillId="0" borderId="32" xfId="0" applyNumberFormat="1" applyFont="1" applyBorder="1" applyAlignment="1">
      <alignment horizontal="center"/>
    </xf>
    <xf numFmtId="191" fontId="2" fillId="0" borderId="22" xfId="0" applyNumberFormat="1" applyFont="1" applyBorder="1" applyAlignment="1">
      <alignment horizontal="center"/>
    </xf>
    <xf numFmtId="192" fontId="2" fillId="0" borderId="23" xfId="0" applyNumberFormat="1" applyFont="1" applyBorder="1" applyAlignment="1">
      <alignment horizontal="center"/>
    </xf>
    <xf numFmtId="192" fontId="2" fillId="30" borderId="32" xfId="0" applyNumberFormat="1" applyFont="1" applyFill="1" applyBorder="1" applyAlignment="1" applyProtection="1">
      <alignment horizontal="center"/>
      <protection locked="0"/>
    </xf>
    <xf numFmtId="202" fontId="2" fillId="0" borderId="23" xfId="0" applyNumberFormat="1" applyFont="1" applyBorder="1" applyAlignment="1">
      <alignment horizontal="center"/>
    </xf>
    <xf numFmtId="201" fontId="2" fillId="0" borderId="23" xfId="0" applyNumberFormat="1" applyFont="1" applyBorder="1" applyAlignment="1">
      <alignment horizontal="center"/>
    </xf>
    <xf numFmtId="199" fontId="2" fillId="0" borderId="33" xfId="0" applyNumberFormat="1" applyFont="1" applyBorder="1" applyAlignment="1">
      <alignment horizontal="center"/>
    </xf>
    <xf numFmtId="200" fontId="2" fillId="0" borderId="32" xfId="0" applyNumberFormat="1" applyFont="1" applyBorder="1" applyAlignment="1">
      <alignment horizontal="center"/>
    </xf>
    <xf numFmtId="191" fontId="2" fillId="0" borderId="0" xfId="0" applyNumberFormat="1" applyFont="1" applyAlignment="1">
      <alignment horizontal="center"/>
    </xf>
    <xf numFmtId="192" fontId="2" fillId="0" borderId="20" xfId="0" applyNumberFormat="1" applyFont="1" applyBorder="1" applyAlignment="1">
      <alignment horizontal="center"/>
    </xf>
    <xf numFmtId="0" fontId="15" fillId="0" borderId="10" xfId="0" applyFont="1" applyBorder="1"/>
    <xf numFmtId="0" fontId="0" fillId="29" borderId="20" xfId="0" applyFill="1" applyBorder="1" applyAlignment="1">
      <alignment horizontal="center"/>
    </xf>
    <xf numFmtId="0" fontId="0" fillId="31" borderId="65" xfId="0" applyFill="1" applyBorder="1" applyAlignment="1">
      <alignment horizontal="center"/>
    </xf>
    <xf numFmtId="186" fontId="0" fillId="24" borderId="11" xfId="0" applyNumberFormat="1" applyFill="1" applyBorder="1" applyAlignment="1">
      <alignment horizontal="center"/>
    </xf>
    <xf numFmtId="203" fontId="0" fillId="24" borderId="11" xfId="0" applyNumberFormat="1" applyFill="1" applyBorder="1" applyAlignment="1">
      <alignment horizontal="center"/>
    </xf>
    <xf numFmtId="0" fontId="2" fillId="11" borderId="66" xfId="0" applyFont="1" applyFill="1" applyBorder="1" applyAlignment="1" applyProtection="1">
      <alignment horizontal="center" vertical="center"/>
      <protection hidden="1"/>
    </xf>
    <xf numFmtId="164" fontId="2" fillId="17" borderId="24" xfId="0" applyNumberFormat="1" applyFont="1" applyFill="1" applyBorder="1" applyAlignment="1">
      <alignment horizontal="center" vertical="center"/>
    </xf>
    <xf numFmtId="0" fontId="2" fillId="11" borderId="67" xfId="0" applyFont="1" applyFill="1" applyBorder="1" applyAlignment="1" applyProtection="1">
      <alignment horizontal="center" vertical="center"/>
      <protection hidden="1"/>
    </xf>
    <xf numFmtId="0" fontId="2" fillId="28" borderId="2" xfId="0" applyFont="1" applyFill="1" applyBorder="1" applyAlignment="1">
      <alignment horizontal="center" vertical="center"/>
    </xf>
    <xf numFmtId="0" fontId="0" fillId="30" borderId="0" xfId="0" applyFill="1"/>
    <xf numFmtId="0" fontId="0" fillId="30" borderId="0" xfId="0" applyFill="1" applyAlignment="1">
      <alignment horizontal="center"/>
    </xf>
    <xf numFmtId="0" fontId="0" fillId="0" borderId="0" xfId="0" applyAlignment="1" applyProtection="1">
      <alignment horizontal="center"/>
      <protection locked="0"/>
    </xf>
    <xf numFmtId="0" fontId="0" fillId="29" borderId="25" xfId="0" applyFill="1" applyBorder="1" applyAlignment="1">
      <alignment horizontal="center"/>
    </xf>
    <xf numFmtId="0" fontId="1" fillId="0" borderId="0" xfId="2" applyProtection="1">
      <protection locked="0"/>
    </xf>
    <xf numFmtId="0" fontId="1" fillId="0" borderId="0" xfId="2"/>
    <xf numFmtId="0" fontId="36" fillId="0" borderId="0" xfId="2" applyFont="1"/>
    <xf numFmtId="186" fontId="0" fillId="0" borderId="0" xfId="0" applyNumberFormat="1" applyAlignment="1">
      <alignment vertical="center"/>
    </xf>
    <xf numFmtId="0" fontId="0" fillId="0" borderId="0" xfId="0" quotePrefix="1" applyAlignment="1">
      <alignment horizontal="center" vertical="center"/>
    </xf>
    <xf numFmtId="170" fontId="0" fillId="0" borderId="0" xfId="0" applyNumberFormat="1" applyAlignment="1">
      <alignment horizontal="right" vertical="center"/>
    </xf>
    <xf numFmtId="164" fontId="2" fillId="18" borderId="24" xfId="0" applyNumberFormat="1" applyFont="1" applyFill="1" applyBorder="1" applyAlignment="1" applyProtection="1">
      <alignment horizontal="center" vertical="center"/>
      <protection locked="0"/>
    </xf>
    <xf numFmtId="0" fontId="10" fillId="0" borderId="0" xfId="1" applyAlignment="1" applyProtection="1">
      <alignment horizontal="left"/>
      <protection hidden="1"/>
    </xf>
    <xf numFmtId="166" fontId="50" fillId="0" borderId="0" xfId="0" applyNumberFormat="1" applyFont="1" applyAlignment="1">
      <alignment vertical="center"/>
    </xf>
    <xf numFmtId="0" fontId="2" fillId="0" borderId="0" xfId="0" applyFont="1" applyAlignment="1" applyProtection="1">
      <alignment horizontal="center" vertical="center"/>
      <protection hidden="1"/>
    </xf>
    <xf numFmtId="186" fontId="2" fillId="0" borderId="0" xfId="0" applyNumberFormat="1" applyFont="1" applyAlignment="1">
      <alignment horizontal="center" vertical="center"/>
    </xf>
    <xf numFmtId="204" fontId="2" fillId="32" borderId="2" xfId="0" applyNumberFormat="1" applyFont="1" applyFill="1" applyBorder="1" applyAlignment="1">
      <alignment horizontal="center" vertical="center"/>
    </xf>
    <xf numFmtId="175" fontId="0" fillId="7" borderId="46" xfId="0" applyNumberFormat="1" applyFill="1" applyBorder="1" applyAlignment="1">
      <alignment horizontal="center" vertical="center"/>
    </xf>
    <xf numFmtId="175" fontId="2" fillId="7" borderId="2" xfId="0" applyNumberFormat="1" applyFont="1" applyFill="1" applyBorder="1" applyAlignment="1">
      <alignment horizontal="center" vertical="center"/>
    </xf>
    <xf numFmtId="166" fontId="2" fillId="0" borderId="0" xfId="0" applyNumberFormat="1" applyFont="1" applyAlignment="1">
      <alignment horizontal="right" vertical="center"/>
    </xf>
    <xf numFmtId="0" fontId="2" fillId="9" borderId="46" xfId="0" applyFont="1" applyFill="1" applyBorder="1" applyAlignment="1" applyProtection="1">
      <alignment horizontal="center" vertical="center"/>
      <protection hidden="1"/>
    </xf>
    <xf numFmtId="0" fontId="5" fillId="9" borderId="46" xfId="0" applyFont="1" applyFill="1" applyBorder="1" applyAlignment="1" applyProtection="1">
      <alignment horizontal="center" vertical="center"/>
      <protection hidden="1"/>
    </xf>
    <xf numFmtId="2" fontId="0" fillId="7" borderId="68" xfId="0" applyNumberFormat="1" applyFill="1" applyBorder="1" applyAlignment="1">
      <alignment horizontal="center" vertical="center"/>
    </xf>
    <xf numFmtId="187" fontId="2" fillId="7" borderId="68" xfId="0" applyNumberFormat="1" applyFont="1" applyFill="1" applyBorder="1" applyAlignment="1">
      <alignment horizontal="center" vertical="center"/>
    </xf>
    <xf numFmtId="165" fontId="0" fillId="7" borderId="69" xfId="0" applyNumberFormat="1" applyFill="1" applyBorder="1" applyAlignment="1">
      <alignment horizontal="center" vertical="center"/>
    </xf>
    <xf numFmtId="188" fontId="2" fillId="7" borderId="70" xfId="0" applyNumberFormat="1" applyFont="1" applyFill="1" applyBorder="1" applyAlignment="1">
      <alignment horizontal="center" vertical="center"/>
    </xf>
    <xf numFmtId="165" fontId="0" fillId="7" borderId="71" xfId="0" applyNumberFormat="1" applyFill="1" applyBorder="1" applyAlignment="1">
      <alignment horizontal="center" vertical="center"/>
    </xf>
    <xf numFmtId="165" fontId="0" fillId="7" borderId="70" xfId="0" applyNumberFormat="1" applyFill="1" applyBorder="1" applyAlignment="1">
      <alignment horizontal="center" vertical="center"/>
    </xf>
    <xf numFmtId="186" fontId="0" fillId="7" borderId="43" xfId="0" applyNumberFormat="1" applyFill="1" applyBorder="1" applyAlignment="1">
      <alignment horizontal="center" vertical="center"/>
    </xf>
    <xf numFmtId="165" fontId="0" fillId="7" borderId="72" xfId="0" applyNumberFormat="1" applyFill="1" applyBorder="1" applyAlignment="1">
      <alignment horizontal="center" vertical="center"/>
    </xf>
    <xf numFmtId="166" fontId="2" fillId="27" borderId="14" xfId="0" applyNumberFormat="1" applyFont="1" applyFill="1" applyBorder="1" applyAlignment="1">
      <alignment horizontal="center" vertical="center"/>
    </xf>
    <xf numFmtId="0" fontId="0" fillId="32" borderId="2" xfId="0" applyFill="1" applyBorder="1" applyAlignment="1">
      <alignment vertical="center"/>
    </xf>
    <xf numFmtId="187" fontId="0" fillId="7" borderId="73" xfId="0" applyNumberFormat="1" applyFill="1" applyBorder="1" applyAlignment="1">
      <alignment horizontal="center" vertical="center"/>
    </xf>
    <xf numFmtId="205" fontId="0" fillId="32" borderId="2" xfId="0" applyNumberFormat="1" applyFill="1" applyBorder="1" applyAlignment="1">
      <alignment horizontal="center" vertical="center"/>
    </xf>
    <xf numFmtId="206" fontId="15" fillId="0" borderId="0" xfId="2" applyNumberFormat="1" applyFont="1" applyProtection="1">
      <protection hidden="1"/>
    </xf>
    <xf numFmtId="175" fontId="2" fillId="0" borderId="0" xfId="2" applyNumberFormat="1" applyFont="1" applyProtection="1">
      <protection locked="0"/>
    </xf>
    <xf numFmtId="186" fontId="2" fillId="30" borderId="2" xfId="0" applyNumberFormat="1" applyFont="1" applyFill="1" applyBorder="1" applyAlignment="1">
      <alignment horizontal="center" vertical="center"/>
    </xf>
    <xf numFmtId="177" fontId="2" fillId="0" borderId="0" xfId="2" applyNumberFormat="1" applyFont="1"/>
    <xf numFmtId="170" fontId="2" fillId="33" borderId="25" xfId="0" applyNumberFormat="1" applyFont="1" applyFill="1" applyBorder="1" applyAlignment="1" applyProtection="1">
      <alignment horizontal="center" vertical="center"/>
      <protection locked="0"/>
    </xf>
    <xf numFmtId="165" fontId="2" fillId="5" borderId="34" xfId="2" applyNumberFormat="1" applyFont="1" applyFill="1" applyBorder="1" applyAlignment="1">
      <alignment horizontal="center"/>
    </xf>
    <xf numFmtId="178" fontId="14" fillId="5" borderId="34" xfId="2" applyNumberFormat="1" applyFont="1" applyFill="1" applyBorder="1"/>
    <xf numFmtId="179" fontId="32" fillId="5" borderId="24" xfId="2" applyNumberFormat="1" applyFont="1" applyFill="1" applyBorder="1" applyAlignment="1" applyProtection="1">
      <alignment horizontal="center" vertical="center"/>
      <protection hidden="1"/>
    </xf>
    <xf numFmtId="0" fontId="32" fillId="5" borderId="24" xfId="2" applyFont="1" applyFill="1" applyBorder="1" applyAlignment="1" applyProtection="1">
      <alignment horizontal="center" vertical="center"/>
      <protection hidden="1"/>
    </xf>
    <xf numFmtId="2" fontId="15" fillId="0" borderId="19" xfId="2" applyNumberFormat="1" applyFont="1" applyBorder="1" applyAlignment="1" applyProtection="1">
      <alignment horizontal="center"/>
      <protection hidden="1"/>
    </xf>
    <xf numFmtId="2" fontId="15" fillId="0" borderId="20" xfId="2" applyNumberFormat="1" applyFont="1" applyBorder="1" applyAlignment="1" applyProtection="1">
      <alignment horizontal="center"/>
      <protection hidden="1"/>
    </xf>
    <xf numFmtId="2" fontId="15" fillId="0" borderId="0" xfId="2" applyNumberFormat="1" applyFont="1" applyAlignment="1" applyProtection="1">
      <alignment horizontal="center"/>
      <protection hidden="1"/>
    </xf>
    <xf numFmtId="0" fontId="2" fillId="6" borderId="24" xfId="2" applyFont="1" applyFill="1" applyBorder="1" applyAlignment="1">
      <alignment vertical="center"/>
    </xf>
    <xf numFmtId="0" fontId="2" fillId="6" borderId="24" xfId="2" applyFont="1" applyFill="1" applyBorder="1" applyAlignment="1">
      <alignment horizontal="center" vertical="center"/>
    </xf>
    <xf numFmtId="0" fontId="0" fillId="7" borderId="74" xfId="0" applyFill="1" applyBorder="1" applyAlignment="1">
      <alignment horizontal="center" vertical="center"/>
    </xf>
    <xf numFmtId="175" fontId="2" fillId="0" borderId="0" xfId="0" applyNumberFormat="1" applyFont="1" applyAlignment="1">
      <alignment horizontal="center" vertical="center"/>
    </xf>
    <xf numFmtId="0" fontId="2" fillId="0" borderId="22" xfId="0" applyFont="1" applyBorder="1" applyAlignment="1">
      <alignment horizontal="center" vertical="center"/>
    </xf>
    <xf numFmtId="182" fontId="2" fillId="0" borderId="0" xfId="0" applyNumberFormat="1" applyFont="1" applyAlignment="1">
      <alignment horizontal="center"/>
    </xf>
    <xf numFmtId="14" fontId="2" fillId="0" borderId="0" xfId="0" applyNumberFormat="1" applyFont="1" applyAlignment="1">
      <alignment horizontal="center"/>
    </xf>
    <xf numFmtId="0" fontId="0" fillId="0" borderId="64" xfId="0" applyBorder="1" applyAlignment="1">
      <alignment horizontal="center"/>
    </xf>
    <xf numFmtId="0" fontId="0" fillId="0" borderId="2" xfId="0" applyBorder="1" applyAlignment="1">
      <alignment horizontal="center"/>
    </xf>
    <xf numFmtId="0" fontId="2" fillId="10" borderId="2" xfId="2" applyFont="1" applyFill="1" applyBorder="1" applyAlignment="1" applyProtection="1">
      <alignment horizontal="left"/>
      <protection hidden="1"/>
    </xf>
    <xf numFmtId="0" fontId="2" fillId="10" borderId="26" xfId="2" applyFont="1" applyFill="1" applyBorder="1" applyAlignment="1" applyProtection="1">
      <alignment horizontal="left"/>
      <protection hidden="1"/>
    </xf>
    <xf numFmtId="0" fontId="2" fillId="0" borderId="2" xfId="0" applyFont="1" applyBorder="1" applyAlignment="1">
      <alignment horizontal="center"/>
    </xf>
    <xf numFmtId="1" fontId="2" fillId="0" borderId="2" xfId="0" applyNumberFormat="1" applyFont="1" applyBorder="1" applyAlignment="1">
      <alignment horizontal="center"/>
    </xf>
    <xf numFmtId="0" fontId="2" fillId="0" borderId="2" xfId="0" applyFont="1" applyBorder="1" applyAlignment="1">
      <alignment horizontal="center" vertical="center"/>
    </xf>
    <xf numFmtId="175" fontId="2" fillId="0" borderId="2" xfId="0" applyNumberFormat="1" applyFont="1" applyBorder="1" applyAlignment="1">
      <alignment horizontal="center" vertical="center"/>
    </xf>
    <xf numFmtId="175" fontId="2" fillId="0" borderId="2" xfId="0" applyNumberFormat="1" applyFont="1" applyBorder="1" applyAlignment="1">
      <alignment horizontal="right" vertical="center"/>
    </xf>
    <xf numFmtId="0" fontId="0" fillId="0" borderId="20" xfId="0" applyBorder="1" applyAlignment="1">
      <alignment horizontal="center"/>
    </xf>
    <xf numFmtId="0" fontId="0" fillId="0" borderId="0" xfId="0" applyAlignment="1">
      <alignment horizontal="left" vertical="top"/>
    </xf>
    <xf numFmtId="0" fontId="0" fillId="3" borderId="4" xfId="0" applyFill="1" applyBorder="1" applyAlignment="1">
      <alignment horizontal="center"/>
    </xf>
    <xf numFmtId="0" fontId="51" fillId="11" borderId="67" xfId="0" applyFont="1" applyFill="1" applyBorder="1" applyAlignment="1" applyProtection="1">
      <alignment horizontal="center" vertical="center"/>
      <protection hidden="1"/>
    </xf>
    <xf numFmtId="0" fontId="0" fillId="34" borderId="2" xfId="0" applyFill="1" applyBorder="1" applyAlignment="1">
      <alignment vertical="center"/>
    </xf>
    <xf numFmtId="1" fontId="30" fillId="14" borderId="0" xfId="2" applyNumberFormat="1" applyFont="1" applyFill="1" applyAlignment="1">
      <alignment horizontal="center"/>
    </xf>
    <xf numFmtId="0" fontId="35" fillId="4" borderId="34" xfId="2" applyFont="1" applyFill="1" applyBorder="1" applyAlignment="1" applyProtection="1">
      <alignment horizontal="right" vertical="center"/>
      <protection locked="0"/>
    </xf>
    <xf numFmtId="0" fontId="35" fillId="30" borderId="14" xfId="2" applyFont="1" applyFill="1" applyBorder="1" applyAlignment="1" applyProtection="1">
      <alignment horizontal="left" vertical="center"/>
      <protection locked="0"/>
    </xf>
    <xf numFmtId="0" fontId="49" fillId="0" borderId="0" xfId="2" applyFont="1" applyProtection="1">
      <protection hidden="1"/>
    </xf>
    <xf numFmtId="0" fontId="35" fillId="13" borderId="2" xfId="0" applyFont="1" applyFill="1" applyBorder="1" applyAlignment="1">
      <alignment horizontal="center"/>
    </xf>
    <xf numFmtId="0" fontId="45" fillId="0" borderId="0" xfId="0" applyFont="1" applyAlignment="1">
      <alignment horizontal="center" vertical="center"/>
    </xf>
    <xf numFmtId="0" fontId="3" fillId="20" borderId="0" xfId="0" applyFont="1" applyFill="1" applyAlignment="1">
      <alignment horizontal="center"/>
    </xf>
    <xf numFmtId="0" fontId="2" fillId="12" borderId="15" xfId="0" applyFont="1" applyFill="1" applyBorder="1" applyAlignment="1" applyProtection="1">
      <alignment horizontal="center"/>
      <protection hidden="1"/>
    </xf>
    <xf numFmtId="0" fontId="35" fillId="13" borderId="15" xfId="0" applyFont="1" applyFill="1" applyBorder="1" applyAlignment="1">
      <alignment horizontal="center"/>
    </xf>
    <xf numFmtId="0" fontId="35" fillId="13" borderId="46" xfId="0" applyFont="1" applyFill="1" applyBorder="1" applyAlignment="1">
      <alignment horizontal="center"/>
    </xf>
    <xf numFmtId="0" fontId="2" fillId="0" borderId="0" xfId="0" applyFont="1" applyAlignment="1">
      <alignment horizontal="center" vertical="center"/>
    </xf>
    <xf numFmtId="0" fontId="2" fillId="0" borderId="0" xfId="0" applyFont="1" applyAlignment="1" applyProtection="1">
      <alignment horizontal="center"/>
      <protection hidden="1"/>
    </xf>
    <xf numFmtId="0" fontId="2" fillId="4" borderId="34" xfId="2" applyFont="1" applyFill="1" applyBorder="1" applyAlignment="1" applyProtection="1">
      <alignment horizontal="center" vertical="center"/>
      <protection locked="0"/>
    </xf>
    <xf numFmtId="0" fontId="2" fillId="4" borderId="14" xfId="2" applyFont="1" applyFill="1" applyBorder="1" applyAlignment="1" applyProtection="1">
      <alignment horizontal="center" vertical="center"/>
      <protection locked="0"/>
    </xf>
    <xf numFmtId="0" fontId="14" fillId="8" borderId="98" xfId="0" applyFont="1" applyFill="1" applyBorder="1" applyAlignment="1" applyProtection="1">
      <alignment horizontal="center" vertical="center"/>
      <protection hidden="1"/>
    </xf>
    <xf numFmtId="0" fontId="14" fillId="8" borderId="43" xfId="0" applyFont="1" applyFill="1" applyBorder="1" applyAlignment="1" applyProtection="1">
      <alignment horizontal="center" vertical="center"/>
      <protection hidden="1"/>
    </xf>
    <xf numFmtId="0" fontId="2" fillId="10" borderId="2" xfId="2" applyFont="1" applyFill="1" applyBorder="1" applyAlignment="1" applyProtection="1">
      <alignment horizontal="center" vertical="center"/>
      <protection hidden="1"/>
    </xf>
    <xf numFmtId="0" fontId="0" fillId="0" borderId="31" xfId="0" applyBorder="1" applyAlignment="1">
      <alignment horizontal="center" vertical="center"/>
    </xf>
    <xf numFmtId="0" fontId="0" fillId="0" borderId="33" xfId="0" applyBorder="1" applyAlignment="1">
      <alignment horizontal="center" vertical="center"/>
    </xf>
    <xf numFmtId="0" fontId="0" fillId="0" borderId="32" xfId="0" applyBorder="1" applyAlignment="1">
      <alignment horizontal="center" vertical="center"/>
    </xf>
    <xf numFmtId="0" fontId="2" fillId="4" borderId="2" xfId="2" applyFont="1" applyFill="1" applyBorder="1" applyAlignment="1" applyProtection="1">
      <alignment horizontal="center" vertical="center"/>
      <protection locked="0"/>
    </xf>
    <xf numFmtId="0" fontId="2" fillId="12" borderId="66" xfId="0" applyFont="1" applyFill="1" applyBorder="1" applyAlignment="1" applyProtection="1">
      <alignment horizontal="center"/>
      <protection hidden="1"/>
    </xf>
    <xf numFmtId="0" fontId="2" fillId="12" borderId="93" xfId="0" applyFont="1" applyFill="1" applyBorder="1" applyAlignment="1" applyProtection="1">
      <alignment horizontal="center"/>
      <protection hidden="1"/>
    </xf>
    <xf numFmtId="0" fontId="11" fillId="8" borderId="94" xfId="0" applyFont="1" applyFill="1" applyBorder="1" applyAlignment="1" applyProtection="1">
      <alignment horizontal="center" vertical="center"/>
      <protection hidden="1"/>
    </xf>
    <xf numFmtId="0" fontId="11" fillId="8" borderId="68" xfId="0" applyFont="1" applyFill="1" applyBorder="1" applyAlignment="1" applyProtection="1">
      <alignment horizontal="center" vertical="center"/>
      <protection hidden="1"/>
    </xf>
    <xf numFmtId="0" fontId="12" fillId="8" borderId="95" xfId="0" applyFont="1" applyFill="1" applyBorder="1" applyAlignment="1" applyProtection="1">
      <alignment horizontal="center" vertical="center"/>
      <protection hidden="1"/>
    </xf>
    <xf numFmtId="0" fontId="12" fillId="8" borderId="16" xfId="0" applyFont="1" applyFill="1" applyBorder="1" applyAlignment="1" applyProtection="1">
      <alignment horizontal="center" vertical="center"/>
      <protection hidden="1"/>
    </xf>
    <xf numFmtId="0" fontId="11" fillId="8" borderId="96" xfId="0" applyFont="1" applyFill="1" applyBorder="1" applyAlignment="1" applyProtection="1">
      <alignment horizontal="center" vertical="center"/>
      <protection hidden="1"/>
    </xf>
    <xf numFmtId="0" fontId="11" fillId="8" borderId="15" xfId="0" applyFont="1" applyFill="1" applyBorder="1" applyAlignment="1" applyProtection="1">
      <alignment horizontal="center" vertical="center"/>
      <protection hidden="1"/>
    </xf>
    <xf numFmtId="0" fontId="41" fillId="8" borderId="97" xfId="0" applyFont="1" applyFill="1" applyBorder="1" applyAlignment="1" applyProtection="1">
      <alignment horizontal="center" vertical="center"/>
      <protection hidden="1"/>
    </xf>
    <xf numFmtId="0" fontId="41" fillId="8" borderId="89" xfId="0" applyFont="1" applyFill="1" applyBorder="1" applyAlignment="1" applyProtection="1">
      <alignment horizontal="center" vertical="center"/>
      <protection hidden="1"/>
    </xf>
    <xf numFmtId="0" fontId="2" fillId="13" borderId="90" xfId="0" applyFont="1" applyFill="1" applyBorder="1" applyAlignment="1" applyProtection="1">
      <alignment horizontal="center" vertical="center"/>
      <protection locked="0"/>
    </xf>
    <xf numFmtId="0" fontId="2" fillId="13" borderId="91" xfId="0" applyFont="1" applyFill="1" applyBorder="1" applyAlignment="1" applyProtection="1">
      <alignment horizontal="center" vertical="center"/>
      <protection locked="0"/>
    </xf>
    <xf numFmtId="164" fontId="2" fillId="13" borderId="103" xfId="0" applyNumberFormat="1" applyFont="1" applyFill="1" applyBorder="1" applyAlignment="1">
      <alignment horizontal="center" vertical="center"/>
    </xf>
    <xf numFmtId="168" fontId="2" fillId="13" borderId="15" xfId="0" applyNumberFormat="1" applyFont="1" applyFill="1" applyBorder="1" applyAlignment="1" applyProtection="1">
      <alignment horizontal="center" vertical="center"/>
      <protection locked="0"/>
    </xf>
    <xf numFmtId="167" fontId="2" fillId="13" borderId="15" xfId="0" applyNumberFormat="1" applyFont="1" applyFill="1" applyBorder="1" applyAlignment="1" applyProtection="1">
      <alignment horizontal="center" vertical="center"/>
      <protection locked="0"/>
    </xf>
    <xf numFmtId="0" fontId="2" fillId="13" borderId="92" xfId="0" applyFont="1" applyFill="1" applyBorder="1" applyAlignment="1">
      <alignment horizontal="center"/>
    </xf>
    <xf numFmtId="0" fontId="2" fillId="13" borderId="91" xfId="0" applyFont="1" applyFill="1" applyBorder="1" applyAlignment="1">
      <alignment horizontal="center"/>
    </xf>
    <xf numFmtId="166" fontId="2" fillId="17" borderId="46" xfId="0" applyNumberFormat="1" applyFont="1" applyFill="1" applyBorder="1" applyAlignment="1">
      <alignment horizontal="center" vertical="center"/>
    </xf>
    <xf numFmtId="0" fontId="41" fillId="8" borderId="85" xfId="0" applyFont="1" applyFill="1" applyBorder="1" applyAlignment="1" applyProtection="1">
      <alignment horizontal="center" vertical="center"/>
      <protection hidden="1"/>
    </xf>
    <xf numFmtId="0" fontId="41" fillId="8" borderId="86" xfId="0" applyFont="1" applyFill="1" applyBorder="1" applyAlignment="1" applyProtection="1">
      <alignment horizontal="center" vertical="center"/>
      <protection hidden="1"/>
    </xf>
    <xf numFmtId="0" fontId="2" fillId="8" borderId="87" xfId="0" applyFont="1" applyFill="1" applyBorder="1" applyAlignment="1" applyProtection="1">
      <alignment horizontal="center" vertical="center"/>
      <protection hidden="1"/>
    </xf>
    <xf numFmtId="0" fontId="41" fillId="8" borderId="88" xfId="0" applyFont="1" applyFill="1" applyBorder="1" applyAlignment="1" applyProtection="1">
      <alignment horizontal="center" vertical="center"/>
      <protection hidden="1"/>
    </xf>
    <xf numFmtId="0" fontId="14" fillId="8" borderId="15" xfId="0" applyFont="1" applyFill="1" applyBorder="1" applyAlignment="1" applyProtection="1">
      <alignment horizontal="center" vertical="center"/>
      <protection hidden="1"/>
    </xf>
    <xf numFmtId="0" fontId="12" fillId="8" borderId="17" xfId="0" applyFont="1" applyFill="1" applyBorder="1" applyAlignment="1" applyProtection="1">
      <alignment horizontal="center" vertical="center"/>
      <protection hidden="1"/>
    </xf>
    <xf numFmtId="0" fontId="17" fillId="5" borderId="31" xfId="2" applyFont="1" applyFill="1" applyBorder="1" applyAlignment="1">
      <alignment horizontal="center" vertical="center"/>
    </xf>
    <xf numFmtId="0" fontId="17" fillId="5" borderId="32" xfId="2" applyFont="1" applyFill="1" applyBorder="1" applyAlignment="1">
      <alignment horizontal="center" vertical="center"/>
    </xf>
    <xf numFmtId="0" fontId="17" fillId="5" borderId="21" xfId="2" applyFont="1" applyFill="1" applyBorder="1" applyAlignment="1">
      <alignment horizontal="center" vertical="center"/>
    </xf>
    <xf numFmtId="0" fontId="17" fillId="5" borderId="23" xfId="2" applyFont="1" applyFill="1" applyBorder="1" applyAlignment="1">
      <alignment horizontal="center" vertical="center"/>
    </xf>
    <xf numFmtId="0" fontId="2" fillId="4" borderId="2" xfId="2" applyFont="1" applyFill="1" applyBorder="1" applyAlignment="1" applyProtection="1">
      <alignment horizontal="center"/>
      <protection locked="0"/>
    </xf>
    <xf numFmtId="0" fontId="2" fillId="4" borderId="8" xfId="2" applyFont="1" applyFill="1" applyBorder="1" applyAlignment="1" applyProtection="1">
      <alignment horizontal="center"/>
      <protection locked="0"/>
    </xf>
    <xf numFmtId="177" fontId="33" fillId="5" borderId="34" xfId="2" applyNumberFormat="1" applyFont="1" applyFill="1" applyBorder="1" applyAlignment="1" applyProtection="1">
      <alignment horizontal="center"/>
      <protection hidden="1"/>
    </xf>
    <xf numFmtId="177" fontId="33" fillId="5" borderId="14" xfId="2" applyNumberFormat="1" applyFont="1" applyFill="1" applyBorder="1" applyAlignment="1" applyProtection="1">
      <alignment horizontal="center"/>
      <protection hidden="1"/>
    </xf>
    <xf numFmtId="176" fontId="33" fillId="5" borderId="34" xfId="2" applyNumberFormat="1" applyFont="1" applyFill="1" applyBorder="1" applyAlignment="1" applyProtection="1">
      <alignment horizontal="center"/>
      <protection hidden="1"/>
    </xf>
    <xf numFmtId="176" fontId="33" fillId="5" borderId="14" xfId="2" applyNumberFormat="1" applyFont="1" applyFill="1" applyBorder="1" applyAlignment="1" applyProtection="1">
      <alignment horizontal="center"/>
      <protection hidden="1"/>
    </xf>
    <xf numFmtId="177" fontId="2" fillId="4" borderId="2" xfId="2" applyNumberFormat="1" applyFont="1" applyFill="1" applyBorder="1" applyAlignment="1" applyProtection="1">
      <alignment horizontal="center"/>
      <protection locked="0"/>
    </xf>
    <xf numFmtId="165" fontId="2" fillId="5" borderId="34" xfId="2" applyNumberFormat="1" applyFont="1" applyFill="1" applyBorder="1" applyAlignment="1">
      <alignment horizontal="center"/>
    </xf>
    <xf numFmtId="165" fontId="2" fillId="5" borderId="14" xfId="2" applyNumberFormat="1" applyFont="1" applyFill="1" applyBorder="1" applyAlignment="1">
      <alignment horizontal="center"/>
    </xf>
    <xf numFmtId="178" fontId="33" fillId="5" borderId="34" xfId="2" applyNumberFormat="1" applyFont="1" applyFill="1" applyBorder="1" applyAlignment="1">
      <alignment horizontal="center"/>
    </xf>
    <xf numFmtId="178" fontId="33" fillId="5" borderId="14" xfId="2" applyNumberFormat="1" applyFont="1" applyFill="1" applyBorder="1" applyAlignment="1">
      <alignment horizontal="center"/>
    </xf>
    <xf numFmtId="0" fontId="15" fillId="0" borderId="0" xfId="2" applyFont="1" applyAlignment="1" applyProtection="1">
      <alignment horizontal="center"/>
      <protection hidden="1"/>
    </xf>
    <xf numFmtId="0" fontId="30" fillId="6" borderId="34" xfId="2" applyFont="1" applyFill="1" applyBorder="1" applyAlignment="1" applyProtection="1">
      <alignment horizontal="center"/>
      <protection hidden="1"/>
    </xf>
    <xf numFmtId="0" fontId="30" fillId="6" borderId="14" xfId="2" applyFont="1" applyFill="1" applyBorder="1" applyAlignment="1" applyProtection="1">
      <alignment horizontal="center"/>
      <protection hidden="1"/>
    </xf>
    <xf numFmtId="0" fontId="2" fillId="10" borderId="2" xfId="2" applyFont="1" applyFill="1" applyBorder="1" applyAlignment="1" applyProtection="1">
      <alignment horizontal="center"/>
      <protection hidden="1"/>
    </xf>
    <xf numFmtId="0" fontId="33" fillId="6" borderId="2" xfId="2" applyFont="1" applyFill="1" applyBorder="1" applyAlignment="1">
      <alignment horizontal="center"/>
    </xf>
    <xf numFmtId="165" fontId="33" fillId="5" borderId="2" xfId="2" applyNumberFormat="1" applyFont="1" applyFill="1" applyBorder="1" applyAlignment="1">
      <alignment horizontal="center"/>
    </xf>
    <xf numFmtId="20" fontId="2" fillId="4" borderId="34" xfId="2" applyNumberFormat="1" applyFont="1" applyFill="1" applyBorder="1" applyAlignment="1" applyProtection="1">
      <alignment horizontal="center"/>
      <protection locked="0"/>
    </xf>
    <xf numFmtId="20" fontId="2" fillId="4" borderId="82" xfId="2" applyNumberFormat="1" applyFont="1" applyFill="1" applyBorder="1" applyAlignment="1" applyProtection="1">
      <alignment horizontal="center"/>
      <protection locked="0"/>
    </xf>
    <xf numFmtId="0" fontId="45" fillId="0" borderId="83" xfId="2" applyFont="1" applyBorder="1" applyAlignment="1">
      <alignment horizontal="center"/>
    </xf>
    <xf numFmtId="177" fontId="2" fillId="4" borderId="34" xfId="2" applyNumberFormat="1" applyFont="1" applyFill="1" applyBorder="1" applyAlignment="1" applyProtection="1">
      <alignment horizontal="center"/>
      <protection locked="0"/>
    </xf>
    <xf numFmtId="177" fontId="2" fillId="4" borderId="14" xfId="2" applyNumberFormat="1" applyFont="1" applyFill="1" applyBorder="1" applyAlignment="1" applyProtection="1">
      <alignment horizontal="center"/>
      <protection locked="0"/>
    </xf>
    <xf numFmtId="0" fontId="2" fillId="4" borderId="21" xfId="2" applyFont="1" applyFill="1" applyBorder="1" applyAlignment="1" applyProtection="1">
      <alignment horizontal="center"/>
      <protection locked="0"/>
    </xf>
    <xf numFmtId="0" fontId="2" fillId="4" borderId="84" xfId="2" applyFont="1" applyFill="1" applyBorder="1" applyAlignment="1" applyProtection="1">
      <alignment horizontal="center"/>
      <protection locked="0"/>
    </xf>
    <xf numFmtId="0" fontId="3" fillId="19" borderId="0" xfId="2" applyFont="1" applyFill="1" applyAlignment="1">
      <alignment horizontal="center"/>
    </xf>
    <xf numFmtId="0" fontId="2" fillId="0" borderId="0" xfId="2" applyFont="1" applyAlignment="1" applyProtection="1">
      <alignment horizontal="center"/>
      <protection hidden="1"/>
    </xf>
    <xf numFmtId="178" fontId="33" fillId="5" borderId="2" xfId="2" applyNumberFormat="1" applyFont="1" applyFill="1" applyBorder="1" applyAlignment="1">
      <alignment horizontal="center"/>
    </xf>
    <xf numFmtId="0" fontId="2" fillId="10" borderId="80" xfId="2" applyFont="1" applyFill="1" applyBorder="1" applyAlignment="1" applyProtection="1">
      <alignment horizontal="center"/>
      <protection hidden="1"/>
    </xf>
    <xf numFmtId="0" fontId="2" fillId="10" borderId="81" xfId="2" applyFont="1" applyFill="1" applyBorder="1" applyAlignment="1" applyProtection="1">
      <alignment horizontal="center"/>
      <protection hidden="1"/>
    </xf>
    <xf numFmtId="0" fontId="2" fillId="4" borderId="34" xfId="2" applyFont="1" applyFill="1" applyBorder="1" applyAlignment="1" applyProtection="1">
      <alignment horizontal="center"/>
      <protection locked="0"/>
    </xf>
    <xf numFmtId="0" fontId="2" fillId="4" borderId="82" xfId="2" applyFont="1" applyFill="1" applyBorder="1" applyAlignment="1" applyProtection="1">
      <alignment horizontal="center"/>
      <protection locked="0"/>
    </xf>
    <xf numFmtId="0" fontId="2" fillId="10" borderId="34" xfId="2" applyFont="1" applyFill="1" applyBorder="1" applyAlignment="1" applyProtection="1">
      <alignment horizontal="center"/>
      <protection hidden="1"/>
    </xf>
    <xf numFmtId="0" fontId="2" fillId="10" borderId="14" xfId="2" applyFont="1" applyFill="1" applyBorder="1" applyAlignment="1" applyProtection="1">
      <alignment horizontal="center"/>
      <protection hidden="1"/>
    </xf>
    <xf numFmtId="176" fontId="33" fillId="5" borderId="34" xfId="2" applyNumberFormat="1" applyFont="1" applyFill="1" applyBorder="1" applyAlignment="1">
      <alignment horizontal="center"/>
    </xf>
    <xf numFmtId="176" fontId="33" fillId="5" borderId="14" xfId="2" applyNumberFormat="1" applyFont="1" applyFill="1" applyBorder="1" applyAlignment="1">
      <alignment horizontal="center"/>
    </xf>
    <xf numFmtId="178" fontId="34" fillId="5" borderId="34" xfId="2" applyNumberFormat="1" applyFont="1" applyFill="1" applyBorder="1" applyAlignment="1">
      <alignment horizontal="center"/>
    </xf>
    <xf numFmtId="178" fontId="34" fillId="5" borderId="14" xfId="2" applyNumberFormat="1" applyFont="1" applyFill="1" applyBorder="1" applyAlignment="1">
      <alignment horizontal="center"/>
    </xf>
    <xf numFmtId="0" fontId="33" fillId="6" borderId="34" xfId="2" applyFont="1" applyFill="1" applyBorder="1" applyAlignment="1">
      <alignment horizontal="center"/>
    </xf>
    <xf numFmtId="0" fontId="33" fillId="6" borderId="14" xfId="2" applyFont="1" applyFill="1" applyBorder="1" applyAlignment="1">
      <alignment horizontal="center"/>
    </xf>
    <xf numFmtId="0" fontId="45" fillId="0" borderId="0" xfId="2" applyFont="1" applyAlignment="1">
      <alignment horizontal="center"/>
    </xf>
    <xf numFmtId="0" fontId="2" fillId="6" borderId="2" xfId="2" applyFont="1" applyFill="1" applyBorder="1" applyAlignment="1" applyProtection="1">
      <alignment horizontal="center"/>
      <protection hidden="1"/>
    </xf>
    <xf numFmtId="0" fontId="2" fillId="10" borderId="75" xfId="2" applyFont="1" applyFill="1" applyBorder="1" applyAlignment="1" applyProtection="1">
      <alignment horizontal="center"/>
      <protection hidden="1"/>
    </xf>
    <xf numFmtId="0" fontId="2" fillId="10" borderId="76" xfId="2" applyFont="1" applyFill="1" applyBorder="1" applyAlignment="1" applyProtection="1">
      <alignment horizontal="center"/>
      <protection hidden="1"/>
    </xf>
    <xf numFmtId="0" fontId="45" fillId="4" borderId="25" xfId="2" applyFont="1" applyFill="1" applyBorder="1" applyAlignment="1" applyProtection="1">
      <alignment horizontal="center"/>
      <protection locked="0"/>
    </xf>
    <xf numFmtId="0" fontId="45" fillId="4" borderId="77" xfId="2" applyFont="1" applyFill="1" applyBorder="1" applyAlignment="1" applyProtection="1">
      <alignment horizontal="center"/>
      <protection locked="0"/>
    </xf>
    <xf numFmtId="165" fontId="33" fillId="5" borderId="34" xfId="2" applyNumberFormat="1" applyFont="1" applyFill="1" applyBorder="1" applyAlignment="1">
      <alignment horizontal="center"/>
    </xf>
    <xf numFmtId="165" fontId="33" fillId="5" borderId="14" xfId="2" applyNumberFormat="1" applyFont="1" applyFill="1" applyBorder="1" applyAlignment="1">
      <alignment horizontal="center"/>
    </xf>
    <xf numFmtId="0" fontId="2" fillId="10" borderId="78" xfId="2" applyFont="1" applyFill="1" applyBorder="1" applyAlignment="1" applyProtection="1">
      <alignment horizontal="center"/>
      <protection hidden="1"/>
    </xf>
    <xf numFmtId="0" fontId="2" fillId="10" borderId="79" xfId="2" applyFont="1" applyFill="1" applyBorder="1" applyAlignment="1" applyProtection="1">
      <alignment horizontal="center"/>
      <protection hidden="1"/>
    </xf>
    <xf numFmtId="0" fontId="2" fillId="0" borderId="0" xfId="2" applyFont="1" applyAlignment="1">
      <alignment horizontal="center"/>
    </xf>
    <xf numFmtId="0" fontId="35" fillId="4" borderId="25" xfId="2" applyFont="1" applyFill="1" applyBorder="1" applyAlignment="1" applyProtection="1">
      <alignment horizontal="center" vertical="center"/>
      <protection locked="0"/>
    </xf>
    <xf numFmtId="0" fontId="35" fillId="4" borderId="2" xfId="2" applyFont="1" applyFill="1" applyBorder="1" applyAlignment="1" applyProtection="1">
      <alignment horizontal="center" vertical="center"/>
      <protection locked="0"/>
    </xf>
    <xf numFmtId="0" fontId="0" fillId="0" borderId="33" xfId="0" applyBorder="1" applyAlignment="1">
      <alignment horizontal="center"/>
    </xf>
    <xf numFmtId="0" fontId="0" fillId="0" borderId="0" xfId="0" applyAlignment="1">
      <alignment horizontal="center"/>
    </xf>
    <xf numFmtId="0" fontId="0" fillId="0" borderId="0" xfId="0" applyAlignment="1" applyProtection="1">
      <alignment horizontal="center"/>
      <protection locked="0"/>
    </xf>
    <xf numFmtId="0" fontId="0" fillId="28" borderId="31" xfId="0" applyFill="1" applyBorder="1" applyAlignment="1">
      <alignment horizontal="center"/>
    </xf>
    <xf numFmtId="0" fontId="0" fillId="28" borderId="32" xfId="0" applyFill="1" applyBorder="1" applyAlignment="1">
      <alignment horizontal="center"/>
    </xf>
    <xf numFmtId="0" fontId="0" fillId="4" borderId="19" xfId="0" applyFill="1" applyBorder="1" applyAlignment="1" applyProtection="1">
      <alignment horizontal="center"/>
      <protection locked="0"/>
    </xf>
    <xf numFmtId="0" fontId="0" fillId="4" borderId="20" xfId="0" applyFill="1" applyBorder="1" applyAlignment="1" applyProtection="1">
      <alignment horizontal="center"/>
      <protection locked="0"/>
    </xf>
    <xf numFmtId="0" fontId="0" fillId="30" borderId="19" xfId="0" applyFill="1" applyBorder="1" applyAlignment="1">
      <alignment horizontal="center"/>
    </xf>
    <xf numFmtId="0" fontId="0" fillId="30" borderId="20" xfId="0" applyFill="1" applyBorder="1" applyAlignment="1">
      <alignment horizontal="center"/>
    </xf>
    <xf numFmtId="0" fontId="0" fillId="30" borderId="21" xfId="0" applyFill="1" applyBorder="1" applyAlignment="1" applyProtection="1">
      <alignment horizontal="center"/>
      <protection locked="0"/>
    </xf>
    <xf numFmtId="0" fontId="0" fillId="30" borderId="23" xfId="0" applyFill="1" applyBorder="1" applyAlignment="1" applyProtection="1">
      <alignment horizontal="center"/>
      <protection locked="0"/>
    </xf>
    <xf numFmtId="0" fontId="0" fillId="30" borderId="19" xfId="0" applyFill="1" applyBorder="1" applyAlignment="1" applyProtection="1">
      <alignment horizontal="center"/>
      <protection locked="0"/>
    </xf>
    <xf numFmtId="0" fontId="0" fillId="30" borderId="20" xfId="0" applyFill="1" applyBorder="1" applyAlignment="1" applyProtection="1">
      <alignment horizontal="center"/>
      <protection locked="0"/>
    </xf>
    <xf numFmtId="0" fontId="0" fillId="4" borderId="0" xfId="0" applyFill="1" applyAlignment="1" applyProtection="1">
      <alignment horizontal="center"/>
      <protection locked="0"/>
    </xf>
    <xf numFmtId="0" fontId="0" fillId="0" borderId="33" xfId="0" applyBorder="1" applyAlignment="1" applyProtection="1">
      <alignment horizontal="center"/>
      <protection locked="0"/>
    </xf>
    <xf numFmtId="0" fontId="0" fillId="30" borderId="21" xfId="0" applyFill="1" applyBorder="1" applyAlignment="1">
      <alignment horizontal="center"/>
    </xf>
    <xf numFmtId="0" fontId="0" fillId="30" borderId="23" xfId="0" applyFill="1" applyBorder="1" applyAlignment="1">
      <alignment horizontal="center"/>
    </xf>
    <xf numFmtId="2" fontId="0" fillId="22" borderId="53" xfId="0" applyNumberFormat="1" applyFill="1" applyBorder="1" applyAlignment="1">
      <alignment horizontal="center"/>
    </xf>
    <xf numFmtId="2" fontId="0" fillId="22" borderId="65" xfId="0" applyNumberFormat="1" applyFill="1" applyBorder="1" applyAlignment="1">
      <alignment horizontal="center"/>
    </xf>
    <xf numFmtId="2" fontId="0" fillId="22" borderId="11" xfId="0" applyNumberFormat="1" applyFill="1" applyBorder="1" applyAlignment="1">
      <alignment horizontal="center"/>
    </xf>
    <xf numFmtId="2" fontId="0" fillId="22" borderId="54" xfId="0" applyNumberFormat="1" applyFill="1" applyBorder="1" applyAlignment="1">
      <alignment horizontal="center"/>
    </xf>
    <xf numFmtId="0" fontId="0" fillId="22" borderId="99" xfId="0" applyFill="1" applyBorder="1" applyAlignment="1">
      <alignment horizontal="center"/>
    </xf>
    <xf numFmtId="0" fontId="0" fillId="22" borderId="100" xfId="0" applyFill="1" applyBorder="1" applyAlignment="1">
      <alignment horizontal="center"/>
    </xf>
    <xf numFmtId="0" fontId="0" fillId="22" borderId="101" xfId="0" applyFill="1" applyBorder="1" applyAlignment="1">
      <alignment horizontal="center"/>
    </xf>
    <xf numFmtId="2" fontId="0" fillId="22" borderId="52" xfId="0" applyNumberFormat="1" applyFill="1" applyBorder="1" applyAlignment="1">
      <alignment horizontal="center"/>
    </xf>
    <xf numFmtId="194" fontId="2" fillId="13" borderId="46" xfId="0" applyNumberFormat="1" applyFont="1" applyFill="1" applyBorder="1" applyAlignment="1">
      <alignment horizontal="center" vertical="center"/>
    </xf>
    <xf numFmtId="195" fontId="2" fillId="17" borderId="15" xfId="0" applyNumberFormat="1" applyFont="1" applyFill="1" applyBorder="1" applyAlignment="1">
      <alignment horizontal="center" vertical="center"/>
    </xf>
    <xf numFmtId="0" fontId="2" fillId="13" borderId="15" xfId="0" applyFont="1" applyFill="1" applyBorder="1" applyAlignment="1">
      <alignment horizontal="center" vertical="center"/>
    </xf>
    <xf numFmtId="0" fontId="2" fillId="13" borderId="46" xfId="0" applyFont="1" applyFill="1" applyBorder="1" applyAlignment="1">
      <alignment horizontal="center" vertical="center"/>
    </xf>
    <xf numFmtId="0" fontId="35" fillId="13" borderId="18" xfId="0" applyFont="1" applyFill="1" applyBorder="1" applyAlignment="1">
      <alignment horizontal="center"/>
    </xf>
    <xf numFmtId="0" fontId="35" fillId="13" borderId="27" xfId="0" applyFont="1" applyFill="1" applyBorder="1" applyAlignment="1">
      <alignment horizontal="center"/>
    </xf>
    <xf numFmtId="0" fontId="2" fillId="0" borderId="21" xfId="0" applyFont="1" applyBorder="1" applyAlignment="1">
      <alignment horizontal="left"/>
    </xf>
    <xf numFmtId="0" fontId="2" fillId="0" borderId="22" xfId="0" applyFont="1" applyBorder="1" applyAlignment="1">
      <alignment horizontal="left"/>
    </xf>
    <xf numFmtId="0" fontId="2" fillId="0" borderId="31" xfId="0" applyFont="1" applyBorder="1" applyAlignment="1">
      <alignment horizontal="left"/>
    </xf>
    <xf numFmtId="0" fontId="2" fillId="0" borderId="33" xfId="0" applyFont="1" applyBorder="1" applyAlignment="1">
      <alignment horizontal="left"/>
    </xf>
    <xf numFmtId="165" fontId="2" fillId="0" borderId="33" xfId="0" applyNumberFormat="1" applyFont="1" applyBorder="1" applyAlignment="1">
      <alignment horizontal="center" vertical="center"/>
    </xf>
    <xf numFmtId="165" fontId="2" fillId="0" borderId="32" xfId="0" applyNumberFormat="1" applyFont="1" applyBorder="1" applyAlignment="1">
      <alignment horizontal="center" vertical="center"/>
    </xf>
    <xf numFmtId="165" fontId="2" fillId="0" borderId="0" xfId="0" applyNumberFormat="1" applyFont="1" applyAlignment="1">
      <alignment horizontal="center" vertical="center"/>
    </xf>
    <xf numFmtId="165" fontId="2" fillId="0" borderId="20" xfId="0" applyNumberFormat="1" applyFont="1" applyBorder="1" applyAlignment="1">
      <alignment horizontal="center" vertical="center"/>
    </xf>
    <xf numFmtId="165" fontId="2" fillId="0" borderId="12" xfId="0" applyNumberFormat="1" applyFont="1" applyBorder="1" applyAlignment="1">
      <alignment horizontal="center" vertical="center"/>
    </xf>
    <xf numFmtId="0" fontId="2" fillId="0" borderId="102" xfId="0" applyFont="1" applyBorder="1" applyAlignment="1">
      <alignment horizontal="center" vertical="center"/>
    </xf>
    <xf numFmtId="0" fontId="2" fillId="0" borderId="12" xfId="0" applyFont="1" applyBorder="1" applyAlignment="1">
      <alignment horizontal="center" vertical="center"/>
    </xf>
    <xf numFmtId="1" fontId="2" fillId="0" borderId="12" xfId="0" applyNumberFormat="1" applyFont="1" applyBorder="1" applyAlignment="1">
      <alignment horizontal="center" vertical="center"/>
    </xf>
    <xf numFmtId="0" fontId="2" fillId="0" borderId="20" xfId="0" applyFont="1" applyBorder="1" applyAlignment="1">
      <alignment horizontal="center" vertical="center"/>
    </xf>
    <xf numFmtId="175" fontId="2" fillId="0" borderId="22" xfId="0" applyNumberFormat="1" applyFont="1" applyBorder="1" applyAlignment="1">
      <alignment horizontal="center" vertical="center"/>
    </xf>
    <xf numFmtId="175" fontId="2" fillId="0" borderId="23" xfId="0" applyNumberFormat="1" applyFont="1" applyBorder="1" applyAlignment="1">
      <alignment horizontal="center" vertical="center"/>
    </xf>
  </cellXfs>
  <cellStyles count="3">
    <cellStyle name="Lien hypertexte" xfId="1" builtinId="8"/>
    <cellStyle name="Normal" xfId="0" builtinId="0"/>
    <cellStyle name="Normal 2" xfId="2" xr:uid="{00000000-0005-0000-0000-000002000000}"/>
  </cellStyles>
  <dxfs count="54">
    <dxf>
      <font>
        <color theme="0"/>
      </font>
    </dxf>
    <dxf>
      <font>
        <color theme="0"/>
      </font>
    </dxf>
    <dxf>
      <font>
        <color theme="0"/>
      </font>
    </dxf>
    <dxf>
      <fill>
        <patternFill patternType="solid">
          <fgColor indexed="42"/>
          <bgColor rgb="FFFFFFCC"/>
        </patternFill>
      </fill>
    </dxf>
    <dxf>
      <fill>
        <patternFill patternType="solid">
          <fgColor indexed="31"/>
          <bgColor indexed="22"/>
        </patternFill>
      </fill>
    </dxf>
    <dxf>
      <fill>
        <patternFill patternType="solid">
          <fgColor indexed="27"/>
          <bgColor rgb="FFFFCCFF"/>
        </patternFill>
      </fill>
    </dxf>
    <dxf>
      <font>
        <color rgb="FFFF0000"/>
      </font>
    </dxf>
    <dxf>
      <font>
        <color rgb="FF808080"/>
      </font>
    </dxf>
    <dxf>
      <fill>
        <patternFill>
          <bgColor indexed="10"/>
        </patternFill>
      </fill>
    </dxf>
    <dxf>
      <fill>
        <patternFill patternType="solid">
          <fgColor indexed="53"/>
          <bgColor rgb="FFFF0000"/>
        </patternFill>
      </fill>
    </dxf>
    <dxf>
      <fill>
        <patternFill patternType="solid">
          <fgColor indexed="60"/>
          <bgColor indexed="10"/>
        </patternFill>
      </fill>
    </dxf>
    <dxf>
      <fill>
        <patternFill>
          <bgColor rgb="FFFF0000"/>
        </patternFill>
      </fill>
    </dxf>
    <dxf>
      <font>
        <color rgb="FFCCFFFF"/>
      </font>
    </dxf>
    <dxf>
      <font>
        <color rgb="FFCC6600"/>
      </font>
    </dxf>
    <dxf>
      <font>
        <color rgb="FFCC6600"/>
      </font>
    </dxf>
    <dxf>
      <fill>
        <patternFill>
          <bgColor rgb="FFFF0000"/>
        </patternFill>
      </fill>
    </dxf>
    <dxf>
      <font>
        <color theme="0"/>
      </font>
      <fill>
        <patternFill patternType="none">
          <bgColor indexed="65"/>
        </patternFill>
      </fill>
      <border>
        <left/>
        <right/>
        <top/>
        <bottom/>
      </border>
    </dxf>
    <dxf>
      <font>
        <color theme="0"/>
      </font>
      <fill>
        <patternFill patternType="none">
          <bgColor indexed="65"/>
        </patternFill>
      </fill>
      <border>
        <left/>
        <right/>
        <bottom/>
      </border>
    </dxf>
    <dxf>
      <font>
        <color rgb="FF99CCFF"/>
      </font>
    </dxf>
    <dxf>
      <fill>
        <patternFill>
          <bgColor indexed="10"/>
        </patternFill>
      </fill>
    </dxf>
    <dxf>
      <font>
        <color theme="0"/>
      </font>
      <fill>
        <patternFill>
          <bgColor theme="0"/>
        </patternFill>
      </fill>
      <border>
        <right/>
        <top/>
        <bottom/>
      </border>
    </dxf>
    <dxf>
      <font>
        <color indexed="9"/>
      </font>
      <fill>
        <patternFill patternType="solid">
          <bgColor indexed="9"/>
        </patternFill>
      </fill>
      <border>
        <left/>
        <right/>
        <top/>
        <bottom/>
      </border>
    </dxf>
    <dxf>
      <font>
        <color theme="0"/>
      </font>
      <fill>
        <patternFill>
          <bgColor theme="0"/>
        </patternFill>
      </fill>
      <border>
        <left/>
        <right/>
        <top/>
        <bottom/>
      </border>
    </dxf>
    <dxf>
      <font>
        <color theme="0"/>
      </font>
      <fill>
        <patternFill patternType="solid">
          <bgColor theme="0"/>
        </patternFill>
      </fill>
      <border>
        <right/>
        <bottom/>
      </border>
    </dxf>
    <dxf>
      <fill>
        <patternFill patternType="solid">
          <fgColor indexed="60"/>
          <bgColor indexed="10"/>
        </patternFill>
      </fill>
    </dxf>
    <dxf>
      <font>
        <color rgb="FFFFFF99"/>
        <name val="Cambria"/>
        <scheme val="none"/>
      </font>
    </dxf>
    <dxf>
      <font>
        <color rgb="FF808080"/>
      </font>
    </dxf>
    <dxf>
      <font>
        <color theme="0"/>
      </font>
      <fill>
        <patternFill>
          <bgColor theme="0"/>
        </patternFill>
      </fill>
      <border>
        <left/>
        <right/>
        <bottom/>
      </border>
    </dxf>
    <dxf>
      <font>
        <color rgb="FFFF0000"/>
      </font>
    </dxf>
    <dxf>
      <font>
        <color indexed="9"/>
      </font>
      <fill>
        <patternFill>
          <bgColor indexed="9"/>
        </patternFill>
      </fill>
      <border>
        <left/>
        <right/>
        <top/>
        <bottom/>
      </border>
    </dxf>
    <dxf>
      <font>
        <condense val="0"/>
        <extend val="0"/>
        <color indexed="9"/>
      </font>
      <fill>
        <patternFill patternType="none">
          <bgColor indexed="65"/>
        </patternFill>
      </fill>
      <border>
        <left/>
        <right/>
        <top/>
        <bottom/>
      </border>
    </dxf>
    <dxf>
      <font>
        <condense val="0"/>
        <extend val="0"/>
        <color indexed="9"/>
      </font>
      <fill>
        <patternFill patternType="none">
          <bgColor indexed="65"/>
        </patternFill>
      </fill>
      <border>
        <left/>
        <right/>
        <top/>
        <bottom/>
      </border>
    </dxf>
    <dxf>
      <font>
        <color theme="0"/>
      </font>
    </dxf>
    <dxf>
      <font>
        <color rgb="FFFF0000"/>
      </font>
    </dxf>
    <dxf>
      <font>
        <color rgb="FFFF0000"/>
      </font>
    </dxf>
    <dxf>
      <font>
        <color rgb="FFFF0000"/>
      </font>
    </dxf>
    <dxf>
      <font>
        <condense val="0"/>
        <extend val="0"/>
        <color indexed="11"/>
      </font>
    </dxf>
    <dxf>
      <font>
        <color rgb="FFFF0000"/>
      </font>
    </dxf>
    <dxf>
      <font>
        <color rgb="FFFF0000"/>
      </font>
    </dxf>
    <dxf>
      <font>
        <color rgb="FFFF0000"/>
      </font>
    </dxf>
    <dxf>
      <font>
        <color rgb="FFFF0000"/>
      </font>
    </dxf>
    <dxf>
      <font>
        <color theme="1"/>
      </font>
    </dxf>
    <dxf>
      <font>
        <color rgb="FFFFFF99"/>
      </font>
    </dxf>
    <dxf>
      <font>
        <color rgb="FFCC6600"/>
      </font>
    </dxf>
    <dxf>
      <font>
        <color rgb="FFCC6600"/>
      </font>
    </dxf>
    <dxf>
      <font>
        <color rgb="FFCC6600"/>
      </font>
    </dxf>
    <dxf>
      <font>
        <color rgb="FFCC6600"/>
      </font>
    </dxf>
    <dxf>
      <font>
        <color rgb="FFCC6600"/>
      </font>
    </dxf>
    <dxf>
      <font>
        <color theme="1"/>
      </font>
    </dxf>
    <dxf>
      <font>
        <color rgb="FFCC6600"/>
      </font>
    </dxf>
    <dxf>
      <font>
        <color rgb="FFCC6600"/>
      </font>
    </dxf>
    <dxf>
      <font>
        <color rgb="FFFF0000"/>
      </font>
    </dxf>
    <dxf>
      <font>
        <color rgb="FFCC6600"/>
      </font>
    </dxf>
    <dxf>
      <font>
        <color theme="0"/>
      </font>
      <fill>
        <patternFill patternType="none">
          <bgColor indexed="65"/>
        </patternFill>
      </fill>
      <border>
        <left/>
        <right/>
        <bottom/>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3CAFF"/>
      <rgbColor rgb="00993366"/>
      <rgbColor rgb="00E6E6E6"/>
      <rgbColor rgb="00CCFFFF"/>
      <rgbColor rgb="00660066"/>
      <rgbColor rgb="00FF8080"/>
      <rgbColor rgb="000066CC"/>
      <rgbColor rgb="00CCCCCC"/>
      <rgbColor rgb="00000080"/>
      <rgbColor rgb="00FF00FF"/>
      <rgbColor rgb="00FFFF00"/>
      <rgbColor rgb="0000FFFF"/>
      <rgbColor rgb="00800080"/>
      <rgbColor rgb="00800000"/>
      <rgbColor rgb="00008080"/>
      <rgbColor rgb="000000FF"/>
      <rgbColor rgb="0000CCFF"/>
      <rgbColor rgb="00D9D9D9"/>
      <rgbColor rgb="00CCFFCC"/>
      <rgbColor rgb="00FFFF99"/>
      <rgbColor rgb="0099CCFF"/>
      <rgbColor rgb="00FF99CC"/>
      <rgbColor rgb="00CC99FF"/>
      <rgbColor rgb="00FFCC99"/>
      <rgbColor rgb="003366FF"/>
      <rgbColor rgb="0033CCCC"/>
      <rgbColor rgb="0099CC00"/>
      <rgbColor rgb="00FFD320"/>
      <rgbColor rgb="00FF9900"/>
      <rgbColor rgb="00FF6600"/>
      <rgbColor rgb="00666699"/>
      <rgbColor rgb="00B3B3B3"/>
      <rgbColor rgb="00004586"/>
      <rgbColor rgb="00339966"/>
      <rgbColor rgb="00003300"/>
      <rgbColor rgb="00333300"/>
      <rgbColor rgb="00993300"/>
      <rgbColor rgb="00993366"/>
      <rgbColor rgb="00333399"/>
      <rgbColor rgb="00333333"/>
    </indexed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4.7970566137003713E-2"/>
          <c:y val="6.4690026954178192E-2"/>
          <c:w val="0.84871001627006748"/>
          <c:h val="0.90566037735849303"/>
        </c:manualLayout>
      </c:layout>
      <c:scatterChart>
        <c:scatterStyle val="lineMarker"/>
        <c:varyColors val="0"/>
        <c:ser>
          <c:idx val="0"/>
          <c:order val="0"/>
          <c:tx>
            <c:v>fuselage</c:v>
          </c:tx>
          <c:spPr>
            <a:ln w="25400">
              <a:solidFill>
                <a:srgbClr val="000080"/>
              </a:solidFill>
              <a:prstDash val="solid"/>
            </a:ln>
          </c:spPr>
          <c:marker>
            <c:symbol val="none"/>
          </c:marker>
          <c:xVal>
            <c:numRef>
              <c:f>Stabilito!$D$124:$D$131</c:f>
              <c:numCache>
                <c:formatCode>0</c:formatCode>
                <c:ptCount val="8"/>
                <c:pt idx="0">
                  <c:v>0</c:v>
                </c:pt>
                <c:pt idx="1">
                  <c:v>42</c:v>
                </c:pt>
                <c:pt idx="2">
                  <c:v>42</c:v>
                </c:pt>
                <c:pt idx="3">
                  <c:v>52</c:v>
                </c:pt>
                <c:pt idx="4">
                  <c:v>52</c:v>
                </c:pt>
                <c:pt idx="5">
                  <c:v>42</c:v>
                </c:pt>
                <c:pt idx="6">
                  <c:v>42</c:v>
                </c:pt>
                <c:pt idx="7">
                  <c:v>0</c:v>
                </c:pt>
              </c:numCache>
            </c:numRef>
          </c:xVal>
          <c:yVal>
            <c:numRef>
              <c:f>Stabilito!$C$124:$C$131</c:f>
              <c:numCache>
                <c:formatCode>0</c:formatCode>
                <c:ptCount val="8"/>
                <c:pt idx="0">
                  <c:v>-1</c:v>
                </c:pt>
                <c:pt idx="1">
                  <c:v>-1</c:v>
                </c:pt>
                <c:pt idx="2">
                  <c:v>-1</c:v>
                </c:pt>
                <c:pt idx="3">
                  <c:v>-61</c:v>
                </c:pt>
                <c:pt idx="4">
                  <c:v>-1070</c:v>
                </c:pt>
                <c:pt idx="5">
                  <c:v>-1120</c:v>
                </c:pt>
                <c:pt idx="6">
                  <c:v>-1120</c:v>
                </c:pt>
                <c:pt idx="7">
                  <c:v>-1120</c:v>
                </c:pt>
              </c:numCache>
            </c:numRef>
          </c:yVal>
          <c:smooth val="0"/>
          <c:extLst>
            <c:ext xmlns:c16="http://schemas.microsoft.com/office/drawing/2014/chart" uri="{C3380CC4-5D6E-409C-BE32-E72D297353CC}">
              <c16:uniqueId val="{00000000-F091-4909-B7A3-EF83D77F839F}"/>
            </c:ext>
          </c:extLst>
        </c:ser>
        <c:ser>
          <c:idx val="1"/>
          <c:order val="1"/>
          <c:tx>
            <c:v>aileron</c:v>
          </c:tx>
          <c:spPr>
            <a:ln w="25400">
              <a:solidFill>
                <a:srgbClr val="00FF00"/>
              </a:solidFill>
              <a:prstDash val="solid"/>
            </a:ln>
          </c:spPr>
          <c:marker>
            <c:symbol val="none"/>
          </c:marker>
          <c:xVal>
            <c:numRef>
              <c:f>Stabilito!$D$132:$D$136</c:f>
              <c:numCache>
                <c:formatCode>0</c:formatCode>
                <c:ptCount val="5"/>
                <c:pt idx="0">
                  <c:v>52</c:v>
                </c:pt>
                <c:pt idx="1">
                  <c:v>197</c:v>
                </c:pt>
                <c:pt idx="2">
                  <c:v>197</c:v>
                </c:pt>
                <c:pt idx="3">
                  <c:v>52</c:v>
                </c:pt>
                <c:pt idx="4">
                  <c:v>52</c:v>
                </c:pt>
              </c:numCache>
            </c:numRef>
          </c:xVal>
          <c:yVal>
            <c:numRef>
              <c:f>Stabilito!$C$132:$C$136</c:f>
              <c:numCache>
                <c:formatCode>0</c:formatCode>
                <c:ptCount val="5"/>
                <c:pt idx="0">
                  <c:v>-860</c:v>
                </c:pt>
                <c:pt idx="1">
                  <c:v>-1045</c:v>
                </c:pt>
                <c:pt idx="2">
                  <c:v>-1125</c:v>
                </c:pt>
                <c:pt idx="3">
                  <c:v>-1070</c:v>
                </c:pt>
                <c:pt idx="4">
                  <c:v>-860</c:v>
                </c:pt>
              </c:numCache>
            </c:numRef>
          </c:yVal>
          <c:smooth val="0"/>
          <c:extLst>
            <c:ext xmlns:c16="http://schemas.microsoft.com/office/drawing/2014/chart" uri="{C3380CC4-5D6E-409C-BE32-E72D297353CC}">
              <c16:uniqueId val="{00000001-F091-4909-B7A3-EF83D77F839F}"/>
            </c:ext>
          </c:extLst>
        </c:ser>
        <c:ser>
          <c:idx val="2"/>
          <c:order val="2"/>
          <c:tx>
            <c:v>fuselage2</c:v>
          </c:tx>
          <c:spPr>
            <a:ln w="25400">
              <a:solidFill>
                <a:srgbClr val="000080"/>
              </a:solidFill>
              <a:prstDash val="solid"/>
            </a:ln>
          </c:spPr>
          <c:marker>
            <c:symbol val="none"/>
          </c:marker>
          <c:xVal>
            <c:numRef>
              <c:f>Stabilito!$E$124:$E$131</c:f>
              <c:numCache>
                <c:formatCode>0</c:formatCode>
                <c:ptCount val="8"/>
                <c:pt idx="0">
                  <c:v>0</c:v>
                </c:pt>
                <c:pt idx="1">
                  <c:v>-42</c:v>
                </c:pt>
                <c:pt idx="2">
                  <c:v>-42</c:v>
                </c:pt>
                <c:pt idx="3">
                  <c:v>-52</c:v>
                </c:pt>
                <c:pt idx="4">
                  <c:v>-52</c:v>
                </c:pt>
                <c:pt idx="5">
                  <c:v>-42</c:v>
                </c:pt>
                <c:pt idx="6">
                  <c:v>-42</c:v>
                </c:pt>
                <c:pt idx="7">
                  <c:v>0</c:v>
                </c:pt>
              </c:numCache>
            </c:numRef>
          </c:xVal>
          <c:yVal>
            <c:numRef>
              <c:f>Stabilito!$C$124:$C$131</c:f>
              <c:numCache>
                <c:formatCode>0</c:formatCode>
                <c:ptCount val="8"/>
                <c:pt idx="0">
                  <c:v>-1</c:v>
                </c:pt>
                <c:pt idx="1">
                  <c:v>-1</c:v>
                </c:pt>
                <c:pt idx="2">
                  <c:v>-1</c:v>
                </c:pt>
                <c:pt idx="3">
                  <c:v>-61</c:v>
                </c:pt>
                <c:pt idx="4">
                  <c:v>-1070</c:v>
                </c:pt>
                <c:pt idx="5">
                  <c:v>-1120</c:v>
                </c:pt>
                <c:pt idx="6">
                  <c:v>-1120</c:v>
                </c:pt>
                <c:pt idx="7">
                  <c:v>-1120</c:v>
                </c:pt>
              </c:numCache>
            </c:numRef>
          </c:yVal>
          <c:smooth val="0"/>
          <c:extLst>
            <c:ext xmlns:c16="http://schemas.microsoft.com/office/drawing/2014/chart" uri="{C3380CC4-5D6E-409C-BE32-E72D297353CC}">
              <c16:uniqueId val="{00000002-F091-4909-B7A3-EF83D77F839F}"/>
            </c:ext>
          </c:extLst>
        </c:ser>
        <c:ser>
          <c:idx val="3"/>
          <c:order val="3"/>
          <c:tx>
            <c:v>aileron2</c:v>
          </c:tx>
          <c:spPr>
            <a:ln w="25400">
              <a:solidFill>
                <a:srgbClr val="00FF00"/>
              </a:solidFill>
              <a:prstDash val="solid"/>
            </a:ln>
          </c:spPr>
          <c:marker>
            <c:symbol val="none"/>
          </c:marker>
          <c:xVal>
            <c:numRef>
              <c:f>Stabilito!$E$132:$E$136</c:f>
              <c:numCache>
                <c:formatCode>0</c:formatCode>
                <c:ptCount val="5"/>
                <c:pt idx="0">
                  <c:v>-52</c:v>
                </c:pt>
                <c:pt idx="1">
                  <c:v>-197</c:v>
                </c:pt>
                <c:pt idx="2">
                  <c:v>-197</c:v>
                </c:pt>
                <c:pt idx="3">
                  <c:v>-52</c:v>
                </c:pt>
                <c:pt idx="4">
                  <c:v>-52</c:v>
                </c:pt>
              </c:numCache>
            </c:numRef>
          </c:xVal>
          <c:yVal>
            <c:numRef>
              <c:f>Stabilito!$C$132:$C$136</c:f>
              <c:numCache>
                <c:formatCode>0</c:formatCode>
                <c:ptCount val="5"/>
                <c:pt idx="0">
                  <c:v>-860</c:v>
                </c:pt>
                <c:pt idx="1">
                  <c:v>-1045</c:v>
                </c:pt>
                <c:pt idx="2">
                  <c:v>-1125</c:v>
                </c:pt>
                <c:pt idx="3">
                  <c:v>-1070</c:v>
                </c:pt>
                <c:pt idx="4">
                  <c:v>-860</c:v>
                </c:pt>
              </c:numCache>
            </c:numRef>
          </c:yVal>
          <c:smooth val="0"/>
          <c:extLst>
            <c:ext xmlns:c16="http://schemas.microsoft.com/office/drawing/2014/chart" uri="{C3380CC4-5D6E-409C-BE32-E72D297353CC}">
              <c16:uniqueId val="{00000003-F091-4909-B7A3-EF83D77F839F}"/>
            </c:ext>
          </c:extLst>
        </c:ser>
        <c:ser>
          <c:idx val="4"/>
          <c:order val="4"/>
          <c:tx>
            <c:strRef>
              <c:f>Stabilito!$B$13</c:f>
              <c:strCache>
                <c:ptCount val="1"/>
                <c:pt idx="0">
                  <c:v>Centre de Masse</c:v>
                </c:pt>
              </c:strCache>
            </c:strRef>
          </c:tx>
          <c:spPr>
            <a:ln w="25400">
              <a:solidFill>
                <a:srgbClr val="0000FF"/>
              </a:solidFill>
              <a:prstDash val="solid"/>
            </a:ln>
          </c:spPr>
          <c:marker>
            <c:symbol val="circle"/>
            <c:size val="5"/>
            <c:spPr>
              <a:solidFill>
                <a:srgbClr val="0000FF"/>
              </a:solidFill>
              <a:ln w="9525">
                <a:noFill/>
              </a:ln>
            </c:spPr>
          </c:marker>
          <c:dLbls>
            <c:dLbl>
              <c:idx val="1"/>
              <c:spPr>
                <a:noFill/>
                <a:ln w="25400">
                  <a:noFill/>
                </a:ln>
              </c:spPr>
              <c:txPr>
                <a:bodyPr/>
                <a:lstStyle/>
                <a:p>
                  <a:pPr>
                    <a:defRPr sz="800" b="0" i="0" u="none" strike="noStrike" baseline="0">
                      <a:solidFill>
                        <a:srgbClr val="0000FF"/>
                      </a:solidFill>
                      <a:latin typeface="Arial"/>
                      <a:ea typeface="Arial"/>
                      <a:cs typeface="Arial"/>
                    </a:defRPr>
                  </a:pPr>
                  <a:endParaRPr lang="fr-FR"/>
                </a:p>
              </c:txP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4-F091-4909-B7A3-EF83D77F839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Stabilito!$D$149:$D$150</c:f>
              <c:numCache>
                <c:formatCode>0</c:formatCode>
                <c:ptCount val="2"/>
                <c:pt idx="0">
                  <c:v>0</c:v>
                </c:pt>
                <c:pt idx="1">
                  <c:v>0</c:v>
                </c:pt>
              </c:numCache>
            </c:numRef>
          </c:xVal>
          <c:yVal>
            <c:numRef>
              <c:f>Stabilito!$C$149:$C$150</c:f>
              <c:numCache>
                <c:formatCode>0</c:formatCode>
                <c:ptCount val="2"/>
                <c:pt idx="0">
                  <c:v>-493.0142129874917</c:v>
                </c:pt>
                <c:pt idx="1">
                  <c:v>-493.00000000000006</c:v>
                </c:pt>
              </c:numCache>
            </c:numRef>
          </c:yVal>
          <c:smooth val="0"/>
          <c:extLst>
            <c:ext xmlns:c16="http://schemas.microsoft.com/office/drawing/2014/chart" uri="{C3380CC4-5D6E-409C-BE32-E72D297353CC}">
              <c16:uniqueId val="{00000005-F091-4909-B7A3-EF83D77F839F}"/>
            </c:ext>
          </c:extLst>
        </c:ser>
        <c:ser>
          <c:idx val="5"/>
          <c:order val="5"/>
          <c:tx>
            <c:strRef>
              <c:f>Stabilito!$F$28</c:f>
              <c:strCache>
                <c:ptCount val="1"/>
                <c:pt idx="0">
                  <c:v>Portance</c:v>
                </c:pt>
              </c:strCache>
            </c:strRef>
          </c:tx>
          <c:spPr>
            <a:ln w="25400">
              <a:solidFill>
                <a:srgbClr val="800000"/>
              </a:solidFill>
              <a:prstDash val="solid"/>
            </a:ln>
          </c:spPr>
          <c:marker>
            <c:symbol val="diamond"/>
            <c:size val="5"/>
            <c:spPr>
              <a:solidFill>
                <a:srgbClr val="800000"/>
              </a:solidFill>
              <a:ln>
                <a:solidFill>
                  <a:srgbClr val="800000"/>
                </a:solidFill>
                <a:prstDash val="solid"/>
              </a:ln>
            </c:spPr>
          </c:marker>
          <c:dLbls>
            <c:dLbl>
              <c:idx val="1"/>
              <c:spPr>
                <a:noFill/>
                <a:ln w="25400">
                  <a:noFill/>
                </a:ln>
              </c:spPr>
              <c:txPr>
                <a:bodyPr/>
                <a:lstStyle/>
                <a:p>
                  <a:pPr>
                    <a:defRPr sz="800" b="0" i="0" u="none" strike="noStrike" baseline="0">
                      <a:solidFill>
                        <a:srgbClr val="800000"/>
                      </a:solidFill>
                      <a:latin typeface="Arial"/>
                      <a:ea typeface="Arial"/>
                      <a:cs typeface="Arial"/>
                    </a:defRPr>
                  </a:pPr>
                  <a:endParaRPr lang="fr-FR"/>
                </a:p>
              </c:txP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6-F091-4909-B7A3-EF83D77F839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Stabilito!$D$151:$D$154</c:f>
              <c:numCache>
                <c:formatCode>0</c:formatCode>
                <c:ptCount val="4"/>
                <c:pt idx="0">
                  <c:v>0</c:v>
                </c:pt>
                <c:pt idx="1">
                  <c:v>112.3452515420376</c:v>
                </c:pt>
                <c:pt idx="2">
                  <c:v>112.3452515420376</c:v>
                </c:pt>
                <c:pt idx="3">
                  <c:v>0</c:v>
                </c:pt>
              </c:numCache>
            </c:numRef>
          </c:xVal>
          <c:yVal>
            <c:numRef>
              <c:f>Stabilito!$C$151:$C$154</c:f>
              <c:numCache>
                <c:formatCode>0</c:formatCode>
                <c:ptCount val="4"/>
                <c:pt idx="0">
                  <c:v>-853.14182571470383</c:v>
                </c:pt>
                <c:pt idx="1">
                  <c:v>-853.14182571470383</c:v>
                </c:pt>
                <c:pt idx="2">
                  <c:v>-853.14182571470383</c:v>
                </c:pt>
                <c:pt idx="3">
                  <c:v>-853.14182571470383</c:v>
                </c:pt>
              </c:numCache>
            </c:numRef>
          </c:yVal>
          <c:smooth val="0"/>
          <c:extLst>
            <c:ext xmlns:c16="http://schemas.microsoft.com/office/drawing/2014/chart" uri="{C3380CC4-5D6E-409C-BE32-E72D297353CC}">
              <c16:uniqueId val="{00000007-F091-4909-B7A3-EF83D77F839F}"/>
            </c:ext>
          </c:extLst>
        </c:ser>
        <c:ser>
          <c:idx val="6"/>
          <c:order val="6"/>
          <c:tx>
            <c:v>canard</c:v>
          </c:tx>
          <c:spPr>
            <a:ln w="25400">
              <a:solidFill>
                <a:srgbClr val="008000"/>
              </a:solidFill>
              <a:prstDash val="solid"/>
            </a:ln>
          </c:spPr>
          <c:marker>
            <c:symbol val="none"/>
          </c:marker>
          <c:xVal>
            <c:numRef>
              <c:f>Stabilito!$D$158:$D$162</c:f>
              <c:numCache>
                <c:formatCode>0</c:formatCode>
                <c:ptCount val="5"/>
                <c:pt idx="0">
                  <c:v>0</c:v>
                </c:pt>
                <c:pt idx="1">
                  <c:v>0</c:v>
                </c:pt>
                <c:pt idx="2">
                  <c:v>0</c:v>
                </c:pt>
                <c:pt idx="3">
                  <c:v>0</c:v>
                </c:pt>
                <c:pt idx="4">
                  <c:v>0</c:v>
                </c:pt>
              </c:numCache>
            </c:numRef>
          </c:xVal>
          <c:yVal>
            <c:numRef>
              <c:f>Stabilito!$C$158:$C$162</c:f>
              <c:numCache>
                <c:formatCode>0</c:formatCode>
                <c:ptCount val="5"/>
                <c:pt idx="0">
                  <c:v>0</c:v>
                </c:pt>
                <c:pt idx="1">
                  <c:v>0</c:v>
                </c:pt>
                <c:pt idx="2">
                  <c:v>0</c:v>
                </c:pt>
                <c:pt idx="3">
                  <c:v>0</c:v>
                </c:pt>
                <c:pt idx="4">
                  <c:v>0</c:v>
                </c:pt>
              </c:numCache>
            </c:numRef>
          </c:yVal>
          <c:smooth val="0"/>
          <c:extLst>
            <c:ext xmlns:c16="http://schemas.microsoft.com/office/drawing/2014/chart" uri="{C3380CC4-5D6E-409C-BE32-E72D297353CC}">
              <c16:uniqueId val="{00000008-F091-4909-B7A3-EF83D77F839F}"/>
            </c:ext>
          </c:extLst>
        </c:ser>
        <c:ser>
          <c:idx val="7"/>
          <c:order val="7"/>
          <c:tx>
            <c:v>canard2</c:v>
          </c:tx>
          <c:spPr>
            <a:ln w="25400">
              <a:solidFill>
                <a:srgbClr val="008000"/>
              </a:solidFill>
              <a:prstDash val="solid"/>
            </a:ln>
          </c:spPr>
          <c:marker>
            <c:symbol val="none"/>
          </c:marker>
          <c:xVal>
            <c:numRef>
              <c:f>Stabilito!$E$158:$E$162</c:f>
              <c:numCache>
                <c:formatCode>0</c:formatCode>
                <c:ptCount val="5"/>
                <c:pt idx="0">
                  <c:v>0</c:v>
                </c:pt>
                <c:pt idx="1">
                  <c:v>0</c:v>
                </c:pt>
                <c:pt idx="2">
                  <c:v>0</c:v>
                </c:pt>
                <c:pt idx="3">
                  <c:v>0</c:v>
                </c:pt>
                <c:pt idx="4">
                  <c:v>0</c:v>
                </c:pt>
              </c:numCache>
            </c:numRef>
          </c:xVal>
          <c:yVal>
            <c:numRef>
              <c:f>Stabilito!$C$158:$C$162</c:f>
              <c:numCache>
                <c:formatCode>0</c:formatCode>
                <c:ptCount val="5"/>
                <c:pt idx="0">
                  <c:v>0</c:v>
                </c:pt>
                <c:pt idx="1">
                  <c:v>0</c:v>
                </c:pt>
                <c:pt idx="2">
                  <c:v>0</c:v>
                </c:pt>
                <c:pt idx="3">
                  <c:v>0</c:v>
                </c:pt>
                <c:pt idx="4">
                  <c:v>0</c:v>
                </c:pt>
              </c:numCache>
            </c:numRef>
          </c:yVal>
          <c:smooth val="0"/>
          <c:extLst>
            <c:ext xmlns:c16="http://schemas.microsoft.com/office/drawing/2014/chart" uri="{C3380CC4-5D6E-409C-BE32-E72D297353CC}">
              <c16:uniqueId val="{00000009-F091-4909-B7A3-EF83D77F839F}"/>
            </c:ext>
          </c:extLst>
        </c:ser>
        <c:ser>
          <c:idx val="8"/>
          <c:order val="8"/>
          <c:tx>
            <c:v>masquage</c:v>
          </c:tx>
          <c:spPr>
            <a:ln w="25400">
              <a:solidFill>
                <a:srgbClr val="FF0000"/>
              </a:solidFill>
              <a:prstDash val="sysDash"/>
            </a:ln>
          </c:spPr>
          <c:marker>
            <c:symbol val="none"/>
          </c:marker>
          <c:xVal>
            <c:numRef>
              <c:f>Stabilito!$D$163:$D$167</c:f>
              <c:numCache>
                <c:formatCode>0</c:formatCode>
                <c:ptCount val="5"/>
                <c:pt idx="0">
                  <c:v>0</c:v>
                </c:pt>
                <c:pt idx="1">
                  <c:v>0</c:v>
                </c:pt>
                <c:pt idx="2">
                  <c:v>0</c:v>
                </c:pt>
                <c:pt idx="3">
                  <c:v>0</c:v>
                </c:pt>
                <c:pt idx="4">
                  <c:v>0</c:v>
                </c:pt>
              </c:numCache>
            </c:numRef>
          </c:xVal>
          <c:yVal>
            <c:numRef>
              <c:f>Stabilito!$C$163:$C$167</c:f>
              <c:numCache>
                <c:formatCode>0</c:formatCode>
                <c:ptCount val="5"/>
                <c:pt idx="0">
                  <c:v>0</c:v>
                </c:pt>
                <c:pt idx="1">
                  <c:v>0</c:v>
                </c:pt>
                <c:pt idx="2">
                  <c:v>0</c:v>
                </c:pt>
                <c:pt idx="3">
                  <c:v>0</c:v>
                </c:pt>
                <c:pt idx="4">
                  <c:v>0</c:v>
                </c:pt>
              </c:numCache>
            </c:numRef>
          </c:yVal>
          <c:smooth val="0"/>
          <c:extLst>
            <c:ext xmlns:c16="http://schemas.microsoft.com/office/drawing/2014/chart" uri="{C3380CC4-5D6E-409C-BE32-E72D297353CC}">
              <c16:uniqueId val="{0000000A-F091-4909-B7A3-EF83D77F839F}"/>
            </c:ext>
          </c:extLst>
        </c:ser>
        <c:ser>
          <c:idx val="9"/>
          <c:order val="9"/>
          <c:tx>
            <c:v>masquage2</c:v>
          </c:tx>
          <c:spPr>
            <a:ln w="25400">
              <a:solidFill>
                <a:srgbClr val="FF0000"/>
              </a:solidFill>
              <a:prstDash val="sysDash"/>
            </a:ln>
          </c:spPr>
          <c:marker>
            <c:symbol val="none"/>
          </c:marker>
          <c:xVal>
            <c:numRef>
              <c:f>Stabilito!$E$163:$E$167</c:f>
              <c:numCache>
                <c:formatCode>0</c:formatCode>
                <c:ptCount val="5"/>
                <c:pt idx="0">
                  <c:v>0</c:v>
                </c:pt>
                <c:pt idx="1">
                  <c:v>0</c:v>
                </c:pt>
                <c:pt idx="2">
                  <c:v>0</c:v>
                </c:pt>
                <c:pt idx="3">
                  <c:v>0</c:v>
                </c:pt>
                <c:pt idx="4">
                  <c:v>0</c:v>
                </c:pt>
              </c:numCache>
            </c:numRef>
          </c:xVal>
          <c:yVal>
            <c:numRef>
              <c:f>Stabilito!$C$163:$C$167</c:f>
              <c:numCache>
                <c:formatCode>0</c:formatCode>
                <c:ptCount val="5"/>
                <c:pt idx="0">
                  <c:v>0</c:v>
                </c:pt>
                <c:pt idx="1">
                  <c:v>0</c:v>
                </c:pt>
                <c:pt idx="2">
                  <c:v>0</c:v>
                </c:pt>
                <c:pt idx="3">
                  <c:v>0</c:v>
                </c:pt>
                <c:pt idx="4">
                  <c:v>0</c:v>
                </c:pt>
              </c:numCache>
            </c:numRef>
          </c:yVal>
          <c:smooth val="0"/>
          <c:extLst>
            <c:ext xmlns:c16="http://schemas.microsoft.com/office/drawing/2014/chart" uri="{C3380CC4-5D6E-409C-BE32-E72D297353CC}">
              <c16:uniqueId val="{0000000B-F091-4909-B7A3-EF83D77F839F}"/>
            </c:ext>
          </c:extLst>
        </c:ser>
        <c:ser>
          <c:idx val="10"/>
          <c:order val="10"/>
          <c:tx>
            <c:v>cadre</c:v>
          </c:tx>
          <c:spPr>
            <a:ln w="12700">
              <a:solidFill>
                <a:srgbClr val="FFFFFF"/>
              </a:solidFill>
              <a:prstDash val="solid"/>
            </a:ln>
          </c:spPr>
          <c:marker>
            <c:symbol val="none"/>
          </c:marker>
          <c:xVal>
            <c:numRef>
              <c:f>Stabilito!$D$168:$D$169</c:f>
              <c:numCache>
                <c:formatCode>0</c:formatCode>
                <c:ptCount val="2"/>
                <c:pt idx="0">
                  <c:v>373.33333333333331</c:v>
                </c:pt>
                <c:pt idx="1">
                  <c:v>-373.33333333333331</c:v>
                </c:pt>
              </c:numCache>
            </c:numRef>
          </c:xVal>
          <c:yVal>
            <c:numRef>
              <c:f>Stabilito!$C$168:$C$169</c:f>
              <c:numCache>
                <c:formatCode>0</c:formatCode>
                <c:ptCount val="2"/>
                <c:pt idx="0">
                  <c:v>-1136.25</c:v>
                </c:pt>
                <c:pt idx="1">
                  <c:v>-1136.25</c:v>
                </c:pt>
              </c:numCache>
            </c:numRef>
          </c:yVal>
          <c:smooth val="0"/>
          <c:extLst>
            <c:ext xmlns:c16="http://schemas.microsoft.com/office/drawing/2014/chart" uri="{C3380CC4-5D6E-409C-BE32-E72D297353CC}">
              <c16:uniqueId val="{0000000C-F091-4909-B7A3-EF83D77F839F}"/>
            </c:ext>
          </c:extLst>
        </c:ser>
        <c:ser>
          <c:idx val="11"/>
          <c:order val="11"/>
          <c:tx>
            <c:v>Propu</c:v>
          </c:tx>
          <c:spPr>
            <a:ln w="25400">
              <a:solidFill>
                <a:srgbClr val="FF00FF"/>
              </a:solidFill>
              <a:prstDash val="solid"/>
            </a:ln>
          </c:spPr>
          <c:marker>
            <c:symbol val="none"/>
          </c:marker>
          <c:xVal>
            <c:numRef>
              <c:f>Stabilito!$D$170:$D$174</c:f>
              <c:numCache>
                <c:formatCode>0</c:formatCode>
                <c:ptCount val="5"/>
                <c:pt idx="0">
                  <c:v>0</c:v>
                </c:pt>
                <c:pt idx="1">
                  <c:v>0</c:v>
                </c:pt>
                <c:pt idx="2">
                  <c:v>0</c:v>
                </c:pt>
                <c:pt idx="3">
                  <c:v>0</c:v>
                </c:pt>
                <c:pt idx="4">
                  <c:v>0</c:v>
                </c:pt>
              </c:numCache>
            </c:numRef>
          </c:xVal>
          <c:yVal>
            <c:numRef>
              <c:f>Stabilito!$C$170:$C$174</c:f>
              <c:numCache>
                <c:formatCode>0</c:formatCode>
                <c:ptCount val="5"/>
                <c:pt idx="0">
                  <c:v>-1110</c:v>
                </c:pt>
                <c:pt idx="1">
                  <c:v>-1110</c:v>
                </c:pt>
                <c:pt idx="2">
                  <c:v>-1110</c:v>
                </c:pt>
                <c:pt idx="3">
                  <c:v>-1110</c:v>
                </c:pt>
                <c:pt idx="4">
                  <c:v>-1110</c:v>
                </c:pt>
              </c:numCache>
            </c:numRef>
          </c:yVal>
          <c:smooth val="0"/>
          <c:extLst>
            <c:ext xmlns:c16="http://schemas.microsoft.com/office/drawing/2014/chart" uri="{C3380CC4-5D6E-409C-BE32-E72D297353CC}">
              <c16:uniqueId val="{0000000D-F091-4909-B7A3-EF83D77F839F}"/>
            </c:ext>
          </c:extLst>
        </c:ser>
        <c:ser>
          <c:idx val="12"/>
          <c:order val="12"/>
          <c:tx>
            <c:v>Cone</c:v>
          </c:tx>
          <c:spPr>
            <a:ln w="25400">
              <a:solidFill>
                <a:srgbClr val="800080"/>
              </a:solidFill>
              <a:prstDash val="solid"/>
            </a:ln>
          </c:spPr>
          <c:marker>
            <c:symbol val="none"/>
          </c:marker>
          <c:xVal>
            <c:numRef>
              <c:f>Stabilito!$D$175:$D$180</c:f>
              <c:numCache>
                <c:formatCode>0</c:formatCode>
                <c:ptCount val="6"/>
                <c:pt idx="0">
                  <c:v>0</c:v>
                </c:pt>
                <c:pt idx="1">
                  <c:v>4.2</c:v>
                </c:pt>
                <c:pt idx="2">
                  <c:v>10.5</c:v>
                </c:pt>
                <c:pt idx="3">
                  <c:v>21</c:v>
                </c:pt>
                <c:pt idx="4">
                  <c:v>31.5</c:v>
                </c:pt>
                <c:pt idx="5">
                  <c:v>42</c:v>
                </c:pt>
              </c:numCache>
            </c:numRef>
          </c:xVal>
          <c:yVal>
            <c:numRef>
              <c:f>Stabilito!$C$175:$C$180</c:f>
              <c:numCache>
                <c:formatCode>0</c:formatCode>
                <c:ptCount val="6"/>
                <c:pt idx="0">
                  <c:v>0</c:v>
                </c:pt>
                <c:pt idx="1">
                  <c:v>-0.1</c:v>
                </c:pt>
                <c:pt idx="2">
                  <c:v>-0.25</c:v>
                </c:pt>
                <c:pt idx="3">
                  <c:v>-0.5</c:v>
                </c:pt>
                <c:pt idx="4">
                  <c:v>-0.75</c:v>
                </c:pt>
                <c:pt idx="5">
                  <c:v>-1</c:v>
                </c:pt>
              </c:numCache>
            </c:numRef>
          </c:yVal>
          <c:smooth val="0"/>
          <c:extLst>
            <c:ext xmlns:c16="http://schemas.microsoft.com/office/drawing/2014/chart" uri="{C3380CC4-5D6E-409C-BE32-E72D297353CC}">
              <c16:uniqueId val="{0000000E-F091-4909-B7A3-EF83D77F839F}"/>
            </c:ext>
          </c:extLst>
        </c:ser>
        <c:ser>
          <c:idx val="13"/>
          <c:order val="13"/>
          <c:tx>
            <c:v>Cone1</c:v>
          </c:tx>
          <c:spPr>
            <a:ln w="25400">
              <a:solidFill>
                <a:srgbClr val="800080"/>
              </a:solidFill>
              <a:prstDash val="solid"/>
            </a:ln>
          </c:spPr>
          <c:marker>
            <c:symbol val="none"/>
          </c:marker>
          <c:xVal>
            <c:numRef>
              <c:f>Stabilito!$E$175:$E$180</c:f>
              <c:numCache>
                <c:formatCode>0</c:formatCode>
                <c:ptCount val="6"/>
                <c:pt idx="0">
                  <c:v>0</c:v>
                </c:pt>
                <c:pt idx="1">
                  <c:v>-4.2</c:v>
                </c:pt>
                <c:pt idx="2">
                  <c:v>-10.5</c:v>
                </c:pt>
                <c:pt idx="3">
                  <c:v>-21</c:v>
                </c:pt>
                <c:pt idx="4">
                  <c:v>-31.5</c:v>
                </c:pt>
                <c:pt idx="5">
                  <c:v>-42</c:v>
                </c:pt>
              </c:numCache>
            </c:numRef>
          </c:xVal>
          <c:yVal>
            <c:numRef>
              <c:f>Stabilito!$C$175:$C$180</c:f>
              <c:numCache>
                <c:formatCode>0</c:formatCode>
                <c:ptCount val="6"/>
                <c:pt idx="0">
                  <c:v>0</c:v>
                </c:pt>
                <c:pt idx="1">
                  <c:v>-0.1</c:v>
                </c:pt>
                <c:pt idx="2">
                  <c:v>-0.25</c:v>
                </c:pt>
                <c:pt idx="3">
                  <c:v>-0.5</c:v>
                </c:pt>
                <c:pt idx="4">
                  <c:v>-0.75</c:v>
                </c:pt>
                <c:pt idx="5">
                  <c:v>-1</c:v>
                </c:pt>
              </c:numCache>
            </c:numRef>
          </c:yVal>
          <c:smooth val="0"/>
          <c:extLst>
            <c:ext xmlns:c16="http://schemas.microsoft.com/office/drawing/2014/chart" uri="{C3380CC4-5D6E-409C-BE32-E72D297353CC}">
              <c16:uniqueId val="{0000000F-F091-4909-B7A3-EF83D77F839F}"/>
            </c:ext>
          </c:extLst>
        </c:ser>
        <c:ser>
          <c:idx val="14"/>
          <c:order val="14"/>
          <c:tx>
            <c:strRef>
              <c:f>Stabilito!$B$137</c:f>
              <c:strCache>
                <c:ptCount val="1"/>
                <c:pt idx="0">
                  <c:v>Envergure</c:v>
                </c:pt>
              </c:strCache>
            </c:strRef>
          </c:tx>
          <c:spPr>
            <a:ln w="12700">
              <a:solidFill>
                <a:schemeClr val="tx1"/>
              </a:solidFill>
            </a:ln>
          </c:spPr>
          <c:marker>
            <c:symbol val="none"/>
          </c:marker>
          <c:dLbls>
            <c:dLbl>
              <c:idx val="1"/>
              <c:spPr>
                <a:noFill/>
                <a:ln w="25400">
                  <a:noFill/>
                </a:ln>
              </c:spPr>
              <c:txPr>
                <a:bodyPr/>
                <a:lstStyle/>
                <a:p>
                  <a:pPr>
                    <a:defRPr sz="600" b="0" i="0" u="none" strike="noStrike" baseline="0">
                      <a:solidFill>
                        <a:srgbClr val="000000"/>
                      </a:solidFill>
                      <a:latin typeface="Arial"/>
                      <a:ea typeface="Arial"/>
                      <a:cs typeface="Arial"/>
                    </a:defRPr>
                  </a:pPr>
                  <a:endParaRPr lang="fr-FR"/>
                </a:p>
              </c:txPr>
              <c:dLblPos val="b"/>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0-F091-4909-B7A3-EF83D77F839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Stabilito!$D$137:$D$139</c:f>
              <c:numCache>
                <c:formatCode>0</c:formatCode>
                <c:ptCount val="3"/>
                <c:pt idx="0">
                  <c:v>-197</c:v>
                </c:pt>
                <c:pt idx="1">
                  <c:v>-124.5</c:v>
                </c:pt>
                <c:pt idx="2">
                  <c:v>-52</c:v>
                </c:pt>
              </c:numCache>
            </c:numRef>
          </c:xVal>
          <c:yVal>
            <c:numRef>
              <c:f>Stabilito!$C$137:$C$139</c:f>
              <c:numCache>
                <c:formatCode>0</c:formatCode>
                <c:ptCount val="3"/>
                <c:pt idx="0">
                  <c:v>-1162.3333333333333</c:v>
                </c:pt>
                <c:pt idx="1">
                  <c:v>-1162.3333333333333</c:v>
                </c:pt>
                <c:pt idx="2">
                  <c:v>-1162.3333333333333</c:v>
                </c:pt>
              </c:numCache>
            </c:numRef>
          </c:yVal>
          <c:smooth val="0"/>
          <c:extLst>
            <c:ext xmlns:c16="http://schemas.microsoft.com/office/drawing/2014/chart" uri="{C3380CC4-5D6E-409C-BE32-E72D297353CC}">
              <c16:uniqueId val="{00000011-F091-4909-B7A3-EF83D77F839F}"/>
            </c:ext>
          </c:extLst>
        </c:ser>
        <c:ser>
          <c:idx val="15"/>
          <c:order val="15"/>
          <c:tx>
            <c:strRef>
              <c:f>Stabilito!$B$143</c:f>
              <c:strCache>
                <c:ptCount val="1"/>
                <c:pt idx="0">
                  <c:v>Flèche</c:v>
                </c:pt>
              </c:strCache>
            </c:strRef>
          </c:tx>
          <c:spPr>
            <a:ln w="12700">
              <a:solidFill>
                <a:schemeClr val="tx1"/>
              </a:solidFill>
            </a:ln>
          </c:spPr>
          <c:marker>
            <c:symbol val="none"/>
          </c:marker>
          <c:dLbls>
            <c:dLbl>
              <c:idx val="1"/>
              <c:spPr>
                <a:noFill/>
                <a:ln w="25400">
                  <a:noFill/>
                </a:ln>
              </c:spPr>
              <c:txPr>
                <a:bodyPr/>
                <a:lstStyle/>
                <a:p>
                  <a:pPr>
                    <a:defRPr sz="600" b="0" i="0" u="none" strike="noStrike" baseline="0">
                      <a:solidFill>
                        <a:srgbClr val="000000"/>
                      </a:solidFill>
                      <a:latin typeface="Arial"/>
                      <a:ea typeface="Arial"/>
                      <a:cs typeface="Arial"/>
                    </a:defRPr>
                  </a:pPr>
                  <a:endParaRPr lang="fr-FR"/>
                </a:p>
              </c:txPr>
              <c:dLblPos val="l"/>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2-F091-4909-B7A3-EF83D77F839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Stabilito!$D$143:$D$145</c:f>
              <c:numCache>
                <c:formatCode>0</c:formatCode>
                <c:ptCount val="3"/>
                <c:pt idx="0">
                  <c:v>-234.33333333333334</c:v>
                </c:pt>
                <c:pt idx="1">
                  <c:v>-234.33333333333334</c:v>
                </c:pt>
                <c:pt idx="2">
                  <c:v>-234.33333333333334</c:v>
                </c:pt>
              </c:numCache>
            </c:numRef>
          </c:xVal>
          <c:yVal>
            <c:numRef>
              <c:f>Stabilito!$C$143:$C$145</c:f>
              <c:numCache>
                <c:formatCode>0</c:formatCode>
                <c:ptCount val="3"/>
                <c:pt idx="0">
                  <c:v>-860</c:v>
                </c:pt>
                <c:pt idx="1">
                  <c:v>-952.5</c:v>
                </c:pt>
                <c:pt idx="2">
                  <c:v>-1045</c:v>
                </c:pt>
              </c:numCache>
            </c:numRef>
          </c:yVal>
          <c:smooth val="0"/>
          <c:extLst>
            <c:ext xmlns:c16="http://schemas.microsoft.com/office/drawing/2014/chart" uri="{C3380CC4-5D6E-409C-BE32-E72D297353CC}">
              <c16:uniqueId val="{00000013-F091-4909-B7A3-EF83D77F839F}"/>
            </c:ext>
          </c:extLst>
        </c:ser>
        <c:ser>
          <c:idx val="16"/>
          <c:order val="16"/>
          <c:tx>
            <c:strRef>
              <c:f>Stabilito!$B$146</c:f>
              <c:strCache>
                <c:ptCount val="1"/>
                <c:pt idx="0">
                  <c:v>Saumon</c:v>
                </c:pt>
              </c:strCache>
            </c:strRef>
          </c:tx>
          <c:spPr>
            <a:ln w="12700">
              <a:solidFill>
                <a:schemeClr val="tx1"/>
              </a:solidFill>
            </a:ln>
          </c:spPr>
          <c:marker>
            <c:symbol val="none"/>
          </c:marker>
          <c:dLbls>
            <c:dLbl>
              <c:idx val="1"/>
              <c:spPr>
                <a:noFill/>
                <a:ln w="25400">
                  <a:noFill/>
                </a:ln>
              </c:spPr>
              <c:txPr>
                <a:bodyPr/>
                <a:lstStyle/>
                <a:p>
                  <a:pPr>
                    <a:defRPr sz="600" b="0" i="0" u="none" strike="noStrike" baseline="0">
                      <a:solidFill>
                        <a:srgbClr val="000000"/>
                      </a:solidFill>
                      <a:latin typeface="Arial"/>
                      <a:ea typeface="Arial"/>
                      <a:cs typeface="Arial"/>
                    </a:defRPr>
                  </a:pPr>
                  <a:endParaRPr lang="fr-FR"/>
                </a:p>
              </c:txPr>
              <c:dLblPos val="l"/>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4-F091-4909-B7A3-EF83D77F839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Stabilito!$D$146:$D$148</c:f>
              <c:numCache>
                <c:formatCode>0</c:formatCode>
                <c:ptCount val="3"/>
                <c:pt idx="0">
                  <c:v>-253</c:v>
                </c:pt>
                <c:pt idx="1">
                  <c:v>-253</c:v>
                </c:pt>
                <c:pt idx="2">
                  <c:v>-253</c:v>
                </c:pt>
              </c:numCache>
            </c:numRef>
          </c:xVal>
          <c:yVal>
            <c:numRef>
              <c:f>Stabilito!$C$146:$C$148</c:f>
              <c:numCache>
                <c:formatCode>0</c:formatCode>
                <c:ptCount val="3"/>
                <c:pt idx="0">
                  <c:v>-1045</c:v>
                </c:pt>
                <c:pt idx="1">
                  <c:v>-1085</c:v>
                </c:pt>
                <c:pt idx="2">
                  <c:v>-1125</c:v>
                </c:pt>
              </c:numCache>
            </c:numRef>
          </c:yVal>
          <c:smooth val="0"/>
          <c:extLst>
            <c:ext xmlns:c16="http://schemas.microsoft.com/office/drawing/2014/chart" uri="{C3380CC4-5D6E-409C-BE32-E72D297353CC}">
              <c16:uniqueId val="{00000015-F091-4909-B7A3-EF83D77F839F}"/>
            </c:ext>
          </c:extLst>
        </c:ser>
        <c:ser>
          <c:idx val="17"/>
          <c:order val="17"/>
          <c:tx>
            <c:strRef>
              <c:f>Stabilito!$B$140</c:f>
              <c:strCache>
                <c:ptCount val="1"/>
                <c:pt idx="0">
                  <c:v>Emplanture</c:v>
                </c:pt>
              </c:strCache>
            </c:strRef>
          </c:tx>
          <c:spPr>
            <a:ln w="12700">
              <a:solidFill>
                <a:schemeClr val="tx1"/>
              </a:solidFill>
            </a:ln>
          </c:spPr>
          <c:marker>
            <c:symbol val="none"/>
          </c:marker>
          <c:dLbls>
            <c:dLbl>
              <c:idx val="1"/>
              <c:spPr>
                <a:noFill/>
                <a:ln w="25400">
                  <a:noFill/>
                </a:ln>
              </c:spPr>
              <c:txPr>
                <a:bodyPr/>
                <a:lstStyle/>
                <a:p>
                  <a:pPr>
                    <a:defRPr sz="600" b="0" i="0" u="none" strike="noStrike" baseline="0">
                      <a:solidFill>
                        <a:srgbClr val="000000"/>
                      </a:solidFill>
                      <a:latin typeface="Arial"/>
                      <a:ea typeface="Arial"/>
                      <a:cs typeface="Arial"/>
                    </a:defRPr>
                  </a:pPr>
                  <a:endParaRPr lang="fr-FR"/>
                </a:p>
              </c:txPr>
              <c:dLblPos val="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6-F091-4909-B7A3-EF83D77F839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Stabilito!$D$140:$D$142</c:f>
              <c:numCache>
                <c:formatCode>0</c:formatCode>
                <c:ptCount val="3"/>
                <c:pt idx="0">
                  <c:v>253</c:v>
                </c:pt>
                <c:pt idx="1">
                  <c:v>253</c:v>
                </c:pt>
                <c:pt idx="2">
                  <c:v>253</c:v>
                </c:pt>
              </c:numCache>
            </c:numRef>
          </c:xVal>
          <c:yVal>
            <c:numRef>
              <c:f>Stabilito!$C$140:$C$142</c:f>
              <c:numCache>
                <c:formatCode>0</c:formatCode>
                <c:ptCount val="3"/>
                <c:pt idx="0">
                  <c:v>-860</c:v>
                </c:pt>
                <c:pt idx="1">
                  <c:v>-965</c:v>
                </c:pt>
                <c:pt idx="2">
                  <c:v>-1070</c:v>
                </c:pt>
              </c:numCache>
            </c:numRef>
          </c:yVal>
          <c:smooth val="0"/>
          <c:extLst>
            <c:ext xmlns:c16="http://schemas.microsoft.com/office/drawing/2014/chart" uri="{C3380CC4-5D6E-409C-BE32-E72D297353CC}">
              <c16:uniqueId val="{00000017-F091-4909-B7A3-EF83D77F839F}"/>
            </c:ext>
          </c:extLst>
        </c:ser>
        <c:ser>
          <c:idx val="18"/>
          <c:order val="18"/>
          <c:tx>
            <c:strRef>
              <c:f>Stabilito!$B$155</c:f>
              <c:strCache>
                <c:ptCount val="1"/>
                <c:pt idx="0">
                  <c:v>Marge Statique</c:v>
                </c:pt>
              </c:strCache>
            </c:strRef>
          </c:tx>
          <c:spPr>
            <a:ln w="12700">
              <a:solidFill>
                <a:schemeClr val="tx1"/>
              </a:solidFill>
            </a:ln>
          </c:spPr>
          <c:marker>
            <c:symbol val="none"/>
          </c:marker>
          <c:dLbls>
            <c:dLbl>
              <c:idx val="1"/>
              <c:spPr>
                <a:noFill/>
                <a:ln w="25400">
                  <a:noFill/>
                </a:ln>
              </c:spPr>
              <c:txPr>
                <a:bodyPr/>
                <a:lstStyle/>
                <a:p>
                  <a:pPr>
                    <a:defRPr sz="600" b="0" i="0" u="none" strike="noStrike" baseline="0">
                      <a:solidFill>
                        <a:srgbClr val="000000"/>
                      </a:solidFill>
                      <a:latin typeface="Arial"/>
                      <a:ea typeface="Arial"/>
                      <a:cs typeface="Arial"/>
                    </a:defRPr>
                  </a:pPr>
                  <a:endParaRPr lang="fr-FR"/>
                </a:p>
              </c:txPr>
              <c:dLblPos val="l"/>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8-F091-4909-B7A3-EF83D77F839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Stabilito!$D$155:$D$157</c:f>
              <c:numCache>
                <c:formatCode>0</c:formatCode>
                <c:ptCount val="3"/>
                <c:pt idx="0">
                  <c:v>-253</c:v>
                </c:pt>
                <c:pt idx="1">
                  <c:v>-253</c:v>
                </c:pt>
                <c:pt idx="2">
                  <c:v>-253</c:v>
                </c:pt>
              </c:numCache>
            </c:numRef>
          </c:xVal>
          <c:yVal>
            <c:numRef>
              <c:f>Stabilito!$C$155:$C$157</c:f>
              <c:numCache>
                <c:formatCode>0</c:formatCode>
                <c:ptCount val="3"/>
                <c:pt idx="0">
                  <c:v>-493.00710649374588</c:v>
                </c:pt>
                <c:pt idx="1">
                  <c:v>-673.07446610422483</c:v>
                </c:pt>
                <c:pt idx="2">
                  <c:v>-853.14182571470383</c:v>
                </c:pt>
              </c:numCache>
            </c:numRef>
          </c:yVal>
          <c:smooth val="0"/>
          <c:extLst>
            <c:ext xmlns:c16="http://schemas.microsoft.com/office/drawing/2014/chart" uri="{C3380CC4-5D6E-409C-BE32-E72D297353CC}">
              <c16:uniqueId val="{00000019-F091-4909-B7A3-EF83D77F839F}"/>
            </c:ext>
          </c:extLst>
        </c:ser>
        <c:dLbls>
          <c:showLegendKey val="0"/>
          <c:showVal val="0"/>
          <c:showCatName val="0"/>
          <c:showSerName val="0"/>
          <c:showPercent val="0"/>
          <c:showBubbleSize val="0"/>
        </c:dLbls>
        <c:axId val="148707200"/>
        <c:axId val="148708736"/>
      </c:scatterChart>
      <c:valAx>
        <c:axId val="148707200"/>
        <c:scaling>
          <c:orientation val="minMax"/>
        </c:scaling>
        <c:delete val="0"/>
        <c:axPos val="t"/>
        <c:numFmt formatCode="0" sourceLinked="1"/>
        <c:majorTickMark val="out"/>
        <c:minorTickMark val="none"/>
        <c:tickLblPos val="nextTo"/>
        <c:spPr>
          <a:ln w="3175">
            <a:solidFill>
              <a:srgbClr val="000000"/>
            </a:solidFill>
            <a:prstDash val="solid"/>
          </a:ln>
        </c:spPr>
        <c:txPr>
          <a:bodyPr rot="0" vert="horz"/>
          <a:lstStyle/>
          <a:p>
            <a:pPr>
              <a:defRPr sz="500" b="0" i="0" u="none" strike="noStrike" baseline="0">
                <a:solidFill>
                  <a:srgbClr val="000000"/>
                </a:solidFill>
                <a:latin typeface="Arial"/>
                <a:ea typeface="Arial"/>
                <a:cs typeface="Arial"/>
              </a:defRPr>
            </a:pPr>
            <a:endParaRPr lang="fr-FR"/>
          </a:p>
        </c:txPr>
        <c:crossAx val="148708736"/>
        <c:crosses val="max"/>
        <c:crossBetween val="midCat"/>
      </c:valAx>
      <c:valAx>
        <c:axId val="148708736"/>
        <c:scaling>
          <c:orientation val="minMax"/>
        </c:scaling>
        <c:delete val="0"/>
        <c:axPos val="r"/>
        <c:numFmt formatCode="0" sourceLinked="1"/>
        <c:majorTickMark val="out"/>
        <c:minorTickMark val="none"/>
        <c:tickLblPos val="nextTo"/>
        <c:spPr>
          <a:ln w="3175">
            <a:solidFill>
              <a:srgbClr val="000000"/>
            </a:solidFill>
            <a:prstDash val="solid"/>
          </a:ln>
        </c:spPr>
        <c:txPr>
          <a:bodyPr rot="0" vert="horz"/>
          <a:lstStyle/>
          <a:p>
            <a:pPr>
              <a:defRPr sz="500" b="0" i="0" u="none" strike="noStrike" baseline="0">
                <a:solidFill>
                  <a:srgbClr val="000000"/>
                </a:solidFill>
                <a:latin typeface="Arial"/>
                <a:ea typeface="Arial"/>
                <a:cs typeface="Arial"/>
              </a:defRPr>
            </a:pPr>
            <a:endParaRPr lang="fr-FR"/>
          </a:p>
        </c:txPr>
        <c:crossAx val="148707200"/>
        <c:crosses val="max"/>
        <c:crossBetween val="midCat"/>
      </c:valAx>
      <c:spPr>
        <a:noFill/>
        <a:ln w="25400">
          <a:noFill/>
        </a:ln>
      </c:spPr>
    </c:plotArea>
    <c:plotVisOnly val="1"/>
    <c:dispBlanksAs val="gap"/>
    <c:showDLblsOverMax val="0"/>
  </c:chart>
  <c:spPr>
    <a:solidFill>
      <a:srgbClr val="FFFFFF"/>
    </a:solidFill>
    <a:ln w="3175">
      <a:solidFill>
        <a:srgbClr val="000000"/>
      </a:solidFill>
      <a:prstDash val="solid"/>
    </a:ln>
  </c:spPr>
  <c:txPr>
    <a:bodyPr/>
    <a:lstStyle/>
    <a:p>
      <a:pPr>
        <a:defRPr sz="475"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49212598450000095" footer="0.49212598450000095"/>
    <c:pageSetup paperSize="9" orientation="landscape"/>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Stabilito!$B$117</c:f>
          <c:strCache>
            <c:ptCount val="1"/>
            <c:pt idx="0">
              <c:v>Diagramme des critères de stabilité</c:v>
            </c:pt>
          </c:strCache>
        </c:strRef>
      </c:tx>
      <c:layout>
        <c:manualLayout>
          <c:xMode val="edge"/>
          <c:yMode val="edge"/>
          <c:x val="0.19620910443519407"/>
          <c:y val="8.0214173228346466E-2"/>
        </c:manualLayout>
      </c:layout>
      <c:overlay val="0"/>
      <c:spPr>
        <a:solidFill>
          <a:srgbClr val="FFFFFF"/>
        </a:solidFill>
        <a:ln w="25400">
          <a:noFill/>
        </a:ln>
      </c:spPr>
      <c:txPr>
        <a:bodyPr/>
        <a:lstStyle/>
        <a:p>
          <a:pPr>
            <a:defRPr sz="1000" b="0" i="0" u="none" strike="noStrike" baseline="0">
              <a:solidFill>
                <a:srgbClr val="000000"/>
              </a:solidFill>
              <a:latin typeface="Calibri"/>
              <a:ea typeface="Calibri"/>
              <a:cs typeface="Calibri"/>
            </a:defRPr>
          </a:pPr>
          <a:endParaRPr lang="fr-FR"/>
        </a:p>
      </c:txPr>
    </c:title>
    <c:autoTitleDeleted val="0"/>
    <c:plotArea>
      <c:layout>
        <c:manualLayout>
          <c:layoutTarget val="inner"/>
          <c:xMode val="edge"/>
          <c:yMode val="edge"/>
          <c:x val="4.5092838196286504E-2"/>
          <c:y val="5.8823683008029475E-2"/>
          <c:w val="0.93899204244031864"/>
          <c:h val="0.82887916965859743"/>
        </c:manualLayout>
      </c:layout>
      <c:scatterChart>
        <c:scatterStyle val="smoothMarker"/>
        <c:varyColors val="0"/>
        <c:ser>
          <c:idx val="0"/>
          <c:order val="0"/>
          <c:tx>
            <c:v>Cna min</c:v>
          </c:tx>
          <c:spPr>
            <a:ln w="12700">
              <a:solidFill>
                <a:srgbClr val="FF0000"/>
              </a:solidFill>
              <a:prstDash val="solid"/>
            </a:ln>
          </c:spPr>
          <c:marker>
            <c:symbol val="none"/>
          </c:marker>
          <c:xVal>
            <c:numRef>
              <c:f>Stabilito!$B$182:$B$183</c:f>
              <c:numCache>
                <c:formatCode>General</c:formatCode>
                <c:ptCount val="2"/>
                <c:pt idx="0">
                  <c:v>0</c:v>
                </c:pt>
                <c:pt idx="1">
                  <c:v>7</c:v>
                </c:pt>
              </c:numCache>
            </c:numRef>
          </c:xVal>
          <c:yVal>
            <c:numRef>
              <c:f>Stabilito!$C$182:$C$183</c:f>
              <c:numCache>
                <c:formatCode>General</c:formatCode>
                <c:ptCount val="2"/>
                <c:pt idx="0">
                  <c:v>15</c:v>
                </c:pt>
                <c:pt idx="1">
                  <c:v>15</c:v>
                </c:pt>
              </c:numCache>
            </c:numRef>
          </c:yVal>
          <c:smooth val="1"/>
          <c:extLst>
            <c:ext xmlns:c16="http://schemas.microsoft.com/office/drawing/2014/chart" uri="{C3380CC4-5D6E-409C-BE32-E72D297353CC}">
              <c16:uniqueId val="{00000000-DD97-4068-951F-4990D529CDCA}"/>
            </c:ext>
          </c:extLst>
        </c:ser>
        <c:ser>
          <c:idx val="1"/>
          <c:order val="1"/>
          <c:tx>
            <c:v>Cna max</c:v>
          </c:tx>
          <c:spPr>
            <a:ln w="12700">
              <a:solidFill>
                <a:srgbClr val="FF0000"/>
              </a:solidFill>
              <a:prstDash val="solid"/>
            </a:ln>
          </c:spPr>
          <c:marker>
            <c:symbol val="none"/>
          </c:marker>
          <c:xVal>
            <c:numRef>
              <c:f>Stabilito!$B$184:$B$185</c:f>
              <c:numCache>
                <c:formatCode>General</c:formatCode>
                <c:ptCount val="2"/>
                <c:pt idx="0">
                  <c:v>0</c:v>
                </c:pt>
                <c:pt idx="1">
                  <c:v>7</c:v>
                </c:pt>
              </c:numCache>
            </c:numRef>
          </c:xVal>
          <c:yVal>
            <c:numRef>
              <c:f>Stabilito!$C$184:$C$185</c:f>
              <c:numCache>
                <c:formatCode>General</c:formatCode>
                <c:ptCount val="2"/>
                <c:pt idx="0">
                  <c:v>40</c:v>
                </c:pt>
                <c:pt idx="1">
                  <c:v>40</c:v>
                </c:pt>
              </c:numCache>
            </c:numRef>
          </c:yVal>
          <c:smooth val="1"/>
          <c:extLst>
            <c:ext xmlns:c16="http://schemas.microsoft.com/office/drawing/2014/chart" uri="{C3380CC4-5D6E-409C-BE32-E72D297353CC}">
              <c16:uniqueId val="{00000001-DD97-4068-951F-4990D529CDCA}"/>
            </c:ext>
          </c:extLst>
        </c:ser>
        <c:ser>
          <c:idx val="2"/>
          <c:order val="2"/>
          <c:tx>
            <c:v>MS min</c:v>
          </c:tx>
          <c:spPr>
            <a:ln w="12700">
              <a:solidFill>
                <a:srgbClr val="FF0000"/>
              </a:solidFill>
              <a:prstDash val="solid"/>
            </a:ln>
          </c:spPr>
          <c:marker>
            <c:symbol val="none"/>
          </c:marker>
          <c:xVal>
            <c:numRef>
              <c:f>Stabilito!$B$186:$B$187</c:f>
              <c:numCache>
                <c:formatCode>General</c:formatCode>
                <c:ptCount val="2"/>
                <c:pt idx="0">
                  <c:v>2</c:v>
                </c:pt>
                <c:pt idx="1">
                  <c:v>2</c:v>
                </c:pt>
              </c:numCache>
            </c:numRef>
          </c:xVal>
          <c:yVal>
            <c:numRef>
              <c:f>Stabilito!$C$186:$C$187</c:f>
              <c:numCache>
                <c:formatCode>General</c:formatCode>
                <c:ptCount val="2"/>
                <c:pt idx="0">
                  <c:v>0</c:v>
                </c:pt>
                <c:pt idx="1">
                  <c:v>55</c:v>
                </c:pt>
              </c:numCache>
            </c:numRef>
          </c:yVal>
          <c:smooth val="1"/>
          <c:extLst>
            <c:ext xmlns:c16="http://schemas.microsoft.com/office/drawing/2014/chart" uri="{C3380CC4-5D6E-409C-BE32-E72D297353CC}">
              <c16:uniqueId val="{00000002-DD97-4068-951F-4990D529CDCA}"/>
            </c:ext>
          </c:extLst>
        </c:ser>
        <c:ser>
          <c:idx val="3"/>
          <c:order val="3"/>
          <c:tx>
            <c:v>MS max</c:v>
          </c:tx>
          <c:spPr>
            <a:ln w="12700">
              <a:solidFill>
                <a:srgbClr val="FF0000"/>
              </a:solidFill>
              <a:prstDash val="solid"/>
            </a:ln>
          </c:spPr>
          <c:marker>
            <c:symbol val="none"/>
          </c:marker>
          <c:xVal>
            <c:numRef>
              <c:f>Stabilito!$B$188:$B$189</c:f>
              <c:numCache>
                <c:formatCode>General</c:formatCode>
                <c:ptCount val="2"/>
                <c:pt idx="0">
                  <c:v>6</c:v>
                </c:pt>
                <c:pt idx="1">
                  <c:v>6</c:v>
                </c:pt>
              </c:numCache>
            </c:numRef>
          </c:xVal>
          <c:yVal>
            <c:numRef>
              <c:f>Stabilito!$C$188:$C$189</c:f>
              <c:numCache>
                <c:formatCode>General</c:formatCode>
                <c:ptCount val="2"/>
                <c:pt idx="0">
                  <c:v>0</c:v>
                </c:pt>
                <c:pt idx="1">
                  <c:v>55</c:v>
                </c:pt>
              </c:numCache>
            </c:numRef>
          </c:yVal>
          <c:smooth val="1"/>
          <c:extLst>
            <c:ext xmlns:c16="http://schemas.microsoft.com/office/drawing/2014/chart" uri="{C3380CC4-5D6E-409C-BE32-E72D297353CC}">
              <c16:uniqueId val="{00000003-DD97-4068-951F-4990D529CDCA}"/>
            </c:ext>
          </c:extLst>
        </c:ser>
        <c:ser>
          <c:idx val="5"/>
          <c:order val="6"/>
          <c:tx>
            <c:v>MS*Cna min</c:v>
          </c:tx>
          <c:spPr>
            <a:ln w="12700">
              <a:solidFill>
                <a:srgbClr val="FF0000"/>
              </a:solidFill>
              <a:prstDash val="solid"/>
            </a:ln>
          </c:spPr>
          <c:marker>
            <c:symbol val="none"/>
          </c:marker>
          <c:xVal>
            <c:numRef>
              <c:f>Stabilito!$D$182:$D$187</c:f>
              <c:numCache>
                <c:formatCode>General</c:formatCode>
                <c:ptCount val="6"/>
                <c:pt idx="0">
                  <c:v>0.5</c:v>
                </c:pt>
                <c:pt idx="1">
                  <c:v>1</c:v>
                </c:pt>
                <c:pt idx="2">
                  <c:v>2</c:v>
                </c:pt>
                <c:pt idx="3">
                  <c:v>3</c:v>
                </c:pt>
                <c:pt idx="4">
                  <c:v>5</c:v>
                </c:pt>
                <c:pt idx="5">
                  <c:v>7</c:v>
                </c:pt>
              </c:numCache>
            </c:numRef>
          </c:xVal>
          <c:yVal>
            <c:numRef>
              <c:f>Stabilito!$E$182:$E$187</c:f>
              <c:numCache>
                <c:formatCode>General</c:formatCode>
                <c:ptCount val="6"/>
                <c:pt idx="0">
                  <c:v>80</c:v>
                </c:pt>
                <c:pt idx="1">
                  <c:v>40</c:v>
                </c:pt>
                <c:pt idx="2">
                  <c:v>20</c:v>
                </c:pt>
                <c:pt idx="3">
                  <c:v>13.333333333333334</c:v>
                </c:pt>
                <c:pt idx="4">
                  <c:v>8</c:v>
                </c:pt>
                <c:pt idx="5">
                  <c:v>5.7142857142857144</c:v>
                </c:pt>
              </c:numCache>
            </c:numRef>
          </c:yVal>
          <c:smooth val="1"/>
          <c:extLst>
            <c:ext xmlns:c16="http://schemas.microsoft.com/office/drawing/2014/chart" uri="{C3380CC4-5D6E-409C-BE32-E72D297353CC}">
              <c16:uniqueId val="{00000004-DD97-4068-951F-4990D529CDCA}"/>
            </c:ext>
          </c:extLst>
        </c:ser>
        <c:ser>
          <c:idx val="6"/>
          <c:order val="7"/>
          <c:tx>
            <c:v>MS*Cna max</c:v>
          </c:tx>
          <c:spPr>
            <a:ln w="12700">
              <a:solidFill>
                <a:srgbClr val="FF0000"/>
              </a:solidFill>
              <a:prstDash val="solid"/>
            </a:ln>
          </c:spPr>
          <c:marker>
            <c:symbol val="none"/>
          </c:marker>
          <c:xVal>
            <c:numRef>
              <c:f>Stabilito!$D$188:$D$193</c:f>
              <c:numCache>
                <c:formatCode>General</c:formatCode>
                <c:ptCount val="6"/>
                <c:pt idx="0">
                  <c:v>1</c:v>
                </c:pt>
                <c:pt idx="1">
                  <c:v>2</c:v>
                </c:pt>
                <c:pt idx="2">
                  <c:v>3</c:v>
                </c:pt>
                <c:pt idx="3">
                  <c:v>4</c:v>
                </c:pt>
                <c:pt idx="4">
                  <c:v>6</c:v>
                </c:pt>
                <c:pt idx="5">
                  <c:v>7</c:v>
                </c:pt>
              </c:numCache>
            </c:numRef>
          </c:xVal>
          <c:yVal>
            <c:numRef>
              <c:f>Stabilito!$E$188:$E$193</c:f>
              <c:numCache>
                <c:formatCode>General</c:formatCode>
                <c:ptCount val="6"/>
                <c:pt idx="0">
                  <c:v>100</c:v>
                </c:pt>
                <c:pt idx="1">
                  <c:v>50</c:v>
                </c:pt>
                <c:pt idx="2">
                  <c:v>33.333333333333336</c:v>
                </c:pt>
                <c:pt idx="3">
                  <c:v>25</c:v>
                </c:pt>
                <c:pt idx="4">
                  <c:v>16.666666666666668</c:v>
                </c:pt>
                <c:pt idx="5">
                  <c:v>14.285714285714286</c:v>
                </c:pt>
              </c:numCache>
            </c:numRef>
          </c:yVal>
          <c:smooth val="1"/>
          <c:extLst>
            <c:ext xmlns:c16="http://schemas.microsoft.com/office/drawing/2014/chart" uri="{C3380CC4-5D6E-409C-BE32-E72D297353CC}">
              <c16:uniqueId val="{00000005-DD97-4068-951F-4990D529CDCA}"/>
            </c:ext>
          </c:extLst>
        </c:ser>
        <c:ser>
          <c:idx val="7"/>
          <c:order val="8"/>
          <c:tx>
            <c:v>Cna moy</c:v>
          </c:tx>
          <c:spPr>
            <a:ln w="12700">
              <a:solidFill>
                <a:srgbClr val="FF0000"/>
              </a:solidFill>
              <a:prstDash val="solid"/>
            </a:ln>
          </c:spPr>
          <c:marker>
            <c:symbol val="none"/>
          </c:marker>
          <c:xVal>
            <c:numRef>
              <c:f>Stabilito!$B$195:$B$196</c:f>
              <c:numCache>
                <c:formatCode>General</c:formatCode>
                <c:ptCount val="2"/>
                <c:pt idx="0">
                  <c:v>0</c:v>
                </c:pt>
                <c:pt idx="1">
                  <c:v>2</c:v>
                </c:pt>
              </c:numCache>
            </c:numRef>
          </c:xVal>
          <c:yVal>
            <c:numRef>
              <c:f>Stabilito!$C$195:$C$196</c:f>
              <c:numCache>
                <c:formatCode>General</c:formatCode>
                <c:ptCount val="2"/>
                <c:pt idx="0">
                  <c:v>27.5</c:v>
                </c:pt>
                <c:pt idx="1">
                  <c:v>27.5</c:v>
                </c:pt>
              </c:numCache>
            </c:numRef>
          </c:yVal>
          <c:smooth val="1"/>
          <c:extLst>
            <c:ext xmlns:c16="http://schemas.microsoft.com/office/drawing/2014/chart" uri="{C3380CC4-5D6E-409C-BE32-E72D297353CC}">
              <c16:uniqueId val="{00000006-DD97-4068-951F-4990D529CDCA}"/>
            </c:ext>
          </c:extLst>
        </c:ser>
        <c:ser>
          <c:idx val="8"/>
          <c:order val="9"/>
          <c:tx>
            <c:v>Cna moy2</c:v>
          </c:tx>
          <c:spPr>
            <a:ln w="12700">
              <a:solidFill>
                <a:srgbClr val="FF0000"/>
              </a:solidFill>
              <a:prstDash val="solid"/>
            </a:ln>
          </c:spPr>
          <c:marker>
            <c:symbol val="none"/>
          </c:marker>
          <c:xVal>
            <c:numRef>
              <c:f>Stabilito!$B$197:$B$198</c:f>
              <c:numCache>
                <c:formatCode>General</c:formatCode>
                <c:ptCount val="2"/>
                <c:pt idx="0">
                  <c:v>3.6363636363636362</c:v>
                </c:pt>
                <c:pt idx="1">
                  <c:v>7</c:v>
                </c:pt>
              </c:numCache>
            </c:numRef>
          </c:xVal>
          <c:yVal>
            <c:numRef>
              <c:f>Stabilito!$C$197:$C$198</c:f>
              <c:numCache>
                <c:formatCode>General</c:formatCode>
                <c:ptCount val="2"/>
                <c:pt idx="0">
                  <c:v>27.5</c:v>
                </c:pt>
                <c:pt idx="1">
                  <c:v>27.5</c:v>
                </c:pt>
              </c:numCache>
            </c:numRef>
          </c:yVal>
          <c:smooth val="1"/>
          <c:extLst>
            <c:ext xmlns:c16="http://schemas.microsoft.com/office/drawing/2014/chart" uri="{C3380CC4-5D6E-409C-BE32-E72D297353CC}">
              <c16:uniqueId val="{00000007-DD97-4068-951F-4990D529CDCA}"/>
            </c:ext>
          </c:extLst>
        </c:ser>
        <c:ser>
          <c:idx val="9"/>
          <c:order val="10"/>
          <c:tx>
            <c:v>MS moy</c:v>
          </c:tx>
          <c:spPr>
            <a:ln w="12700">
              <a:solidFill>
                <a:srgbClr val="FF0000"/>
              </a:solidFill>
              <a:prstDash val="solid"/>
            </a:ln>
          </c:spPr>
          <c:marker>
            <c:symbol val="none"/>
          </c:marker>
          <c:xVal>
            <c:numRef>
              <c:f>Stabilito!$B$199:$B$200</c:f>
              <c:numCache>
                <c:formatCode>General</c:formatCode>
                <c:ptCount val="2"/>
                <c:pt idx="0">
                  <c:v>4</c:v>
                </c:pt>
                <c:pt idx="1">
                  <c:v>4</c:v>
                </c:pt>
              </c:numCache>
            </c:numRef>
          </c:xVal>
          <c:yVal>
            <c:numRef>
              <c:f>Stabilito!$C$199:$C$200</c:f>
              <c:numCache>
                <c:formatCode>General</c:formatCode>
                <c:ptCount val="2"/>
                <c:pt idx="0">
                  <c:v>0</c:v>
                </c:pt>
                <c:pt idx="1">
                  <c:v>15</c:v>
                </c:pt>
              </c:numCache>
            </c:numRef>
          </c:yVal>
          <c:smooth val="1"/>
          <c:extLst>
            <c:ext xmlns:c16="http://schemas.microsoft.com/office/drawing/2014/chart" uri="{C3380CC4-5D6E-409C-BE32-E72D297353CC}">
              <c16:uniqueId val="{00000008-DD97-4068-951F-4990D529CDCA}"/>
            </c:ext>
          </c:extLst>
        </c:ser>
        <c:ser>
          <c:idx val="10"/>
          <c:order val="11"/>
          <c:tx>
            <c:v>MS moy2</c:v>
          </c:tx>
          <c:spPr>
            <a:ln w="12700">
              <a:solidFill>
                <a:srgbClr val="FF0000"/>
              </a:solidFill>
              <a:prstDash val="solid"/>
            </a:ln>
          </c:spPr>
          <c:marker>
            <c:symbol val="none"/>
          </c:marker>
          <c:xVal>
            <c:numRef>
              <c:f>Stabilito!$B$201:$B$202</c:f>
              <c:numCache>
                <c:formatCode>General</c:formatCode>
                <c:ptCount val="2"/>
                <c:pt idx="0">
                  <c:v>4</c:v>
                </c:pt>
                <c:pt idx="1">
                  <c:v>4</c:v>
                </c:pt>
              </c:numCache>
            </c:numRef>
          </c:xVal>
          <c:yVal>
            <c:numRef>
              <c:f>Stabilito!$C$201:$C$202</c:f>
              <c:numCache>
                <c:formatCode>General</c:formatCode>
                <c:ptCount val="2"/>
                <c:pt idx="0">
                  <c:v>25</c:v>
                </c:pt>
                <c:pt idx="1">
                  <c:v>55</c:v>
                </c:pt>
              </c:numCache>
            </c:numRef>
          </c:yVal>
          <c:smooth val="1"/>
          <c:extLst>
            <c:ext xmlns:c16="http://schemas.microsoft.com/office/drawing/2014/chart" uri="{C3380CC4-5D6E-409C-BE32-E72D297353CC}">
              <c16:uniqueId val="{00000009-DD97-4068-951F-4990D529CDCA}"/>
            </c:ext>
          </c:extLst>
        </c:ser>
        <c:dLbls>
          <c:showLegendKey val="0"/>
          <c:showVal val="0"/>
          <c:showCatName val="0"/>
          <c:showSerName val="0"/>
          <c:showPercent val="0"/>
          <c:showBubbleSize val="0"/>
        </c:dLbls>
        <c:axId val="148471168"/>
        <c:axId val="148481536"/>
      </c:scatterChart>
      <c:scatterChart>
        <c:scatterStyle val="lineMarker"/>
        <c:varyColors val="0"/>
        <c:ser>
          <c:idx val="4"/>
          <c:order val="4"/>
          <c:tx>
            <c:v>Fusée en cours</c:v>
          </c:tx>
          <c:spPr>
            <a:ln w="25400">
              <a:solidFill>
                <a:schemeClr val="tx1"/>
              </a:solidFill>
            </a:ln>
          </c:spPr>
          <c:marker>
            <c:symbol val="diamond"/>
            <c:size val="7"/>
            <c:spPr>
              <a:solidFill>
                <a:schemeClr val="tx1"/>
              </a:solidFill>
              <a:ln>
                <a:noFill/>
              </a:ln>
            </c:spPr>
          </c:marker>
          <c:xVal>
            <c:numRef>
              <c:f>Stabilito!$B$190:$B$193</c:f>
              <c:numCache>
                <c:formatCode>0.00</c:formatCode>
                <c:ptCount val="4"/>
                <c:pt idx="0">
                  <c:v>3.4627655069924241</c:v>
                </c:pt>
                <c:pt idx="1">
                  <c:v>3.4627655069924241</c:v>
                </c:pt>
                <c:pt idx="2">
                  <c:v>3.46290217033369</c:v>
                </c:pt>
                <c:pt idx="3">
                  <c:v>3.46290217033369</c:v>
                </c:pt>
              </c:numCache>
            </c:numRef>
          </c:xVal>
          <c:yVal>
            <c:numRef>
              <c:f>Stabilito!$C$190:$C$193</c:f>
              <c:numCache>
                <c:formatCode>0.00</c:formatCode>
                <c:ptCount val="4"/>
                <c:pt idx="0">
                  <c:v>16.203642049332345</c:v>
                </c:pt>
                <c:pt idx="1">
                  <c:v>16.203642049332345</c:v>
                </c:pt>
                <c:pt idx="2">
                  <c:v>16.203642049332345</c:v>
                </c:pt>
                <c:pt idx="3">
                  <c:v>16.203642049332345</c:v>
                </c:pt>
              </c:numCache>
            </c:numRef>
          </c:yVal>
          <c:smooth val="0"/>
          <c:extLst>
            <c:ext xmlns:c16="http://schemas.microsoft.com/office/drawing/2014/chart" uri="{C3380CC4-5D6E-409C-BE32-E72D297353CC}">
              <c16:uniqueId val="{0000000A-DD97-4068-951F-4990D529CDCA}"/>
            </c:ext>
          </c:extLst>
        </c:ser>
        <c:ser>
          <c:idx val="11"/>
          <c:order val="5"/>
          <c:tx>
            <c:v>Fusée en cours0</c:v>
          </c:tx>
          <c:spPr>
            <a:ln w="25400">
              <a:solidFill>
                <a:schemeClr val="tx1"/>
              </a:solidFill>
            </a:ln>
          </c:spPr>
          <c:marker>
            <c:symbol val="none"/>
          </c:marker>
          <c:xVal>
            <c:numRef>
              <c:f>Stabilito!$B$193:$B$194</c:f>
              <c:numCache>
                <c:formatCode>0.00</c:formatCode>
                <c:ptCount val="2"/>
                <c:pt idx="0">
                  <c:v>3.46290217033369</c:v>
                </c:pt>
                <c:pt idx="1">
                  <c:v>3.4627655069924241</c:v>
                </c:pt>
              </c:numCache>
            </c:numRef>
          </c:xVal>
          <c:yVal>
            <c:numRef>
              <c:f>Stabilito!$C$193:$C$194</c:f>
              <c:numCache>
                <c:formatCode>0.00</c:formatCode>
                <c:ptCount val="2"/>
                <c:pt idx="0">
                  <c:v>16.203642049332345</c:v>
                </c:pt>
                <c:pt idx="1">
                  <c:v>16.203642049332345</c:v>
                </c:pt>
              </c:numCache>
            </c:numRef>
          </c:yVal>
          <c:smooth val="0"/>
          <c:extLst>
            <c:ext xmlns:c16="http://schemas.microsoft.com/office/drawing/2014/chart" uri="{C3380CC4-5D6E-409C-BE32-E72D297353CC}">
              <c16:uniqueId val="{0000000B-DD97-4068-951F-4990D529CDCA}"/>
            </c:ext>
          </c:extLst>
        </c:ser>
        <c:ser>
          <c:idx val="12"/>
          <c:order val="12"/>
          <c:tx>
            <c:strRef>
              <c:f>Stabilito!$U$29</c:f>
              <c:strCache>
                <c:ptCount val="1"/>
                <c:pt idx="0">
                  <c:v>OpenRocket</c:v>
                </c:pt>
              </c:strCache>
            </c:strRef>
          </c:tx>
          <c:xVal>
            <c:numRef>
              <c:f>Stabilito!$U$31:$U$32</c:f>
              <c:numCache>
                <c:formatCode>General</c:formatCode>
                <c:ptCount val="2"/>
                <c:pt idx="0">
                  <c:v>4.0199999999999996</c:v>
                </c:pt>
                <c:pt idx="1">
                  <c:v>3.89</c:v>
                </c:pt>
              </c:numCache>
            </c:numRef>
          </c:xVal>
          <c:yVal>
            <c:numRef>
              <c:f>Stabilito!$V$31:$V$32</c:f>
              <c:numCache>
                <c:formatCode>General</c:formatCode>
                <c:ptCount val="2"/>
                <c:pt idx="0">
                  <c:v>14.656000000000001</c:v>
                </c:pt>
                <c:pt idx="1">
                  <c:v>14.656000000000001</c:v>
                </c:pt>
              </c:numCache>
            </c:numRef>
          </c:yVal>
          <c:smooth val="0"/>
          <c:extLst>
            <c:ext xmlns:c16="http://schemas.microsoft.com/office/drawing/2014/chart" uri="{C3380CC4-5D6E-409C-BE32-E72D297353CC}">
              <c16:uniqueId val="{00000002-E137-474A-8196-CBD1A34BCA24}"/>
            </c:ext>
          </c:extLst>
        </c:ser>
        <c:dLbls>
          <c:showLegendKey val="0"/>
          <c:showVal val="0"/>
          <c:showCatName val="0"/>
          <c:showSerName val="0"/>
          <c:showPercent val="0"/>
          <c:showBubbleSize val="0"/>
        </c:dLbls>
        <c:axId val="148471168"/>
        <c:axId val="148481536"/>
      </c:scatterChart>
      <c:valAx>
        <c:axId val="148471168"/>
        <c:scaling>
          <c:orientation val="minMax"/>
          <c:max val="7"/>
          <c:min val="0"/>
        </c:scaling>
        <c:delete val="0"/>
        <c:axPos val="b"/>
        <c:title>
          <c:tx>
            <c:strRef>
              <c:f>Stabilito!$B$118</c:f>
              <c:strCache>
                <c:ptCount val="1"/>
                <c:pt idx="0">
                  <c:v>Marge Statique (MS)</c:v>
                </c:pt>
              </c:strCache>
            </c:strRef>
          </c:tx>
          <c:layout>
            <c:manualLayout>
              <c:xMode val="edge"/>
              <c:yMode val="edge"/>
              <c:x val="0.51717271009913568"/>
              <c:y val="0.73094047244094495"/>
            </c:manualLayout>
          </c:layout>
          <c:overlay val="0"/>
          <c:spPr>
            <a:solidFill>
              <a:srgbClr val="FFFFFF"/>
            </a:solidFill>
            <a:ln w="25400">
              <a:noFill/>
            </a:ln>
          </c:spPr>
          <c:txPr>
            <a:bodyPr/>
            <a:lstStyle/>
            <a:p>
              <a:pPr>
                <a:defRPr sz="1000" b="0" i="0" u="none" strike="noStrike" baseline="0">
                  <a:solidFill>
                    <a:srgbClr val="000000"/>
                  </a:solidFill>
                  <a:latin typeface="Calibri"/>
                  <a:ea typeface="Calibri"/>
                  <a:cs typeface="Calibri"/>
                </a:defRPr>
              </a:pPr>
              <a:endParaRPr lang="fr-FR"/>
            </a:p>
          </c:txPr>
        </c:title>
        <c:numFmt formatCode="General" sourceLinked="1"/>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fr-FR"/>
          </a:p>
        </c:txPr>
        <c:crossAx val="148481536"/>
        <c:crosses val="autoZero"/>
        <c:crossBetween val="midCat"/>
      </c:valAx>
      <c:valAx>
        <c:axId val="148481536"/>
        <c:scaling>
          <c:orientation val="minMax"/>
          <c:max val="55"/>
          <c:min val="0"/>
        </c:scaling>
        <c:delete val="0"/>
        <c:axPos val="l"/>
        <c:title>
          <c:tx>
            <c:strRef>
              <c:f>Stabilito!$B$119</c:f>
              <c:strCache>
                <c:ptCount val="1"/>
                <c:pt idx="0">
                  <c:v>Portance Cnα</c:v>
                </c:pt>
              </c:strCache>
            </c:strRef>
          </c:tx>
          <c:layout>
            <c:manualLayout>
              <c:xMode val="edge"/>
              <c:yMode val="edge"/>
              <c:x val="6.9119481083972797E-2"/>
              <c:y val="0.24099905511811029"/>
            </c:manualLayout>
          </c:layout>
          <c:overlay val="0"/>
          <c:spPr>
            <a:solidFill>
              <a:srgbClr val="FFFFFF"/>
            </a:solidFill>
            <a:ln w="25400">
              <a:noFill/>
            </a:ln>
          </c:spPr>
          <c:txPr>
            <a:bodyPr/>
            <a:lstStyle/>
            <a:p>
              <a:pPr>
                <a:defRPr sz="1000" b="0" i="0" u="none" strike="noStrike" baseline="0">
                  <a:solidFill>
                    <a:srgbClr val="000000"/>
                  </a:solidFill>
                  <a:latin typeface="Calibri"/>
                  <a:ea typeface="Calibri"/>
                  <a:cs typeface="Calibri"/>
                </a:defRPr>
              </a:pPr>
              <a:endParaRPr lang="fr-FR"/>
            </a:p>
          </c:txPr>
        </c:title>
        <c:numFmt formatCode="General" sourceLinked="1"/>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fr-FR"/>
          </a:p>
        </c:txPr>
        <c:crossAx val="148471168"/>
        <c:crosses val="autoZero"/>
        <c:crossBetween val="midCat"/>
      </c:valAx>
      <c:spPr>
        <a:no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475"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49212598450000095" footer="0.49212598450000095"/>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Trajecto!$B$111</c:f>
          <c:strCache>
            <c:ptCount val="1"/>
            <c:pt idx="0">
              <c:v>Trajectoire (x z)</c:v>
            </c:pt>
          </c:strCache>
        </c:strRef>
      </c:tx>
      <c:layout>
        <c:manualLayout>
          <c:xMode val="edge"/>
          <c:yMode val="edge"/>
          <c:x val="0.66868786671936287"/>
          <c:y val="3.8575744069727136E-2"/>
        </c:manualLayout>
      </c:layout>
      <c:overlay val="0"/>
      <c:spPr>
        <a:noFill/>
        <a:ln w="25400">
          <a:noFill/>
        </a:ln>
      </c:spPr>
      <c:txPr>
        <a:bodyPr/>
        <a:lstStyle/>
        <a:p>
          <a:pPr>
            <a:defRPr sz="800" b="1" i="0" u="none" strike="noStrike" baseline="0">
              <a:solidFill>
                <a:srgbClr val="0000FF"/>
              </a:solidFill>
              <a:latin typeface="Arial"/>
              <a:ea typeface="Arial"/>
              <a:cs typeface="Arial"/>
            </a:defRPr>
          </a:pPr>
          <a:endParaRPr lang="fr-FR"/>
        </a:p>
      </c:txPr>
    </c:title>
    <c:autoTitleDeleted val="0"/>
    <c:plotArea>
      <c:layout>
        <c:manualLayout>
          <c:layoutTarget val="inner"/>
          <c:xMode val="edge"/>
          <c:yMode val="edge"/>
          <c:x val="6.9697175950449913E-2"/>
          <c:y val="3.5608360198500402E-2"/>
          <c:w val="0.89697235136230857"/>
          <c:h val="0.89614373166225958"/>
        </c:manualLayout>
      </c:layout>
      <c:scatterChart>
        <c:scatterStyle val="lineMarker"/>
        <c:varyColors val="0"/>
        <c:ser>
          <c:idx val="0"/>
          <c:order val="0"/>
          <c:tx>
            <c:v>Point invisible pour mise à l'echelle</c:v>
          </c:tx>
          <c:spPr>
            <a:ln w="3175">
              <a:solidFill>
                <a:srgbClr val="99CCFF"/>
              </a:solidFill>
              <a:prstDash val="solid"/>
            </a:ln>
          </c:spPr>
          <c:marker>
            <c:symbol val="none"/>
          </c:marker>
          <c:xVal>
            <c:numRef>
              <c:f>Trajecto!$B$121</c:f>
              <c:numCache>
                <c:formatCode>0</c:formatCode>
                <c:ptCount val="1"/>
                <c:pt idx="0">
                  <c:v>1190.5018925981813</c:v>
                </c:pt>
              </c:numCache>
            </c:numRef>
          </c:xVal>
          <c:yVal>
            <c:numRef>
              <c:f>Trajecto!$C$121</c:f>
              <c:numCache>
                <c:formatCode>0</c:formatCode>
                <c:ptCount val="1"/>
                <c:pt idx="0">
                  <c:v>1190.5018925981813</c:v>
                </c:pt>
              </c:numCache>
            </c:numRef>
          </c:yVal>
          <c:smooth val="1"/>
          <c:extLst>
            <c:ext xmlns:c16="http://schemas.microsoft.com/office/drawing/2014/chart" uri="{C3380CC4-5D6E-409C-BE32-E72D297353CC}">
              <c16:uniqueId val="{00000000-432A-49A9-9499-7ED3E32DDB07}"/>
            </c:ext>
          </c:extLst>
        </c:ser>
        <c:ser>
          <c:idx val="1"/>
          <c:order val="1"/>
          <c:tx>
            <c:v>1 point par seconde</c:v>
          </c:tx>
          <c:spPr>
            <a:ln w="28575">
              <a:noFill/>
            </a:ln>
          </c:spPr>
          <c:marker>
            <c:symbol val="plus"/>
            <c:size val="7"/>
            <c:spPr>
              <a:noFill/>
              <a:ln>
                <a:solidFill>
                  <a:srgbClr val="000000"/>
                </a:solidFill>
                <a:prstDash val="solid"/>
              </a:ln>
            </c:spPr>
          </c:marker>
          <c:xVal>
            <c:numRef>
              <c:f>Calculs!$AD$4:$AD$1004</c:f>
              <c:numCache>
                <c:formatCode>0</c:formatCode>
                <c:ptCount val="1001"/>
                <c:pt idx="0">
                  <c:v>132.07618777215259</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168.56104247500727</c:v>
                </c:pt>
                <c:pt idx="101">
                  <c:v>#N/A</c:v>
                </c:pt>
                <c:pt idx="102">
                  <c:v>#N/A</c:v>
                </c:pt>
                <c:pt idx="103">
                  <c:v>#N/A</c:v>
                </c:pt>
                <c:pt idx="104">
                  <c:v>#N/A</c:v>
                </c:pt>
                <c:pt idx="105">
                  <c:v>#N/A</c:v>
                </c:pt>
                <c:pt idx="106">
                  <c:v>#N/A</c:v>
                </c:pt>
                <c:pt idx="107">
                  <c:v>#N/A</c:v>
                </c:pt>
                <c:pt idx="108">
                  <c:v>#N/A</c:v>
                </c:pt>
                <c:pt idx="109">
                  <c:v>#N/A</c:v>
                </c:pt>
                <c:pt idx="110">
                  <c:v>201.21999636945836</c:v>
                </c:pt>
                <c:pt idx="111">
                  <c:v>#N/A</c:v>
                </c:pt>
                <c:pt idx="112">
                  <c:v>#N/A</c:v>
                </c:pt>
                <c:pt idx="113">
                  <c:v>#N/A</c:v>
                </c:pt>
                <c:pt idx="114">
                  <c:v>#N/A</c:v>
                </c:pt>
                <c:pt idx="115">
                  <c:v>#N/A</c:v>
                </c:pt>
                <c:pt idx="116">
                  <c:v>#N/A</c:v>
                </c:pt>
                <c:pt idx="117">
                  <c:v>#N/A</c:v>
                </c:pt>
                <c:pt idx="118">
                  <c:v>#N/A</c:v>
                </c:pt>
                <c:pt idx="119">
                  <c:v>#N/A</c:v>
                </c:pt>
                <c:pt idx="120">
                  <c:v>231.01254129142086</c:v>
                </c:pt>
                <c:pt idx="121">
                  <c:v>#N/A</c:v>
                </c:pt>
                <c:pt idx="122">
                  <c:v>#N/A</c:v>
                </c:pt>
                <c:pt idx="123">
                  <c:v>#N/A</c:v>
                </c:pt>
                <c:pt idx="124">
                  <c:v>#N/A</c:v>
                </c:pt>
                <c:pt idx="125">
                  <c:v>#N/A</c:v>
                </c:pt>
                <c:pt idx="126">
                  <c:v>#N/A</c:v>
                </c:pt>
                <c:pt idx="127">
                  <c:v>#N/A</c:v>
                </c:pt>
                <c:pt idx="128">
                  <c:v>#N/A</c:v>
                </c:pt>
                <c:pt idx="129">
                  <c:v>#N/A</c:v>
                </c:pt>
                <c:pt idx="130">
                  <c:v>258.62661711421714</c:v>
                </c:pt>
                <c:pt idx="131">
                  <c:v>#N/A</c:v>
                </c:pt>
                <c:pt idx="132">
                  <c:v>#N/A</c:v>
                </c:pt>
                <c:pt idx="133">
                  <c:v>#N/A</c:v>
                </c:pt>
                <c:pt idx="134">
                  <c:v>#N/A</c:v>
                </c:pt>
                <c:pt idx="135">
                  <c:v>#N/A</c:v>
                </c:pt>
                <c:pt idx="136">
                  <c:v>#N/A</c:v>
                </c:pt>
                <c:pt idx="137">
                  <c:v>#N/A</c:v>
                </c:pt>
                <c:pt idx="138">
                  <c:v>#N/A</c:v>
                </c:pt>
                <c:pt idx="139">
                  <c:v>#N/A</c:v>
                </c:pt>
                <c:pt idx="140">
                  <c:v>284.56207509237214</c:v>
                </c:pt>
                <c:pt idx="141">
                  <c:v>#N/A</c:v>
                </c:pt>
                <c:pt idx="142">
                  <c:v>#N/A</c:v>
                </c:pt>
                <c:pt idx="143">
                  <c:v>#N/A</c:v>
                </c:pt>
                <c:pt idx="144">
                  <c:v>#N/A</c:v>
                </c:pt>
                <c:pt idx="145">
                  <c:v>#N/A</c:v>
                </c:pt>
                <c:pt idx="146">
                  <c:v>#N/A</c:v>
                </c:pt>
                <c:pt idx="147">
                  <c:v>#N/A</c:v>
                </c:pt>
                <c:pt idx="148">
                  <c:v>#N/A</c:v>
                </c:pt>
                <c:pt idx="149">
                  <c:v>#N/A</c:v>
                </c:pt>
                <c:pt idx="150">
                  <c:v>309.19663555225674</c:v>
                </c:pt>
                <c:pt idx="151">
                  <c:v>#N/A</c:v>
                </c:pt>
                <c:pt idx="152">
                  <c:v>#N/A</c:v>
                </c:pt>
                <c:pt idx="153">
                  <c:v>#N/A</c:v>
                </c:pt>
                <c:pt idx="154">
                  <c:v>#N/A</c:v>
                </c:pt>
                <c:pt idx="155">
                  <c:v>#N/A</c:v>
                </c:pt>
                <c:pt idx="156">
                  <c:v>#N/A</c:v>
                </c:pt>
                <c:pt idx="157">
                  <c:v>#N/A</c:v>
                </c:pt>
                <c:pt idx="158">
                  <c:v>#N/A</c:v>
                </c:pt>
                <c:pt idx="159">
                  <c:v>#N/A</c:v>
                </c:pt>
                <c:pt idx="160">
                  <c:v>332.82455178648371</c:v>
                </c:pt>
                <c:pt idx="161">
                  <c:v>#N/A</c:v>
                </c:pt>
                <c:pt idx="162">
                  <c:v>#N/A</c:v>
                </c:pt>
                <c:pt idx="163">
                  <c:v>#N/A</c:v>
                </c:pt>
                <c:pt idx="164">
                  <c:v>#N/A</c:v>
                </c:pt>
                <c:pt idx="165">
                  <c:v>#N/A</c:v>
                </c:pt>
                <c:pt idx="166">
                  <c:v>#N/A</c:v>
                </c:pt>
                <c:pt idx="167">
                  <c:v>#N/A</c:v>
                </c:pt>
                <c:pt idx="168">
                  <c:v>#N/A</c:v>
                </c:pt>
                <c:pt idx="169">
                  <c:v>#N/A</c:v>
                </c:pt>
                <c:pt idx="170">
                  <c:v>355.67918119794331</c:v>
                </c:pt>
                <c:pt idx="171">
                  <c:v>#N/A</c:v>
                </c:pt>
                <c:pt idx="172">
                  <c:v>#N/A</c:v>
                </c:pt>
                <c:pt idx="173">
                  <c:v>#N/A</c:v>
                </c:pt>
                <c:pt idx="174">
                  <c:v>#N/A</c:v>
                </c:pt>
                <c:pt idx="175">
                  <c:v>#N/A</c:v>
                </c:pt>
                <c:pt idx="176">
                  <c:v>#N/A</c:v>
                </c:pt>
                <c:pt idx="177">
                  <c:v>#N/A</c:v>
                </c:pt>
                <c:pt idx="178">
                  <c:v>#N/A</c:v>
                </c:pt>
                <c:pt idx="179">
                  <c:v>#N/A</c:v>
                </c:pt>
                <c:pt idx="180">
                  <c:v>377.94384513526484</c:v>
                </c:pt>
                <c:pt idx="181">
                  <c:v>#N/A</c:v>
                </c:pt>
                <c:pt idx="182">
                  <c:v>#N/A</c:v>
                </c:pt>
                <c:pt idx="183">
                  <c:v>#N/A</c:v>
                </c:pt>
                <c:pt idx="184">
                  <c:v>#N/A</c:v>
                </c:pt>
                <c:pt idx="185">
                  <c:v>#N/A</c:v>
                </c:pt>
                <c:pt idx="186">
                  <c:v>#N/A</c:v>
                </c:pt>
                <c:pt idx="187">
                  <c:v>#N/A</c:v>
                </c:pt>
                <c:pt idx="188">
                  <c:v>#N/A</c:v>
                </c:pt>
                <c:pt idx="189">
                  <c:v>#N/A</c:v>
                </c:pt>
                <c:pt idx="190">
                  <c:v>399.75092150330113</c:v>
                </c:pt>
                <c:pt idx="191">
                  <c:v>#N/A</c:v>
                </c:pt>
                <c:pt idx="192">
                  <c:v>#N/A</c:v>
                </c:pt>
                <c:pt idx="193">
                  <c:v>#N/A</c:v>
                </c:pt>
                <c:pt idx="194">
                  <c:v>#N/A</c:v>
                </c:pt>
                <c:pt idx="195">
                  <c:v>#N/A</c:v>
                </c:pt>
                <c:pt idx="196">
                  <c:v>#N/A</c:v>
                </c:pt>
                <c:pt idx="197">
                  <c:v>#N/A</c:v>
                </c:pt>
                <c:pt idx="198">
                  <c:v>#N/A</c:v>
                </c:pt>
                <c:pt idx="199">
                  <c:v>#N/A</c:v>
                </c:pt>
                <c:pt idx="200">
                  <c:v>421.16913663699466</c:v>
                </c:pt>
                <c:pt idx="201">
                  <c:v>#N/A</c:v>
                </c:pt>
                <c:pt idx="202">
                  <c:v>#N/A</c:v>
                </c:pt>
                <c:pt idx="203">
                  <c:v>#N/A</c:v>
                </c:pt>
                <c:pt idx="204">
                  <c:v>#N/A</c:v>
                </c:pt>
                <c:pt idx="205">
                  <c:v>#N/A</c:v>
                </c:pt>
                <c:pt idx="206">
                  <c:v>#N/A</c:v>
                </c:pt>
                <c:pt idx="207">
                  <c:v>#N/A</c:v>
                </c:pt>
                <c:pt idx="208">
                  <c:v>#N/A</c:v>
                </c:pt>
                <c:pt idx="209">
                  <c:v>#N/A</c:v>
                </c:pt>
                <c:pt idx="210">
                  <c:v>442.19327503239265</c:v>
                </c:pt>
                <c:pt idx="211">
                  <c:v>#N/A</c:v>
                </c:pt>
                <c:pt idx="212">
                  <c:v>#N/A</c:v>
                </c:pt>
                <c:pt idx="213">
                  <c:v>#N/A</c:v>
                </c:pt>
                <c:pt idx="214">
                  <c:v>#N/A</c:v>
                </c:pt>
                <c:pt idx="215">
                  <c:v>#N/A</c:v>
                </c:pt>
                <c:pt idx="216">
                  <c:v>#N/A</c:v>
                </c:pt>
                <c:pt idx="217">
                  <c:v>#N/A</c:v>
                </c:pt>
                <c:pt idx="218">
                  <c:v>#N/A</c:v>
                </c:pt>
                <c:pt idx="219">
                  <c:v>#N/A</c:v>
                </c:pt>
                <c:pt idx="220">
                  <c:v>462.75889491831373</c:v>
                </c:pt>
                <c:pt idx="221">
                  <c:v>#N/A</c:v>
                </c:pt>
                <c:pt idx="222">
                  <c:v>#N/A</c:v>
                </c:pt>
                <c:pt idx="223">
                  <c:v>#N/A</c:v>
                </c:pt>
                <c:pt idx="224">
                  <c:v>#N/A</c:v>
                </c:pt>
                <c:pt idx="225">
                  <c:v>#N/A</c:v>
                </c:pt>
                <c:pt idx="226">
                  <c:v>#N/A</c:v>
                </c:pt>
                <c:pt idx="227">
                  <c:v>#N/A</c:v>
                </c:pt>
                <c:pt idx="228">
                  <c:v>#N/A</c:v>
                </c:pt>
                <c:pt idx="229">
                  <c:v>#N/A</c:v>
                </c:pt>
                <c:pt idx="230">
                  <c:v>482.77246911718748</c:v>
                </c:pt>
                <c:pt idx="231">
                  <c:v>#N/A</c:v>
                </c:pt>
                <c:pt idx="232">
                  <c:v>#N/A</c:v>
                </c:pt>
                <c:pt idx="233">
                  <c:v>#N/A</c:v>
                </c:pt>
                <c:pt idx="234">
                  <c:v>#N/A</c:v>
                </c:pt>
                <c:pt idx="235">
                  <c:v>#N/A</c:v>
                </c:pt>
                <c:pt idx="236">
                  <c:v>#N/A</c:v>
                </c:pt>
                <c:pt idx="237">
                  <c:v>#N/A</c:v>
                </c:pt>
                <c:pt idx="238">
                  <c:v>#N/A</c:v>
                </c:pt>
                <c:pt idx="239">
                  <c:v>#N/A</c:v>
                </c:pt>
                <c:pt idx="240">
                  <c:v>502.13466906732276</c:v>
                </c:pt>
                <c:pt idx="241">
                  <c:v>#N/A</c:v>
                </c:pt>
                <c:pt idx="242">
                  <c:v>#N/A</c:v>
                </c:pt>
                <c:pt idx="243">
                  <c:v>#N/A</c:v>
                </c:pt>
                <c:pt idx="244">
                  <c:v>#N/A</c:v>
                </c:pt>
                <c:pt idx="245">
                  <c:v>#N/A</c:v>
                </c:pt>
                <c:pt idx="246">
                  <c:v>#N/A</c:v>
                </c:pt>
                <c:pt idx="247">
                  <c:v>#N/A</c:v>
                </c:pt>
                <c:pt idx="248">
                  <c:v>#N/A</c:v>
                </c:pt>
                <c:pt idx="249">
                  <c:v>#N/A</c:v>
                </c:pt>
                <c:pt idx="250">
                  <c:v>520.75338550669869</c:v>
                </c:pt>
                <c:pt idx="251">
                  <c:v>#N/A</c:v>
                </c:pt>
                <c:pt idx="252">
                  <c:v>#N/A</c:v>
                </c:pt>
                <c:pt idx="253">
                  <c:v>#N/A</c:v>
                </c:pt>
                <c:pt idx="254">
                  <c:v>#N/A</c:v>
                </c:pt>
                <c:pt idx="255">
                  <c:v>#N/A</c:v>
                </c:pt>
                <c:pt idx="256">
                  <c:v>#N/A</c:v>
                </c:pt>
                <c:pt idx="257">
                  <c:v>#N/A</c:v>
                </c:pt>
                <c:pt idx="258">
                  <c:v>#N/A</c:v>
                </c:pt>
                <c:pt idx="259">
                  <c:v>#N/A</c:v>
                </c:pt>
                <c:pt idx="260">
                  <c:v>538.55047809377629</c:v>
                </c:pt>
                <c:pt idx="261">
                  <c:v>#N/A</c:v>
                </c:pt>
                <c:pt idx="262">
                  <c:v>#N/A</c:v>
                </c:pt>
                <c:pt idx="263">
                  <c:v>#N/A</c:v>
                </c:pt>
                <c:pt idx="264">
                  <c:v>#N/A</c:v>
                </c:pt>
                <c:pt idx="265">
                  <c:v>#N/A</c:v>
                </c:pt>
                <c:pt idx="266">
                  <c:v>#N/A</c:v>
                </c:pt>
                <c:pt idx="267">
                  <c:v>#N/A</c:v>
                </c:pt>
                <c:pt idx="268">
                  <c:v>#N/A</c:v>
                </c:pt>
                <c:pt idx="269">
                  <c:v>#N/A</c:v>
                </c:pt>
                <c:pt idx="270">
                  <c:v>555.46499180346382</c:v>
                </c:pt>
                <c:pt idx="271">
                  <c:v>#N/A</c:v>
                </c:pt>
                <c:pt idx="272">
                  <c:v>#N/A</c:v>
                </c:pt>
                <c:pt idx="273">
                  <c:v>#N/A</c:v>
                </c:pt>
                <c:pt idx="274">
                  <c:v>#N/A</c:v>
                </c:pt>
                <c:pt idx="275">
                  <c:v>#N/A</c:v>
                </c:pt>
                <c:pt idx="276">
                  <c:v>#N/A</c:v>
                </c:pt>
                <c:pt idx="277">
                  <c:v>#N/A</c:v>
                </c:pt>
                <c:pt idx="278">
                  <c:v>#N/A</c:v>
                </c:pt>
                <c:pt idx="279">
                  <c:v>#N/A</c:v>
                </c:pt>
                <c:pt idx="280">
                  <c:v>571.45418707620229</c:v>
                </c:pt>
                <c:pt idx="281">
                  <c:v>#N/A</c:v>
                </c:pt>
                <c:pt idx="282">
                  <c:v>#N/A</c:v>
                </c:pt>
                <c:pt idx="283">
                  <c:v>#N/A</c:v>
                </c:pt>
                <c:pt idx="284">
                  <c:v>#N/A</c:v>
                </c:pt>
                <c:pt idx="285">
                  <c:v>#N/A</c:v>
                </c:pt>
                <c:pt idx="286">
                  <c:v>#N/A</c:v>
                </c:pt>
                <c:pt idx="287">
                  <c:v>#N/A</c:v>
                </c:pt>
                <c:pt idx="288">
                  <c:v>#N/A</c:v>
                </c:pt>
                <c:pt idx="289">
                  <c:v>#N/A</c:v>
                </c:pt>
                <c:pt idx="290">
                  <c:v>586.49311965406048</c:v>
                </c:pt>
                <c:pt idx="291">
                  <c:v>#N/A</c:v>
                </c:pt>
                <c:pt idx="292">
                  <c:v>#N/A</c:v>
                </c:pt>
                <c:pt idx="293">
                  <c:v>#N/A</c:v>
                </c:pt>
                <c:pt idx="294">
                  <c:v>#N/A</c:v>
                </c:pt>
                <c:pt idx="295">
                  <c:v>#N/A</c:v>
                </c:pt>
                <c:pt idx="296">
                  <c:v>#N/A</c:v>
                </c:pt>
                <c:pt idx="297">
                  <c:v>#N/A</c:v>
                </c:pt>
                <c:pt idx="298">
                  <c:v>#N/A</c:v>
                </c:pt>
                <c:pt idx="299">
                  <c:v>#N/A</c:v>
                </c:pt>
                <c:pt idx="300">
                  <c:v>600.5732598970568</c:v>
                </c:pt>
                <c:pt idx="301">
                  <c:v>#N/A</c:v>
                </c:pt>
                <c:pt idx="302">
                  <c:v>#N/A</c:v>
                </c:pt>
                <c:pt idx="303">
                  <c:v>#N/A</c:v>
                </c:pt>
                <c:pt idx="304">
                  <c:v>#N/A</c:v>
                </c:pt>
                <c:pt idx="305">
                  <c:v>#N/A</c:v>
                </c:pt>
                <c:pt idx="306">
                  <c:v>#N/A</c:v>
                </c:pt>
                <c:pt idx="307">
                  <c:v>#N/A</c:v>
                </c:pt>
                <c:pt idx="308">
                  <c:v>#N/A</c:v>
                </c:pt>
                <c:pt idx="309">
                  <c:v>#N/A</c:v>
                </c:pt>
                <c:pt idx="310">
                  <c:v>613.70052270253996</c:v>
                </c:pt>
                <c:pt idx="311">
                  <c:v>#N/A</c:v>
                </c:pt>
                <c:pt idx="312">
                  <c:v>#N/A</c:v>
                </c:pt>
                <c:pt idx="313">
                  <c:v>#N/A</c:v>
                </c:pt>
                <c:pt idx="314">
                  <c:v>#N/A</c:v>
                </c:pt>
                <c:pt idx="315">
                  <c:v>#N/A</c:v>
                </c:pt>
                <c:pt idx="316">
                  <c:v>#N/A</c:v>
                </c:pt>
                <c:pt idx="317">
                  <c:v>#N/A</c:v>
                </c:pt>
                <c:pt idx="318">
                  <c:v>#N/A</c:v>
                </c:pt>
                <c:pt idx="319">
                  <c:v>#N/A</c:v>
                </c:pt>
                <c:pt idx="320">
                  <c:v>625.89299928475532</c:v>
                </c:pt>
                <c:pt idx="321">
                  <c:v>#N/A</c:v>
                </c:pt>
                <c:pt idx="322">
                  <c:v>#N/A</c:v>
                </c:pt>
                <c:pt idx="323">
                  <c:v>#N/A</c:v>
                </c:pt>
                <c:pt idx="324">
                  <c:v>#N/A</c:v>
                </c:pt>
                <c:pt idx="325">
                  <c:v>#N/A</c:v>
                </c:pt>
                <c:pt idx="326">
                  <c:v>#N/A</c:v>
                </c:pt>
                <c:pt idx="327">
                  <c:v>#N/A</c:v>
                </c:pt>
                <c:pt idx="328">
                  <c:v>#N/A</c:v>
                </c:pt>
                <c:pt idx="329">
                  <c:v>#N/A</c:v>
                </c:pt>
                <c:pt idx="330">
                  <c:v>637.17861363679503</c:v>
                </c:pt>
                <c:pt idx="331">
                  <c:v>#N/A</c:v>
                </c:pt>
                <c:pt idx="332">
                  <c:v>#N/A</c:v>
                </c:pt>
                <c:pt idx="333">
                  <c:v>#N/A</c:v>
                </c:pt>
                <c:pt idx="334">
                  <c:v>#N/A</c:v>
                </c:pt>
                <c:pt idx="335">
                  <c:v>#N/A</c:v>
                </c:pt>
                <c:pt idx="336">
                  <c:v>#N/A</c:v>
                </c:pt>
                <c:pt idx="337">
                  <c:v>#N/A</c:v>
                </c:pt>
                <c:pt idx="338">
                  <c:v>#N/A</c:v>
                </c:pt>
                <c:pt idx="339">
                  <c:v>#N/A</c:v>
                </c:pt>
                <c:pt idx="340">
                  <c:v>647.5928641554525</c:v>
                </c:pt>
                <c:pt idx="341">
                  <c:v>#N/A</c:v>
                </c:pt>
                <c:pt idx="342">
                  <c:v>#N/A</c:v>
                </c:pt>
                <c:pt idx="343">
                  <c:v>#N/A</c:v>
                </c:pt>
                <c:pt idx="344">
                  <c:v>#N/A</c:v>
                </c:pt>
                <c:pt idx="345">
                  <c:v>#N/A</c:v>
                </c:pt>
                <c:pt idx="346">
                  <c:v>#N/A</c:v>
                </c:pt>
                <c:pt idx="347">
                  <c:v>#N/A</c:v>
                </c:pt>
                <c:pt idx="348">
                  <c:v>#N/A</c:v>
                </c:pt>
                <c:pt idx="349">
                  <c:v>#N/A</c:v>
                </c:pt>
                <c:pt idx="350">
                  <c:v>657.17675591414513</c:v>
                </c:pt>
                <c:pt idx="351">
                  <c:v>#N/A</c:v>
                </c:pt>
                <c:pt idx="352">
                  <c:v>#N/A</c:v>
                </c:pt>
                <c:pt idx="353">
                  <c:v>#N/A</c:v>
                </c:pt>
                <c:pt idx="354">
                  <c:v>#N/A</c:v>
                </c:pt>
                <c:pt idx="355">
                  <c:v>#N/A</c:v>
                </c:pt>
                <c:pt idx="356">
                  <c:v>#N/A</c:v>
                </c:pt>
                <c:pt idx="357">
                  <c:v>#N/A</c:v>
                </c:pt>
                <c:pt idx="358">
                  <c:v>#N/A</c:v>
                </c:pt>
                <c:pt idx="359">
                  <c:v>#N/A</c:v>
                </c:pt>
                <c:pt idx="360">
                  <c:v>665.97498344795451</c:v>
                </c:pt>
                <c:pt idx="361">
                  <c:v>#N/A</c:v>
                </c:pt>
                <c:pt idx="362">
                  <c:v>#N/A</c:v>
                </c:pt>
                <c:pt idx="363">
                  <c:v>#N/A</c:v>
                </c:pt>
                <c:pt idx="364">
                  <c:v>#N/A</c:v>
                </c:pt>
                <c:pt idx="365">
                  <c:v>#N/A</c:v>
                </c:pt>
                <c:pt idx="366">
                  <c:v>#N/A</c:v>
                </c:pt>
                <c:pt idx="367">
                  <c:v>#N/A</c:v>
                </c:pt>
                <c:pt idx="368">
                  <c:v>#N/A</c:v>
                </c:pt>
                <c:pt idx="369">
                  <c:v>#N/A</c:v>
                </c:pt>
                <c:pt idx="370">
                  <c:v>674.03438862214227</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pt idx="445">
                  <c:v>#N/A</c:v>
                </c:pt>
                <c:pt idx="446">
                  <c:v>#N/A</c:v>
                </c:pt>
                <c:pt idx="447">
                  <c:v>#N/A</c:v>
                </c:pt>
                <c:pt idx="448">
                  <c:v>#N/A</c:v>
                </c:pt>
                <c:pt idx="449">
                  <c:v>#N/A</c:v>
                </c:pt>
                <c:pt idx="450">
                  <c:v>#N/A</c:v>
                </c:pt>
                <c:pt idx="451">
                  <c:v>#N/A</c:v>
                </c:pt>
                <c:pt idx="452">
                  <c:v>#N/A</c:v>
                </c:pt>
                <c:pt idx="453">
                  <c:v>#N/A</c:v>
                </c:pt>
                <c:pt idx="454">
                  <c:v>#N/A</c:v>
                </c:pt>
                <c:pt idx="455">
                  <c:v>#N/A</c:v>
                </c:pt>
                <c:pt idx="456">
                  <c:v>#N/A</c:v>
                </c:pt>
                <c:pt idx="457">
                  <c:v>#N/A</c:v>
                </c:pt>
                <c:pt idx="458">
                  <c:v>#N/A</c:v>
                </c:pt>
                <c:pt idx="459">
                  <c:v>#N/A</c:v>
                </c:pt>
                <c:pt idx="460">
                  <c:v>#N/A</c:v>
                </c:pt>
                <c:pt idx="461">
                  <c:v>#N/A</c:v>
                </c:pt>
                <c:pt idx="462">
                  <c:v>#N/A</c:v>
                </c:pt>
                <c:pt idx="463">
                  <c:v>#N/A</c:v>
                </c:pt>
                <c:pt idx="464">
                  <c:v>#N/A</c:v>
                </c:pt>
                <c:pt idx="465">
                  <c:v>#N/A</c:v>
                </c:pt>
                <c:pt idx="466">
                  <c:v>#N/A</c:v>
                </c:pt>
                <c:pt idx="467">
                  <c:v>#N/A</c:v>
                </c:pt>
                <c:pt idx="468">
                  <c:v>#N/A</c:v>
                </c:pt>
                <c:pt idx="469">
                  <c:v>#N/A</c:v>
                </c:pt>
                <c:pt idx="470">
                  <c:v>#N/A</c:v>
                </c:pt>
                <c:pt idx="471">
                  <c:v>#N/A</c:v>
                </c:pt>
                <c:pt idx="472">
                  <c:v>#N/A</c:v>
                </c:pt>
                <c:pt idx="473">
                  <c:v>#N/A</c:v>
                </c:pt>
                <c:pt idx="474">
                  <c:v>#N/A</c:v>
                </c:pt>
                <c:pt idx="475">
                  <c:v>#N/A</c:v>
                </c:pt>
                <c:pt idx="476">
                  <c:v>#N/A</c:v>
                </c:pt>
                <c:pt idx="477">
                  <c:v>#N/A</c:v>
                </c:pt>
                <c:pt idx="478">
                  <c:v>#N/A</c:v>
                </c:pt>
                <c:pt idx="479">
                  <c:v>#N/A</c:v>
                </c:pt>
                <c:pt idx="480">
                  <c:v>#N/A</c:v>
                </c:pt>
                <c:pt idx="481">
                  <c:v>#N/A</c:v>
                </c:pt>
                <c:pt idx="482">
                  <c:v>#N/A</c:v>
                </c:pt>
                <c:pt idx="483">
                  <c:v>#N/A</c:v>
                </c:pt>
                <c:pt idx="484">
                  <c:v>#N/A</c:v>
                </c:pt>
                <c:pt idx="485">
                  <c:v>#N/A</c:v>
                </c:pt>
                <c:pt idx="486">
                  <c:v>#N/A</c:v>
                </c:pt>
                <c:pt idx="487">
                  <c:v>#N/A</c:v>
                </c:pt>
                <c:pt idx="488">
                  <c:v>#N/A</c:v>
                </c:pt>
                <c:pt idx="489">
                  <c:v>#N/A</c:v>
                </c:pt>
                <c:pt idx="490">
                  <c:v>#N/A</c:v>
                </c:pt>
                <c:pt idx="491">
                  <c:v>#N/A</c:v>
                </c:pt>
                <c:pt idx="492">
                  <c:v>#N/A</c:v>
                </c:pt>
                <c:pt idx="493">
                  <c:v>#N/A</c:v>
                </c:pt>
                <c:pt idx="494">
                  <c:v>#N/A</c:v>
                </c:pt>
                <c:pt idx="495">
                  <c:v>#N/A</c:v>
                </c:pt>
                <c:pt idx="496">
                  <c:v>#N/A</c:v>
                </c:pt>
                <c:pt idx="497">
                  <c:v>#N/A</c:v>
                </c:pt>
                <c:pt idx="498">
                  <c:v>#N/A</c:v>
                </c:pt>
                <c:pt idx="499">
                  <c:v>#N/A</c:v>
                </c:pt>
                <c:pt idx="500">
                  <c:v>#N/A</c:v>
                </c:pt>
                <c:pt idx="501">
                  <c:v>#N/A</c:v>
                </c:pt>
                <c:pt idx="502">
                  <c:v>#N/A</c:v>
                </c:pt>
                <c:pt idx="503">
                  <c:v>#N/A</c:v>
                </c:pt>
                <c:pt idx="504">
                  <c:v>#N/A</c:v>
                </c:pt>
                <c:pt idx="505">
                  <c:v>#N/A</c:v>
                </c:pt>
                <c:pt idx="506">
                  <c:v>#N/A</c:v>
                </c:pt>
                <c:pt idx="507">
                  <c:v>#N/A</c:v>
                </c:pt>
                <c:pt idx="508">
                  <c:v>#N/A</c:v>
                </c:pt>
                <c:pt idx="509">
                  <c:v>#N/A</c:v>
                </c:pt>
                <c:pt idx="510">
                  <c:v>#N/A</c:v>
                </c:pt>
                <c:pt idx="511">
                  <c:v>#N/A</c:v>
                </c:pt>
                <c:pt idx="512">
                  <c:v>#N/A</c:v>
                </c:pt>
                <c:pt idx="513">
                  <c:v>#N/A</c:v>
                </c:pt>
                <c:pt idx="514">
                  <c:v>#N/A</c:v>
                </c:pt>
                <c:pt idx="515">
                  <c:v>#N/A</c:v>
                </c:pt>
                <c:pt idx="516">
                  <c:v>#N/A</c:v>
                </c:pt>
                <c:pt idx="517">
                  <c:v>#N/A</c:v>
                </c:pt>
                <c:pt idx="518">
                  <c:v>#N/A</c:v>
                </c:pt>
                <c:pt idx="519">
                  <c:v>#N/A</c:v>
                </c:pt>
                <c:pt idx="520">
                  <c:v>#N/A</c:v>
                </c:pt>
                <c:pt idx="521">
                  <c:v>#N/A</c:v>
                </c:pt>
                <c:pt idx="522">
                  <c:v>#N/A</c:v>
                </c:pt>
                <c:pt idx="523">
                  <c:v>#N/A</c:v>
                </c:pt>
                <c:pt idx="524">
                  <c:v>#N/A</c:v>
                </c:pt>
                <c:pt idx="525">
                  <c:v>#N/A</c:v>
                </c:pt>
                <c:pt idx="526">
                  <c:v>#N/A</c:v>
                </c:pt>
                <c:pt idx="527">
                  <c:v>#N/A</c:v>
                </c:pt>
                <c:pt idx="528">
                  <c:v>#N/A</c:v>
                </c:pt>
                <c:pt idx="529">
                  <c:v>#N/A</c:v>
                </c:pt>
                <c:pt idx="530">
                  <c:v>#N/A</c:v>
                </c:pt>
                <c:pt idx="531">
                  <c:v>#N/A</c:v>
                </c:pt>
                <c:pt idx="532">
                  <c:v>#N/A</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c:v>#N/A</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c:v>#N/A</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c:v>#N/A</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c:v>#N/A</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c:v>#N/A</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c:v>#N/A</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c:v>#N/A</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#N/A</c:v>
                </c:pt>
                <c:pt idx="783">
                  <c:v>#N/A</c:v>
                </c:pt>
                <c:pt idx="784">
                  <c:v>#N/A</c:v>
                </c:pt>
                <c:pt idx="785">
                  <c:v>#N/A</c:v>
                </c:pt>
                <c:pt idx="786">
                  <c:v>#N/A</c:v>
                </c:pt>
                <c:pt idx="787">
                  <c:v>#N/A</c:v>
                </c:pt>
                <c:pt idx="788">
                  <c:v>#N/A</c:v>
                </c:pt>
                <c:pt idx="789">
                  <c:v>#N/A</c:v>
                </c:pt>
                <c:pt idx="790">
                  <c:v>#N/A</c:v>
                </c:pt>
                <c:pt idx="791">
                  <c:v>#N/A</c:v>
                </c:pt>
                <c:pt idx="792">
                  <c:v>#N/A</c:v>
                </c:pt>
                <c:pt idx="793">
                  <c:v>#N/A</c:v>
                </c:pt>
                <c:pt idx="794">
                  <c:v>#N/A</c:v>
                </c:pt>
                <c:pt idx="795">
                  <c:v>#N/A</c:v>
                </c:pt>
                <c:pt idx="796">
                  <c:v>#N/A</c:v>
                </c:pt>
                <c:pt idx="797">
                  <c:v>#N/A</c:v>
                </c:pt>
                <c:pt idx="798">
                  <c:v>#N/A</c:v>
                </c:pt>
                <c:pt idx="799">
                  <c:v>#N/A</c:v>
                </c:pt>
                <c:pt idx="800">
                  <c:v>#N/A</c:v>
                </c:pt>
                <c:pt idx="801">
                  <c:v>#N/A</c:v>
                </c:pt>
                <c:pt idx="802">
                  <c:v>#N/A</c:v>
                </c:pt>
                <c:pt idx="803">
                  <c:v>#N/A</c:v>
                </c:pt>
                <c:pt idx="804">
                  <c:v>#N/A</c:v>
                </c:pt>
                <c:pt idx="805">
                  <c:v>#N/A</c:v>
                </c:pt>
                <c:pt idx="806">
                  <c:v>#N/A</c:v>
                </c:pt>
                <c:pt idx="807">
                  <c:v>#N/A</c:v>
                </c:pt>
                <c:pt idx="808">
                  <c:v>#N/A</c:v>
                </c:pt>
                <c:pt idx="809">
                  <c:v>#N/A</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pt idx="1000">
                  <c:v>#N/A</c:v>
                </c:pt>
              </c:numCache>
            </c:numRef>
          </c:xVal>
          <c:yVal>
            <c:numRef>
              <c:f>Calculs!$K$4:$K$1004</c:f>
              <c:numCache>
                <c:formatCode>0.00</c:formatCode>
                <c:ptCount val="1001"/>
                <c:pt idx="0">
                  <c:v>570.20506866099674</c:v>
                </c:pt>
                <c:pt idx="1">
                  <c:v>571.70180485420815</c:v>
                </c:pt>
                <c:pt idx="2">
                  <c:v>573.19555889131561</c:v>
                </c:pt>
                <c:pt idx="3">
                  <c:v>574.6863389760498</c:v>
                </c:pt>
                <c:pt idx="4">
                  <c:v>576.17415327135552</c:v>
                </c:pt>
                <c:pt idx="5">
                  <c:v>577.65900989965996</c:v>
                </c:pt>
                <c:pt idx="6">
                  <c:v>579.14091694313913</c:v>
                </c:pt>
                <c:pt idx="7">
                  <c:v>580.6198824439814</c:v>
                </c:pt>
                <c:pt idx="8">
                  <c:v>582.09591440464942</c:v>
                </c:pt>
                <c:pt idx="9">
                  <c:v>583.56902078813982</c:v>
                </c:pt>
                <c:pt idx="10">
                  <c:v>585.03920951824068</c:v>
                </c:pt>
                <c:pt idx="11">
                  <c:v>586.50648846886315</c:v>
                </c:pt>
                <c:pt idx="12">
                  <c:v>587.97086545361992</c:v>
                </c:pt>
                <c:pt idx="13">
                  <c:v>589.43234823749185</c:v>
                </c:pt>
                <c:pt idx="14">
                  <c:v>590.89094454823828</c:v>
                </c:pt>
                <c:pt idx="15">
                  <c:v>592.34666207663042</c:v>
                </c:pt>
                <c:pt idx="16">
                  <c:v>593.7995084766826</c:v>
                </c:pt>
                <c:pt idx="17">
                  <c:v>595.24949136588236</c:v>
                </c:pt>
                <c:pt idx="18">
                  <c:v>596.69661832541772</c:v>
                </c:pt>
                <c:pt idx="19">
                  <c:v>598.14089690040373</c:v>
                </c:pt>
                <c:pt idx="20">
                  <c:v>599.58233460010649</c:v>
                </c:pt>
                <c:pt idx="21">
                  <c:v>601.02093890362949</c:v>
                </c:pt>
                <c:pt idx="22">
                  <c:v>602.45671726547835</c:v>
                </c:pt>
                <c:pt idx="23">
                  <c:v>603.88967711007933</c:v>
                </c:pt>
                <c:pt idx="24">
                  <c:v>605.31982582641808</c:v>
                </c:pt>
                <c:pt idx="25">
                  <c:v>606.74717076826209</c:v>
                </c:pt>
                <c:pt idx="26">
                  <c:v>608.17171925438083</c:v>
                </c:pt>
                <c:pt idx="27">
                  <c:v>609.59347856876457</c:v>
                </c:pt>
                <c:pt idx="28">
                  <c:v>611.01245596084152</c:v>
                </c:pt>
                <c:pt idx="29">
                  <c:v>612.42865864569285</c:v>
                </c:pt>
                <c:pt idx="30">
                  <c:v>613.84209380426614</c:v>
                </c:pt>
                <c:pt idx="31">
                  <c:v>615.25276858358757</c:v>
                </c:pt>
                <c:pt idx="32">
                  <c:v>616.66069009697196</c:v>
                </c:pt>
                <c:pt idx="33">
                  <c:v>618.06586542423133</c:v>
                </c:pt>
                <c:pt idx="34">
                  <c:v>619.468301611882</c:v>
                </c:pt>
                <c:pt idx="35">
                  <c:v>620.86800567334967</c:v>
                </c:pt>
                <c:pt idx="36">
                  <c:v>622.26498458917342</c:v>
                </c:pt>
                <c:pt idx="37">
                  <c:v>623.6592453072077</c:v>
                </c:pt>
                <c:pt idx="38">
                  <c:v>625.05079474282297</c:v>
                </c:pt>
                <c:pt idx="39">
                  <c:v>626.43963977910482</c:v>
                </c:pt>
                <c:pt idx="40">
                  <c:v>627.82578726705128</c:v>
                </c:pt>
                <c:pt idx="41">
                  <c:v>629.20924402576895</c:v>
                </c:pt>
                <c:pt idx="42">
                  <c:v>630.5900168426673</c:v>
                </c:pt>
                <c:pt idx="43">
                  <c:v>631.96811247365179</c:v>
                </c:pt>
                <c:pt idx="44">
                  <c:v>633.34353764331524</c:v>
                </c:pt>
                <c:pt idx="45">
                  <c:v>634.71629904512793</c:v>
                </c:pt>
                <c:pt idx="46">
                  <c:v>636.08640334162612</c:v>
                </c:pt>
                <c:pt idx="47">
                  <c:v>637.45385716459896</c:v>
                </c:pt>
                <c:pt idx="48">
                  <c:v>638.81866711527448</c:v>
                </c:pt>
                <c:pt idx="49">
                  <c:v>640.18083976450373</c:v>
                </c:pt>
                <c:pt idx="50">
                  <c:v>641.54038165294355</c:v>
                </c:pt>
                <c:pt idx="51">
                  <c:v>642.89729929123826</c:v>
                </c:pt>
                <c:pt idx="52">
                  <c:v>644.25159916019936</c:v>
                </c:pt>
                <c:pt idx="53">
                  <c:v>645.60328771098477</c:v>
                </c:pt>
                <c:pt idx="54">
                  <c:v>646.95237136527589</c:v>
                </c:pt>
                <c:pt idx="55">
                  <c:v>648.29885651545351</c:v>
                </c:pt>
                <c:pt idx="56">
                  <c:v>649.64274952477285</c:v>
                </c:pt>
                <c:pt idx="57">
                  <c:v>650.98405672753677</c:v>
                </c:pt>
                <c:pt idx="58">
                  <c:v>652.32278442926781</c:v>
                </c:pt>
                <c:pt idx="59">
                  <c:v>653.65893890687914</c:v>
                </c:pt>
                <c:pt idx="60">
                  <c:v>654.9925264088439</c:v>
                </c:pt>
                <c:pt idx="61">
                  <c:v>656.32355315536358</c:v>
                </c:pt>
                <c:pt idx="62">
                  <c:v>657.65202533853494</c:v>
                </c:pt>
                <c:pt idx="63">
                  <c:v>658.97794912251584</c:v>
                </c:pt>
                <c:pt idx="64">
                  <c:v>660.30133064368943</c:v>
                </c:pt>
                <c:pt idx="65">
                  <c:v>661.62217601082773</c:v>
                </c:pt>
                <c:pt idx="66">
                  <c:v>662.94049130525377</c:v>
                </c:pt>
                <c:pt idx="67">
                  <c:v>664.25628258100221</c:v>
                </c:pt>
                <c:pt idx="68">
                  <c:v>665.56955586497907</c:v>
                </c:pt>
                <c:pt idx="69">
                  <c:v>666.8803171571202</c:v>
                </c:pt>
                <c:pt idx="70">
                  <c:v>668.18857243054867</c:v>
                </c:pt>
                <c:pt idx="71">
                  <c:v>669.49432763173104</c:v>
                </c:pt>
                <c:pt idx="72">
                  <c:v>670.79758868063209</c:v>
                </c:pt>
                <c:pt idx="73">
                  <c:v>672.09836147086878</c:v>
                </c:pt>
                <c:pt idx="74">
                  <c:v>673.39665186986304</c:v>
                </c:pt>
                <c:pt idx="75">
                  <c:v>674.6924657189935</c:v>
                </c:pt>
                <c:pt idx="76">
                  <c:v>675.98580883374575</c:v>
                </c:pt>
                <c:pt idx="77">
                  <c:v>677.27668700386187</c:v>
                </c:pt>
                <c:pt idx="78">
                  <c:v>678.56510599348883</c:v>
                </c:pt>
                <c:pt idx="79">
                  <c:v>679.8510715413255</c:v>
                </c:pt>
                <c:pt idx="80">
                  <c:v>681.13458936076893</c:v>
                </c:pt>
                <c:pt idx="81">
                  <c:v>682.41566514005956</c:v>
                </c:pt>
                <c:pt idx="82">
                  <c:v>683.69430454242513</c:v>
                </c:pt>
                <c:pt idx="83">
                  <c:v>684.9705132062237</c:v>
                </c:pt>
                <c:pt idx="84">
                  <c:v>686.24429674508565</c:v>
                </c:pt>
                <c:pt idx="85">
                  <c:v>687.51566074805453</c:v>
                </c:pt>
                <c:pt idx="86">
                  <c:v>688.78461077972702</c:v>
                </c:pt>
                <c:pt idx="87">
                  <c:v>690.05115238039207</c:v>
                </c:pt>
                <c:pt idx="88">
                  <c:v>691.31529106616847</c:v>
                </c:pt>
                <c:pt idx="89">
                  <c:v>692.57703232914184</c:v>
                </c:pt>
                <c:pt idx="90">
                  <c:v>693.83638163750084</c:v>
                </c:pt>
                <c:pt idx="91">
                  <c:v>695.09334443567195</c:v>
                </c:pt>
                <c:pt idx="92">
                  <c:v>696.34792614445337</c:v>
                </c:pt>
                <c:pt idx="93">
                  <c:v>697.60013216114817</c:v>
                </c:pt>
                <c:pt idx="94">
                  <c:v>698.84996785969645</c:v>
                </c:pt>
                <c:pt idx="95">
                  <c:v>700.09743859080641</c:v>
                </c:pt>
                <c:pt idx="96">
                  <c:v>701.34254968208461</c:v>
                </c:pt>
                <c:pt idx="97">
                  <c:v>702.58530643816516</c:v>
                </c:pt>
                <c:pt idx="98">
                  <c:v>703.82571414083839</c:v>
                </c:pt>
                <c:pt idx="99">
                  <c:v>705.06377804917781</c:v>
                </c:pt>
                <c:pt idx="100">
                  <c:v>706.29950339966729</c:v>
                </c:pt>
                <c:pt idx="101">
                  <c:v>718.52854005730728</c:v>
                </c:pt>
                <c:pt idx="102">
                  <c:v>730.52706813776001</c:v>
                </c:pt>
                <c:pt idx="103">
                  <c:v>742.30011104420862</c:v>
                </c:pt>
                <c:pt idx="104">
                  <c:v>753.85248213761804</c:v>
                </c:pt>
                <c:pt idx="105">
                  <c:v>765.18879596593888</c:v>
                </c:pt>
                <c:pt idx="106">
                  <c:v>776.31347873877621</c:v>
                </c:pt>
                <c:pt idx="107">
                  <c:v>787.23077810765699</c:v>
                </c:pt>
                <c:pt idx="108">
                  <c:v>797.94477230648795</c:v>
                </c:pt>
                <c:pt idx="109">
                  <c:v>808.45937870183184</c:v>
                </c:pt>
                <c:pt idx="110">
                  <c:v>818.77836179817598</c:v>
                </c:pt>
                <c:pt idx="111">
                  <c:v>828.9053407393659</c:v>
                </c:pt>
                <c:pt idx="112">
                  <c:v>838.84379634377626</c:v>
                </c:pt>
                <c:pt idx="113">
                  <c:v>848.59707770754767</c:v>
                </c:pt>
                <c:pt idx="114">
                  <c:v>858.16840840729094</c:v>
                </c:pt>
                <c:pt idx="115">
                  <c:v>867.56089233101488</c:v>
                </c:pt>
                <c:pt idx="116">
                  <c:v>876.77751916364275</c:v>
                </c:pt>
                <c:pt idx="117">
                  <c:v>885.82116955131448</c:v>
                </c:pt>
                <c:pt idx="118">
                  <c:v>894.69461996670725</c:v>
                </c:pt>
                <c:pt idx="119">
                  <c:v>903.40054729582175</c:v>
                </c:pt>
                <c:pt idx="120">
                  <c:v>911.94153316506015</c:v>
                </c:pt>
                <c:pt idx="121">
                  <c:v>920.32006802594503</c:v>
                </c:pt>
                <c:pt idx="122">
                  <c:v>928.53855501348335</c:v>
                </c:pt>
                <c:pt idx="123">
                  <c:v>936.59931359295331</c:v>
                </c:pt>
                <c:pt idx="124">
                  <c:v>944.50458300877074</c:v>
                </c:pt>
                <c:pt idx="125">
                  <c:v>952.25652554806913</c:v>
                </c:pt>
                <c:pt idx="126">
                  <c:v>959.85722963069009</c:v>
                </c:pt>
                <c:pt idx="127">
                  <c:v>967.30871273642288</c:v>
                </c:pt>
                <c:pt idx="128">
                  <c:v>974.61292417954712</c:v>
                </c:pt>
                <c:pt idx="129">
                  <c:v>981.77174774000912</c:v>
                </c:pt>
                <c:pt idx="130">
                  <c:v>988.7870041599017</c:v>
                </c:pt>
                <c:pt idx="131">
                  <c:v>995.66045351330865</c:v>
                </c:pt>
                <c:pt idx="132">
                  <c:v>1002.3937974570134</c:v>
                </c:pt>
                <c:pt idx="133">
                  <c:v>1008.9886813690589</c:v>
                </c:pt>
                <c:pt idx="134">
                  <c:v>1015.4466963816684</c:v>
                </c:pt>
                <c:pt idx="135">
                  <c:v>1021.7693813146013</c:v>
                </c:pt>
                <c:pt idx="136">
                  <c:v>1027.9582245146139</c:v>
                </c:pt>
                <c:pt idx="137">
                  <c:v>1034.0146656063216</c:v>
                </c:pt>
                <c:pt idx="138">
                  <c:v>1039.9400971594187</c:v>
                </c:pt>
                <c:pt idx="139">
                  <c:v>1045.7358662768895</c:v>
                </c:pt>
                <c:pt idx="140">
                  <c:v>1051.4032761085566</c:v>
                </c:pt>
                <c:pt idx="141">
                  <c:v>1056.9435872940346</c:v>
                </c:pt>
                <c:pt idx="142">
                  <c:v>1062.358019338915</c:v>
                </c:pt>
                <c:pt idx="143">
                  <c:v>1067.6477519277705</c:v>
                </c:pt>
                <c:pt idx="144">
                  <c:v>1072.8139261773536</c:v>
                </c:pt>
                <c:pt idx="145">
                  <c:v>1077.8576458331722</c:v>
                </c:pt>
                <c:pt idx="146">
                  <c:v>1082.7799784124368</c:v>
                </c:pt>
                <c:pt idx="147">
                  <c:v>1087.581956296209</c:v>
                </c:pt>
                <c:pt idx="148">
                  <c:v>1092.2645777734297</c:v>
                </c:pt>
                <c:pt idx="149">
                  <c:v>1096.8288080393572</c:v>
                </c:pt>
                <c:pt idx="150">
                  <c:v>1101.2755801508254</c:v>
                </c:pt>
                <c:pt idx="151">
                  <c:v>1105.6057959406037</c:v>
                </c:pt>
                <c:pt idx="152">
                  <c:v>1109.8203268930467</c:v>
                </c:pt>
                <c:pt idx="153">
                  <c:v>1113.9200149831147</c:v>
                </c:pt>
                <c:pt idx="154">
                  <c:v>1117.9056734807662</c:v>
                </c:pt>
                <c:pt idx="155">
                  <c:v>1121.778087722651</c:v>
                </c:pt>
                <c:pt idx="156">
                  <c:v>1125.538015852964</c:v>
                </c:pt>
                <c:pt idx="157">
                  <c:v>1129.1861895352679</c:v>
                </c:pt>
                <c:pt idx="158">
                  <c:v>1132.7233146370497</c:v>
                </c:pt>
                <c:pt idx="159">
                  <c:v>1136.1500718887457</c:v>
                </c:pt>
                <c:pt idx="160">
                  <c:v>1139.4671175189433</c:v>
                </c:pt>
                <c:pt idx="161">
                  <c:v>1142.675083867465</c:v>
                </c:pt>
                <c:pt idx="162">
                  <c:v>1145.7745799780389</c:v>
                </c:pt>
                <c:pt idx="163">
                  <c:v>1148.7661921722759</c:v>
                </c:pt>
                <c:pt idx="164">
                  <c:v>1151.6504846067069</c:v>
                </c:pt>
                <c:pt idx="165">
                  <c:v>1154.427999814674</c:v>
                </c:pt>
                <c:pt idx="166">
                  <c:v>1157.099259234931</c:v>
                </c:pt>
                <c:pt idx="167">
                  <c:v>1159.6647637288859</c:v>
                </c:pt>
                <c:pt idx="168">
                  <c:v>1162.1249940885091</c:v>
                </c:pt>
                <c:pt idx="169">
                  <c:v>1164.4804115370439</c:v>
                </c:pt>
                <c:pt idx="170">
                  <c:v>1166.7314582247839</c:v>
                </c:pt>
                <c:pt idx="171">
                  <c:v>1168.8785577223289</c:v>
                </c:pt>
                <c:pt idx="172">
                  <c:v>1170.9221155138948</c:v>
                </c:pt>
                <c:pt idx="173">
                  <c:v>1172.8625194934305</c:v>
                </c:pt>
                <c:pt idx="174">
                  <c:v>1174.7001404664852</c:v>
                </c:pt>
                <c:pt idx="175">
                  <c:v>1176.435332660968</c:v>
                </c:pt>
                <c:pt idx="176">
                  <c:v>1178.068434250132</c:v>
                </c:pt>
                <c:pt idx="177">
                  <c:v>1179.5997678913063</c:v>
                </c:pt>
                <c:pt idx="178">
                  <c:v>1181.0296412840548</c:v>
                </c:pt>
                <c:pt idx="179">
                  <c:v>1182.3583477515606</c:v>
                </c:pt>
                <c:pt idx="180">
                  <c:v>1183.5861668490923</c:v>
                </c:pt>
                <c:pt idx="181">
                  <c:v>1184.7133650033788</c:v>
                </c:pt>
                <c:pt idx="182">
                  <c:v>1185.7401961865703</c:v>
                </c:pt>
                <c:pt idx="183">
                  <c:v>1186.6669026281779</c:v>
                </c:pt>
                <c:pt idx="184">
                  <c:v>1187.4937155679215</c:v>
                </c:pt>
                <c:pt idx="185">
                  <c:v>1188.2208560517511</c:v>
                </c:pt>
                <c:pt idx="186">
                  <c:v>1188.8485357724333</c:v>
                </c:pt>
                <c:pt idx="187">
                  <c:v>1189.3769579549987</c:v>
                </c:pt>
                <c:pt idx="188">
                  <c:v>1189.806318286036</c:v>
                </c:pt>
                <c:pt idx="189">
                  <c:v>1190.1368058843445</c:v>
                </c:pt>
                <c:pt idx="190">
                  <c:v>1190.3686043088651</c:v>
                </c:pt>
                <c:pt idx="191">
                  <c:v>1190.5018925981813</c:v>
                </c:pt>
                <c:pt idx="192">
                  <c:v>1190.5368463343266</c:v>
                </c:pt>
                <c:pt idx="193">
                  <c:v>1190.4736387222511</c:v>
                </c:pt>
                <c:pt idx="194">
                  <c:v>1190.312441675205</c:v>
                </c:pt>
                <c:pt idx="195">
                  <c:v>1190.0534268955776</c:v>
                </c:pt>
                <c:pt idx="196">
                  <c:v>1189.6967669404496</c:v>
                </c:pt>
                <c:pt idx="197">
                  <c:v>1189.2426362613078</c:v>
                </c:pt>
                <c:pt idx="198">
                  <c:v>1188.6912122080053</c:v>
                </c:pt>
                <c:pt idx="199">
                  <c:v>1188.0426759880879</c:v>
                </c:pt>
                <c:pt idx="200">
                  <c:v>1187.2972135739467</c:v>
                </c:pt>
                <c:pt idx="201">
                  <c:v>1186.4550165517999</c:v>
                </c:pt>
                <c:pt idx="202">
                  <c:v>1185.5162829081405</c:v>
                </c:pt>
                <c:pt idx="203">
                  <c:v>1184.4812177509043</c:v>
                </c:pt>
                <c:pt idx="204">
                  <c:v>1183.350033964125</c:v>
                </c:pt>
                <c:pt idx="205">
                  <c:v>1182.1229527961902</c:v>
                </c:pt>
                <c:pt idx="206">
                  <c:v>1180.8002043829515</c:v>
                </c:pt>
                <c:pt idx="207">
                  <c:v>1179.3820282078477</c:v>
                </c:pt>
                <c:pt idx="208">
                  <c:v>1177.8686735018907</c:v>
                </c:pt>
                <c:pt idx="209">
                  <c:v>1176.2603995868394</c:v>
                </c:pt>
                <c:pt idx="210">
                  <c:v>1174.5574761651785</c:v>
                </c:pt>
                <c:pt idx="211">
                  <c:v>1172.7601835606608</c:v>
                </c:pt>
                <c:pt idx="212">
                  <c:v>1170.8688129131845</c:v>
                </c:pt>
                <c:pt idx="213">
                  <c:v>1168.8836663316988</c:v>
                </c:pt>
                <c:pt idx="214">
                  <c:v>1166.8050570086866</c:v>
                </c:pt>
                <c:pt idx="215">
                  <c:v>1164.6333092995758</c:v>
                </c:pt>
                <c:pt idx="216">
                  <c:v>1162.3687587702138</c:v>
                </c:pt>
                <c:pt idx="217">
                  <c:v>1160.0117522153046</c:v>
                </c:pt>
                <c:pt idx="218">
                  <c:v>1157.5626476504704</c:v>
                </c:pt>
                <c:pt idx="219">
                  <c:v>1155.0218142803715</c:v>
                </c:pt>
                <c:pt idx="220">
                  <c:v>1152.3896324450923</c:v>
                </c:pt>
                <c:pt idx="221">
                  <c:v>1149.6664935467991</c:v>
                </c:pt>
                <c:pt idx="222">
                  <c:v>1146.8527999584808</c:v>
                </c:pt>
                <c:pt idx="223">
                  <c:v>1143.9489649164091</c:v>
                </c:pt>
                <c:pt idx="224">
                  <c:v>1140.9554123977966</c:v>
                </c:pt>
                <c:pt idx="225">
                  <c:v>1137.8725769849893</c:v>
                </c:pt>
                <c:pt idx="226">
                  <c:v>1134.7009037174007</c:v>
                </c:pt>
                <c:pt idx="227">
                  <c:v>1131.4408479322826</c:v>
                </c:pt>
                <c:pt idx="228">
                  <c:v>1128.0928750953249</c:v>
                </c:pt>
                <c:pt idx="229">
                  <c:v>1124.6574606219904</c:v>
                </c:pt>
                <c:pt idx="230">
                  <c:v>1121.1350896904089</c:v>
                </c:pt>
                <c:pt idx="231">
                  <c:v>1117.5262570465852</c:v>
                </c:pt>
                <c:pt idx="232">
                  <c:v>1113.8314668026169</c:v>
                </c:pt>
                <c:pt idx="233">
                  <c:v>1110.0512322285595</c:v>
                </c:pt>
                <c:pt idx="234">
                  <c:v>1106.1860755385321</c:v>
                </c:pt>
                <c:pt idx="235">
                  <c:v>1102.2365276716125</c:v>
                </c:pt>
                <c:pt idx="236">
                  <c:v>1098.2031280680314</c:v>
                </c:pt>
                <c:pt idx="237">
                  <c:v>1094.0864244411462</c:v>
                </c:pt>
                <c:pt idx="238">
                  <c:v>1089.8869725456414</c:v>
                </c:pt>
                <c:pt idx="239">
                  <c:v>1085.6053359423775</c:v>
                </c:pt>
                <c:pt idx="240">
                  <c:v>1081.2420857602858</c:v>
                </c:pt>
                <c:pt idx="241">
                  <c:v>1076.7978004556867</c:v>
                </c:pt>
                <c:pt idx="242">
                  <c:v>1072.2730655693863</c:v>
                </c:pt>
                <c:pt idx="243">
                  <c:v>1067.6684734818934</c:v>
                </c:pt>
                <c:pt idx="244">
                  <c:v>1062.9846231670774</c:v>
                </c:pt>
                <c:pt idx="245">
                  <c:v>1058.2221199445773</c:v>
                </c:pt>
                <c:pt idx="246">
                  <c:v>1053.3815752312551</c:v>
                </c:pt>
                <c:pt idx="247">
                  <c:v>1048.4636062919762</c:v>
                </c:pt>
                <c:pt idx="248">
                  <c:v>1043.4688359899887</c:v>
                </c:pt>
                <c:pt idx="249">
                  <c:v>1038.3978925371553</c:v>
                </c:pt>
                <c:pt idx="250">
                  <c:v>1033.2514092442923</c:v>
                </c:pt>
                <c:pt idx="251">
                  <c:v>1028.0300242718508</c:v>
                </c:pt>
                <c:pt idx="252">
                  <c:v>1022.734380381169</c:v>
                </c:pt>
                <c:pt idx="253">
                  <c:v>1017.3651246865157</c:v>
                </c:pt>
                <c:pt idx="254">
                  <c:v>1011.9229084081372</c:v>
                </c:pt>
                <c:pt idx="255">
                  <c:v>1006.4083866265073</c:v>
                </c:pt>
                <c:pt idx="256">
                  <c:v>1000.8222180379773</c:v>
                </c:pt>
                <c:pt idx="257">
                  <c:v>995.16506471201035</c:v>
                </c:pt>
                <c:pt idx="258">
                  <c:v>989.43759185017893</c:v>
                </c:pt>
                <c:pt idx="259">
                  <c:v>983.64046754709648</c:v>
                </c:pt>
                <c:pt idx="260">
                  <c:v>977.77436255344571</c:v>
                </c:pt>
                <c:pt idx="261">
                  <c:v>971.83995004126007</c:v>
                </c:pt>
                <c:pt idx="262">
                  <c:v>965.83790537160655</c:v>
                </c:pt>
                <c:pt idx="263">
                  <c:v>959.76890586481136</c:v>
                </c:pt>
                <c:pt idx="264">
                  <c:v>953.63363057336358</c:v>
                </c:pt>
                <c:pt idx="265">
                  <c:v>947.43276005762357</c:v>
                </c:pt>
                <c:pt idx="266">
                  <c:v>941.16697616445788</c:v>
                </c:pt>
                <c:pt idx="267">
                  <c:v>934.83696180891479</c:v>
                </c:pt>
                <c:pt idx="268">
                  <c:v>928.44340075904779</c:v>
                </c:pt>
                <c:pt idx="269">
                  <c:v>921.98697742398906</c:v>
                </c:pt>
                <c:pt idx="270">
                  <c:v>915.46837664536702</c:v>
                </c:pt>
                <c:pt idx="271">
                  <c:v>908.8882834921576</c:v>
                </c:pt>
                <c:pt idx="272">
                  <c:v>902.24738305905123</c:v>
                </c:pt>
                <c:pt idx="273">
                  <c:v>895.54636026841217</c:v>
                </c:pt>
                <c:pt idx="274">
                  <c:v>888.78589967590131</c:v>
                </c:pt>
                <c:pt idx="275">
                  <c:v>881.96668527982638</c:v>
                </c:pt>
                <c:pt idx="276">
                  <c:v>875.08940033427973</c:v>
                </c:pt>
                <c:pt idx="277">
                  <c:v>868.15472716611669</c:v>
                </c:pt>
                <c:pt idx="278">
                  <c:v>861.16334699582274</c:v>
                </c:pt>
                <c:pt idx="279">
                  <c:v>854.11593976231234</c:v>
                </c:pt>
                <c:pt idx="280">
                  <c:v>847.01318395169699</c:v>
                </c:pt>
                <c:pt idx="281">
                  <c:v>839.85575643005473</c:v>
                </c:pt>
                <c:pt idx="282">
                  <c:v>832.64433228022926</c:v>
                </c:pt>
                <c:pt idx="283">
                  <c:v>825.37958464268092</c:v>
                </c:pt>
                <c:pt idx="284">
                  <c:v>818.06218456040733</c:v>
                </c:pt>
                <c:pt idx="285">
                  <c:v>810.69280082794796</c:v>
                </c:pt>
                <c:pt idx="286">
                  <c:v>803.27209984448075</c:v>
                </c:pt>
                <c:pt idx="287">
                  <c:v>795.80074547101628</c:v>
                </c:pt>
                <c:pt idx="288">
                  <c:v>788.27939889168965</c:v>
                </c:pt>
                <c:pt idx="289">
                  <c:v>780.70871847914668</c:v>
                </c:pt>
                <c:pt idx="290">
                  <c:v>773.08935966401737</c:v>
                </c:pt>
                <c:pt idx="291">
                  <c:v>765.42197480846573</c:v>
                </c:pt>
                <c:pt idx="292">
                  <c:v>757.70721308380087</c:v>
                </c:pt>
                <c:pt idx="293">
                  <c:v>749.94572035213184</c:v>
                </c:pt>
                <c:pt idx="294">
                  <c:v>742.13813905204449</c:v>
                </c:pt>
                <c:pt idx="295">
                  <c:v>734.28510808827616</c:v>
                </c:pt>
                <c:pt idx="296">
                  <c:v>726.38726272536087</c:v>
                </c:pt>
                <c:pt idx="297">
                  <c:v>718.44523448521329</c:v>
                </c:pt>
                <c:pt idx="298">
                  <c:v>710.45965104862046</c:v>
                </c:pt>
                <c:pt idx="299">
                  <c:v>702.43113616060327</c:v>
                </c:pt>
                <c:pt idx="300">
                  <c:v>694.36030953961119</c:v>
                </c:pt>
                <c:pt idx="301">
                  <c:v>686.24778679050814</c:v>
                </c:pt>
                <c:pt idx="302">
                  <c:v>678.09417932130782</c:v>
                </c:pt>
                <c:pt idx="303">
                  <c:v>669.90009426361337</c:v>
                </c:pt>
                <c:pt idx="304">
                  <c:v>661.66613439671357</c:v>
                </c:pt>
                <c:pt idx="305">
                  <c:v>653.39289807528792</c:v>
                </c:pt>
                <c:pt idx="306">
                  <c:v>645.08097916066959</c:v>
                </c:pt>
                <c:pt idx="307">
                  <c:v>636.73096695561435</c:v>
                </c:pt>
                <c:pt idx="308">
                  <c:v>628.34344614252234</c:v>
                </c:pt>
                <c:pt idx="309">
                  <c:v>619.91899672505679</c:v>
                </c:pt>
                <c:pt idx="310">
                  <c:v>611.4581939731047</c:v>
                </c:pt>
                <c:pt idx="311">
                  <c:v>602.96160837102173</c:v>
                </c:pt>
                <c:pt idx="312">
                  <c:v>594.429805569103</c:v>
                </c:pt>
                <c:pt idx="313">
                  <c:v>585.86334633822059</c:v>
                </c:pt>
                <c:pt idx="314">
                  <c:v>577.26278652756776</c:v>
                </c:pt>
                <c:pt idx="315">
                  <c:v>568.62867702544952</c:v>
                </c:pt>
                <c:pt idx="316">
                  <c:v>559.96156372305711</c:v>
                </c:pt>
                <c:pt idx="317">
                  <c:v>551.2619874811661</c:v>
                </c:pt>
                <c:pt idx="318">
                  <c:v>542.53048409969369</c:v>
                </c:pt>
                <c:pt idx="319">
                  <c:v>533.76758429005474</c:v>
                </c:pt>
                <c:pt idx="320">
                  <c:v>524.97381365025149</c:v>
                </c:pt>
                <c:pt idx="321">
                  <c:v>516.14969264263493</c:v>
                </c:pt>
                <c:pt idx="322">
                  <c:v>507.29573657427449</c:v>
                </c:pt>
                <c:pt idx="323">
                  <c:v>498.4124555798719</c:v>
                </c:pt>
                <c:pt idx="324">
                  <c:v>489.50035460715662</c:v>
                </c:pt>
                <c:pt idx="325">
                  <c:v>480.55993340469894</c:v>
                </c:pt>
                <c:pt idx="326">
                  <c:v>471.59168651207841</c:v>
                </c:pt>
                <c:pt idx="327">
                  <c:v>462.59610325234388</c:v>
                </c:pt>
                <c:pt idx="328">
                  <c:v>453.57366772670292</c:v>
                </c:pt>
                <c:pt idx="329">
                  <c:v>444.52485881137835</c:v>
                </c:pt>
                <c:pt idx="330">
                  <c:v>435.45015015656969</c:v>
                </c:pt>
                <c:pt idx="331">
                  <c:v>426.35001018745851</c:v>
                </c:pt>
                <c:pt idx="332">
                  <c:v>417.22490210719599</c:v>
                </c:pt>
                <c:pt idx="333">
                  <c:v>408.0752839018129</c:v>
                </c:pt>
                <c:pt idx="334">
                  <c:v>398.90160834699145</c:v>
                </c:pt>
                <c:pt idx="335">
                  <c:v>389.70432301664044</c:v>
                </c:pt>
                <c:pt idx="336">
                  <c:v>380.48387029321412</c:v>
                </c:pt>
                <c:pt idx="337">
                  <c:v>371.24068737971754</c:v>
                </c:pt>
                <c:pt idx="338">
                  <c:v>361.97520631334078</c:v>
                </c:pt>
                <c:pt idx="339">
                  <c:v>352.68785398066558</c:v>
                </c:pt>
                <c:pt idx="340">
                  <c:v>343.37905213438836</c:v>
                </c:pt>
                <c:pt idx="341">
                  <c:v>334.0492174115052</c:v>
                </c:pt>
                <c:pt idx="342">
                  <c:v>324.69876135290394</c:v>
                </c:pt>
                <c:pt idx="343">
                  <c:v>315.32809042431074</c:v>
                </c:pt>
                <c:pt idx="344">
                  <c:v>305.93760603853809</c:v>
                </c:pt>
                <c:pt idx="345">
                  <c:v>296.52770457898276</c:v>
                </c:pt>
                <c:pt idx="346">
                  <c:v>287.09877742432343</c:v>
                </c:pt>
                <c:pt idx="347">
                  <c:v>277.65121097436764</c:v>
                </c:pt>
                <c:pt idx="348">
                  <c:v>268.18538667699954</c:v>
                </c:pt>
                <c:pt idx="349">
                  <c:v>258.70168105618018</c:v>
                </c:pt>
                <c:pt idx="350">
                  <c:v>249.20046574095355</c:v>
                </c:pt>
                <c:pt idx="351">
                  <c:v>239.68210749541228</c:v>
                </c:pt>
                <c:pt idx="352">
                  <c:v>230.14696824957775</c:v>
                </c:pt>
                <c:pt idx="353">
                  <c:v>220.5954051311503</c:v>
                </c:pt>
                <c:pt idx="354">
                  <c:v>211.02777049808668</c:v>
                </c:pt>
                <c:pt idx="355">
                  <c:v>201.44441197196215</c:v>
                </c:pt>
                <c:pt idx="356">
                  <c:v>191.84567247207596</c:v>
                </c:pt>
                <c:pt idx="357">
                  <c:v>182.23189025025997</c:v>
                </c:pt>
                <c:pt idx="358">
                  <c:v>172.60339892635091</c:v>
                </c:pt>
                <c:pt idx="359">
                  <c:v>162.96052752428773</c:v>
                </c:pt>
                <c:pt idx="360">
                  <c:v>153.30360050879679</c:v>
                </c:pt>
                <c:pt idx="361">
                  <c:v>143.63293782262804</c:v>
                </c:pt>
                <c:pt idx="362">
                  <c:v>133.94885492430672</c:v>
                </c:pt>
                <c:pt idx="363">
                  <c:v>124.25166282636586</c:v>
                </c:pt>
                <c:pt idx="364">
                  <c:v>114.54166813402581</c:v>
                </c:pt>
                <c:pt idx="365">
                  <c:v>104.81917308428787</c:v>
                </c:pt>
                <c:pt idx="366">
                  <c:v>95.084475585410161</c:v>
                </c:pt>
                <c:pt idx="367">
                  <c:v>85.337869256734649</c:v>
                </c:pt>
                <c:pt idx="368">
                  <c:v>75.579643468835215</c:v>
                </c:pt>
                <c:pt idx="369">
                  <c:v>65.810083383957334</c:v>
                </c:pt>
                <c:pt idx="370">
                  <c:v>56.029469996721147</c:v>
                </c:pt>
                <c:pt idx="371">
                  <c:v>46.238080175060276</c:v>
                </c:pt>
                <c:pt idx="372">
                  <c:v>36.436186701369621</c:v>
                </c:pt>
                <c:pt idx="373">
                  <c:v>26.624058313836372</c:v>
                </c:pt>
                <c:pt idx="374">
                  <c:v>16.801959747929089</c:v>
                </c:pt>
                <c:pt idx="375">
                  <c:v>6.9701517780206697</c:v>
                </c:pt>
                <c:pt idx="376">
                  <c:v>-2.8711087408783076</c:v>
                </c:pt>
                <c:pt idx="377">
                  <c:v>-2.8809546684822815</c:v>
                </c:pt>
                <c:pt idx="378">
                  <c:v>-2.8908006051601789</c:v>
                </c:pt>
                <c:pt idx="379">
                  <c:v>-2.9006465509117527</c:v>
                </c:pt>
                <c:pt idx="380">
                  <c:v>-2.9104925057367566</c:v>
                </c:pt>
                <c:pt idx="381">
                  <c:v>-2.920338469634943</c:v>
                </c:pt>
                <c:pt idx="382">
                  <c:v>-2.9301844426060657</c:v>
                </c:pt>
                <c:pt idx="383">
                  <c:v>-2.9400304246498772</c:v>
                </c:pt>
                <c:pt idx="384">
                  <c:v>-2.949876415766131</c:v>
                </c:pt>
                <c:pt idx="385">
                  <c:v>-2.9597224159545799</c:v>
                </c:pt>
                <c:pt idx="386">
                  <c:v>-2.9695684252149772</c:v>
                </c:pt>
                <c:pt idx="387">
                  <c:v>-2.9794144435470762</c:v>
                </c:pt>
                <c:pt idx="388">
                  <c:v>-2.9892604709506299</c:v>
                </c:pt>
                <c:pt idx="389">
                  <c:v>-2.9991065074253913</c:v>
                </c:pt>
                <c:pt idx="390">
                  <c:v>-3.0089525529711136</c:v>
                </c:pt>
                <c:pt idx="391">
                  <c:v>-3.0187986075875504</c:v>
                </c:pt>
                <c:pt idx="392">
                  <c:v>-3.0286446712744541</c:v>
                </c:pt>
                <c:pt idx="393">
                  <c:v>-3.0384907440315785</c:v>
                </c:pt>
                <c:pt idx="394">
                  <c:v>-3.0483368258586765</c:v>
                </c:pt>
                <c:pt idx="395">
                  <c:v>-3.0581829167555012</c:v>
                </c:pt>
                <c:pt idx="396">
                  <c:v>-3.0680290167218058</c:v>
                </c:pt>
                <c:pt idx="397">
                  <c:v>-3.0778751257573433</c:v>
                </c:pt>
                <c:pt idx="398">
                  <c:v>-3.0877212438618673</c:v>
                </c:pt>
                <c:pt idx="399">
                  <c:v>-3.0975673710351304</c:v>
                </c:pt>
                <c:pt idx="400">
                  <c:v>-3.107413507276886</c:v>
                </c:pt>
                <c:pt idx="401">
                  <c:v>-3.1172596525868879</c:v>
                </c:pt>
                <c:pt idx="402">
                  <c:v>-3.1271058069648885</c:v>
                </c:pt>
                <c:pt idx="403">
                  <c:v>-3.1369519704106414</c:v>
                </c:pt>
                <c:pt idx="404">
                  <c:v>-3.1467981429238998</c:v>
                </c:pt>
                <c:pt idx="405">
                  <c:v>-3.1566443245044167</c:v>
                </c:pt>
                <c:pt idx="406">
                  <c:v>-3.1664905151519451</c:v>
                </c:pt>
                <c:pt idx="407">
                  <c:v>-3.1763367148662387</c:v>
                </c:pt>
                <c:pt idx="408">
                  <c:v>-3.1861829236470505</c:v>
                </c:pt>
                <c:pt idx="409">
                  <c:v>-3.1960291414941335</c:v>
                </c:pt>
                <c:pt idx="410">
                  <c:v>-3.2058753684072414</c:v>
                </c:pt>
                <c:pt idx="411">
                  <c:v>-3.2157216043861272</c:v>
                </c:pt>
                <c:pt idx="412">
                  <c:v>-3.225567849430544</c:v>
                </c:pt>
                <c:pt idx="413">
                  <c:v>-3.2354141035402453</c:v>
                </c:pt>
                <c:pt idx="414">
                  <c:v>-3.2452603667149842</c:v>
                </c:pt>
                <c:pt idx="415">
                  <c:v>-3.2551066389545138</c:v>
                </c:pt>
                <c:pt idx="416">
                  <c:v>-3.2649529202585872</c:v>
                </c:pt>
                <c:pt idx="417">
                  <c:v>-3.2747992106269579</c:v>
                </c:pt>
                <c:pt idx="418">
                  <c:v>-3.2846455100593794</c:v>
                </c:pt>
                <c:pt idx="419">
                  <c:v>-3.2944918185556045</c:v>
                </c:pt>
                <c:pt idx="420">
                  <c:v>-3.3043381361153865</c:v>
                </c:pt>
                <c:pt idx="421">
                  <c:v>-3.3141844627384791</c:v>
                </c:pt>
                <c:pt idx="422">
                  <c:v>-3.3240307984246353</c:v>
                </c:pt>
                <c:pt idx="423">
                  <c:v>-3.3338771431736083</c:v>
                </c:pt>
                <c:pt idx="424">
                  <c:v>-3.3437234969851515</c:v>
                </c:pt>
                <c:pt idx="425">
                  <c:v>-3.353569859859018</c:v>
                </c:pt>
                <c:pt idx="426">
                  <c:v>-3.363416231794961</c:v>
                </c:pt>
                <c:pt idx="427">
                  <c:v>-3.3732626127927339</c:v>
                </c:pt>
                <c:pt idx="428">
                  <c:v>-3.3831090028520903</c:v>
                </c:pt>
                <c:pt idx="429">
                  <c:v>-3.3929554019727828</c:v>
                </c:pt>
                <c:pt idx="430">
                  <c:v>-3.4028018101545654</c:v>
                </c:pt>
                <c:pt idx="431">
                  <c:v>-3.4126482273971912</c:v>
                </c:pt>
                <c:pt idx="432">
                  <c:v>-3.4224946537004133</c:v>
                </c:pt>
                <c:pt idx="433">
                  <c:v>-3.4323410890639852</c:v>
                </c:pt>
                <c:pt idx="434">
                  <c:v>-3.4421875334876599</c:v>
                </c:pt>
                <c:pt idx="435">
                  <c:v>-3.4520339869711911</c:v>
                </c:pt>
                <c:pt idx="436">
                  <c:v>-3.4618804495143318</c:v>
                </c:pt>
                <c:pt idx="437">
                  <c:v>-3.4717269211168356</c:v>
                </c:pt>
                <c:pt idx="438">
                  <c:v>-3.4815734017784554</c:v>
                </c:pt>
                <c:pt idx="439">
                  <c:v>-3.4914198914989449</c:v>
                </c:pt>
                <c:pt idx="440">
                  <c:v>-3.5012663902780576</c:v>
                </c:pt>
                <c:pt idx="441">
                  <c:v>-3.5111128981155466</c:v>
                </c:pt>
                <c:pt idx="442">
                  <c:v>-3.5209594150111654</c:v>
                </c:pt>
                <c:pt idx="443">
                  <c:v>-3.530805940964667</c:v>
                </c:pt>
                <c:pt idx="444">
                  <c:v>-3.5406524759758051</c:v>
                </c:pt>
                <c:pt idx="445">
                  <c:v>-3.5504990200443327</c:v>
                </c:pt>
                <c:pt idx="446">
                  <c:v>-3.5603455731700033</c:v>
                </c:pt>
                <c:pt idx="447">
                  <c:v>-3.5701921353525701</c:v>
                </c:pt>
                <c:pt idx="448">
                  <c:v>-3.5800387065917869</c:v>
                </c:pt>
                <c:pt idx="449">
                  <c:v>-3.5898852868874069</c:v>
                </c:pt>
                <c:pt idx="450">
                  <c:v>-3.5997318762391832</c:v>
                </c:pt>
                <c:pt idx="451">
                  <c:v>-3.6095784746468693</c:v>
                </c:pt>
                <c:pt idx="452">
                  <c:v>-3.6194250821102187</c:v>
                </c:pt>
                <c:pt idx="453">
                  <c:v>-3.6292716986289846</c:v>
                </c:pt>
                <c:pt idx="454">
                  <c:v>-3.6391183242029204</c:v>
                </c:pt>
                <c:pt idx="455">
                  <c:v>-3.6489649588317796</c:v>
                </c:pt>
                <c:pt idx="456">
                  <c:v>-3.6588116025153159</c:v>
                </c:pt>
                <c:pt idx="457">
                  <c:v>-3.6686582552532823</c:v>
                </c:pt>
                <c:pt idx="458">
                  <c:v>-3.6785049170454323</c:v>
                </c:pt>
                <c:pt idx="459">
                  <c:v>-3.688351587891519</c:v>
                </c:pt>
                <c:pt idx="460">
                  <c:v>-3.6981982677912963</c:v>
                </c:pt>
                <c:pt idx="461">
                  <c:v>-3.7080449567445175</c:v>
                </c:pt>
                <c:pt idx="462">
                  <c:v>-3.7178916547509355</c:v>
                </c:pt>
                <c:pt idx="463">
                  <c:v>-3.7277383618103044</c:v>
                </c:pt>
                <c:pt idx="464">
                  <c:v>-3.7375850779223772</c:v>
                </c:pt>
                <c:pt idx="465">
                  <c:v>-3.7474318030869074</c:v>
                </c:pt>
                <c:pt idx="466">
                  <c:v>-3.7572785373036486</c:v>
                </c:pt>
                <c:pt idx="467">
                  <c:v>-3.7671252805723543</c:v>
                </c:pt>
                <c:pt idx="468">
                  <c:v>-3.7769720328927776</c:v>
                </c:pt>
                <c:pt idx="469">
                  <c:v>-3.7868187942646721</c:v>
                </c:pt>
                <c:pt idx="470">
                  <c:v>-3.7966655646877912</c:v>
                </c:pt>
                <c:pt idx="471">
                  <c:v>-3.8065123441618884</c:v>
                </c:pt>
                <c:pt idx="472">
                  <c:v>-3.8163591326867174</c:v>
                </c:pt>
                <c:pt idx="473">
                  <c:v>-3.8262059302620313</c:v>
                </c:pt>
                <c:pt idx="474">
                  <c:v>-3.8360527368875834</c:v>
                </c:pt>
                <c:pt idx="475">
                  <c:v>-3.8458995525631274</c:v>
                </c:pt>
                <c:pt idx="476">
                  <c:v>-3.8557463772884168</c:v>
                </c:pt>
                <c:pt idx="477">
                  <c:v>-3.8655932110632052</c:v>
                </c:pt>
                <c:pt idx="478">
                  <c:v>-3.875440053887246</c:v>
                </c:pt>
                <c:pt idx="479">
                  <c:v>-3.8852869057602928</c:v>
                </c:pt>
                <c:pt idx="480">
                  <c:v>-3.8951337666820987</c:v>
                </c:pt>
                <c:pt idx="481">
                  <c:v>-3.9049806366524171</c:v>
                </c:pt>
                <c:pt idx="482">
                  <c:v>-3.9148275156710022</c:v>
                </c:pt>
                <c:pt idx="483">
                  <c:v>-3.9246744037376069</c:v>
                </c:pt>
                <c:pt idx="484">
                  <c:v>-3.9345213008519848</c:v>
                </c:pt>
                <c:pt idx="485">
                  <c:v>-3.9443682070138895</c:v>
                </c:pt>
                <c:pt idx="486">
                  <c:v>-3.9542151222230744</c:v>
                </c:pt>
                <c:pt idx="487">
                  <c:v>-3.9640620464792931</c:v>
                </c:pt>
                <c:pt idx="488">
                  <c:v>-3.9739089797822991</c:v>
                </c:pt>
                <c:pt idx="489">
                  <c:v>-3.9837559221318459</c:v>
                </c:pt>
                <c:pt idx="490">
                  <c:v>-3.9936028735276872</c:v>
                </c:pt>
                <c:pt idx="491">
                  <c:v>-4.0034498339695759</c:v>
                </c:pt>
                <c:pt idx="492">
                  <c:v>-4.0132968034572665</c:v>
                </c:pt>
                <c:pt idx="493">
                  <c:v>-4.0231437819905116</c:v>
                </c:pt>
                <c:pt idx="494">
                  <c:v>-4.0329907695690652</c:v>
                </c:pt>
                <c:pt idx="495">
                  <c:v>-4.0428377661926804</c:v>
                </c:pt>
                <c:pt idx="496">
                  <c:v>-4.0526847718611112</c:v>
                </c:pt>
                <c:pt idx="497">
                  <c:v>-4.0625317865741115</c:v>
                </c:pt>
                <c:pt idx="498">
                  <c:v>-4.0723788103314345</c:v>
                </c:pt>
                <c:pt idx="499">
                  <c:v>-4.0822258431328331</c:v>
                </c:pt>
                <c:pt idx="500">
                  <c:v>-4.0920728849780614</c:v>
                </c:pt>
                <c:pt idx="501">
                  <c:v>-4.1019199358668734</c:v>
                </c:pt>
                <c:pt idx="502">
                  <c:v>-4.1117669957990222</c:v>
                </c:pt>
                <c:pt idx="503">
                  <c:v>-4.1216140647742616</c:v>
                </c:pt>
                <c:pt idx="504">
                  <c:v>-4.1314611427923449</c:v>
                </c:pt>
                <c:pt idx="505">
                  <c:v>-4.1413082298530259</c:v>
                </c:pt>
                <c:pt idx="506">
                  <c:v>-4.1511553259560579</c:v>
                </c:pt>
                <c:pt idx="507">
                  <c:v>-4.1610024311011946</c:v>
                </c:pt>
                <c:pt idx="508">
                  <c:v>-4.1708495452881893</c:v>
                </c:pt>
                <c:pt idx="509">
                  <c:v>-4.1806966685167959</c:v>
                </c:pt>
                <c:pt idx="510">
                  <c:v>-4.1905438007867684</c:v>
                </c:pt>
                <c:pt idx="511">
                  <c:v>-4.2003909420978598</c:v>
                </c:pt>
                <c:pt idx="512">
                  <c:v>-4.2102380924498233</c:v>
                </c:pt>
                <c:pt idx="513">
                  <c:v>-4.2200852518424137</c:v>
                </c:pt>
                <c:pt idx="514">
                  <c:v>-4.2299324202753841</c:v>
                </c:pt>
                <c:pt idx="515">
                  <c:v>-4.2397795977484876</c:v>
                </c:pt>
                <c:pt idx="516">
                  <c:v>-4.2496267842614781</c:v>
                </c:pt>
                <c:pt idx="517">
                  <c:v>-4.2594739798141097</c:v>
                </c:pt>
                <c:pt idx="518">
                  <c:v>-4.2693211844061354</c:v>
                </c:pt>
                <c:pt idx="519">
                  <c:v>-4.2791683980373092</c:v>
                </c:pt>
                <c:pt idx="520">
                  <c:v>-4.2890156207073842</c:v>
                </c:pt>
                <c:pt idx="521">
                  <c:v>-4.2988628524161152</c:v>
                </c:pt>
                <c:pt idx="522">
                  <c:v>-4.3087100931632545</c:v>
                </c:pt>
                <c:pt idx="523">
                  <c:v>-4.3185573429485569</c:v>
                </c:pt>
                <c:pt idx="524">
                  <c:v>-4.3284046017717754</c:v>
                </c:pt>
                <c:pt idx="525">
                  <c:v>-4.3382518696326633</c:v>
                </c:pt>
                <c:pt idx="526">
                  <c:v>-4.3480991465309753</c:v>
                </c:pt>
                <c:pt idx="527">
                  <c:v>-4.3579464324664636</c:v>
                </c:pt>
                <c:pt idx="528">
                  <c:v>-4.3677937274388832</c:v>
                </c:pt>
                <c:pt idx="529">
                  <c:v>-4.377641031447987</c:v>
                </c:pt>
                <c:pt idx="530">
                  <c:v>-4.3874883444935291</c:v>
                </c:pt>
                <c:pt idx="531">
                  <c:v>-4.3973356665752634</c:v>
                </c:pt>
                <c:pt idx="532">
                  <c:v>-4.4071829976929431</c:v>
                </c:pt>
                <c:pt idx="533">
                  <c:v>-4.417030337846322</c:v>
                </c:pt>
                <c:pt idx="534">
                  <c:v>-4.4268776870351534</c:v>
                </c:pt>
                <c:pt idx="535">
                  <c:v>-4.4367250452591911</c:v>
                </c:pt>
                <c:pt idx="536">
                  <c:v>-4.4465724125181891</c:v>
                </c:pt>
                <c:pt idx="537">
                  <c:v>-4.4564197888119015</c:v>
                </c:pt>
                <c:pt idx="538">
                  <c:v>-4.4662671741400812</c:v>
                </c:pt>
                <c:pt idx="539">
                  <c:v>-4.4761145685024823</c:v>
                </c:pt>
                <c:pt idx="540">
                  <c:v>-4.4859619718988588</c:v>
                </c:pt>
                <c:pt idx="541">
                  <c:v>-4.4958093843289637</c:v>
                </c:pt>
                <c:pt idx="542">
                  <c:v>-4.505656805792551</c:v>
                </c:pt>
                <c:pt idx="543">
                  <c:v>-4.5155042362893747</c:v>
                </c:pt>
                <c:pt idx="544">
                  <c:v>-4.5253516758191878</c:v>
                </c:pt>
                <c:pt idx="545">
                  <c:v>-4.5351991243817453</c:v>
                </c:pt>
                <c:pt idx="546">
                  <c:v>-4.5450465819767993</c:v>
                </c:pt>
                <c:pt idx="547">
                  <c:v>-4.5548940486041047</c:v>
                </c:pt>
                <c:pt idx="548">
                  <c:v>-4.5647415242634155</c:v>
                </c:pt>
                <c:pt idx="549">
                  <c:v>-4.5745890089544847</c:v>
                </c:pt>
                <c:pt idx="550">
                  <c:v>-4.5844365026770655</c:v>
                </c:pt>
                <c:pt idx="551">
                  <c:v>-4.5942840054309126</c:v>
                </c:pt>
                <c:pt idx="552">
                  <c:v>-4.6041315172157793</c:v>
                </c:pt>
                <c:pt idx="553">
                  <c:v>-4.6139790380314203</c:v>
                </c:pt>
                <c:pt idx="554">
                  <c:v>-4.6238265678775878</c:v>
                </c:pt>
                <c:pt idx="555">
                  <c:v>-4.6336741067540368</c:v>
                </c:pt>
                <c:pt idx="556">
                  <c:v>-4.6435216546605202</c:v>
                </c:pt>
                <c:pt idx="557">
                  <c:v>-4.6533692115967931</c:v>
                </c:pt>
                <c:pt idx="558">
                  <c:v>-4.6632167775626074</c:v>
                </c:pt>
                <c:pt idx="559">
                  <c:v>-4.6730643525577182</c:v>
                </c:pt>
                <c:pt idx="560">
                  <c:v>-4.6829119365818794</c:v>
                </c:pt>
                <c:pt idx="561">
                  <c:v>-4.6927595296348441</c:v>
                </c:pt>
                <c:pt idx="562">
                  <c:v>-4.7026071317163662</c:v>
                </c:pt>
                <c:pt idx="563">
                  <c:v>-4.7124547428261998</c:v>
                </c:pt>
                <c:pt idx="564">
                  <c:v>-4.7223023629640988</c:v>
                </c:pt>
                <c:pt idx="565">
                  <c:v>-4.7321499921298162</c:v>
                </c:pt>
                <c:pt idx="566">
                  <c:v>-4.7419976303231062</c:v>
                </c:pt>
                <c:pt idx="567">
                  <c:v>-4.7518452775437225</c:v>
                </c:pt>
                <c:pt idx="568">
                  <c:v>-4.7616929337914193</c:v>
                </c:pt>
                <c:pt idx="569">
                  <c:v>-4.7715405990659505</c:v>
                </c:pt>
                <c:pt idx="570">
                  <c:v>-4.7813882733670692</c:v>
                </c:pt>
                <c:pt idx="571">
                  <c:v>-4.7912359566945302</c:v>
                </c:pt>
                <c:pt idx="572">
                  <c:v>-4.8010836490480866</c:v>
                </c:pt>
                <c:pt idx="573">
                  <c:v>-4.8109313504274924</c:v>
                </c:pt>
                <c:pt idx="574">
                  <c:v>-4.8207790608325016</c:v>
                </c:pt>
                <c:pt idx="575">
                  <c:v>-4.8306267802628682</c:v>
                </c:pt>
                <c:pt idx="576">
                  <c:v>-4.8404745087183452</c:v>
                </c:pt>
                <c:pt idx="577">
                  <c:v>-4.8503222461986875</c:v>
                </c:pt>
                <c:pt idx="578">
                  <c:v>-4.8601699927036481</c:v>
                </c:pt>
                <c:pt idx="579">
                  <c:v>-4.8700177482329812</c:v>
                </c:pt>
                <c:pt idx="580">
                  <c:v>-4.8798655127864405</c:v>
                </c:pt>
                <c:pt idx="581">
                  <c:v>-4.8897132863637802</c:v>
                </c:pt>
                <c:pt idx="582">
                  <c:v>-4.8995610689647542</c:v>
                </c:pt>
                <c:pt idx="583">
                  <c:v>-4.9094088605891155</c:v>
                </c:pt>
                <c:pt idx="584">
                  <c:v>-4.9192566612366191</c:v>
                </c:pt>
                <c:pt idx="585">
                  <c:v>-4.929104470907018</c:v>
                </c:pt>
                <c:pt idx="586">
                  <c:v>-4.938952289600067</c:v>
                </c:pt>
                <c:pt idx="587">
                  <c:v>-4.9488001173155194</c:v>
                </c:pt>
                <c:pt idx="588">
                  <c:v>-4.958647954053129</c:v>
                </c:pt>
                <c:pt idx="589">
                  <c:v>-4.9684957998126498</c:v>
                </c:pt>
                <c:pt idx="590">
                  <c:v>-4.9783436545938358</c:v>
                </c:pt>
                <c:pt idx="591">
                  <c:v>-4.9881915183964409</c:v>
                </c:pt>
                <c:pt idx="592">
                  <c:v>-4.9980393912202183</c:v>
                </c:pt>
                <c:pt idx="593">
                  <c:v>-5.0078872730649229</c:v>
                </c:pt>
                <c:pt idx="594">
                  <c:v>-5.0177351639303085</c:v>
                </c:pt>
                <c:pt idx="595">
                  <c:v>-5.0275830638161283</c:v>
                </c:pt>
                <c:pt idx="596">
                  <c:v>-5.0374309727221371</c:v>
                </c:pt>
                <c:pt idx="597">
                  <c:v>-5.0472788906480881</c:v>
                </c:pt>
                <c:pt idx="598">
                  <c:v>-5.0571268175937352</c:v>
                </c:pt>
                <c:pt idx="599">
                  <c:v>-5.0669747535588332</c:v>
                </c:pt>
                <c:pt idx="600">
                  <c:v>-5.0768226985431353</c:v>
                </c:pt>
                <c:pt idx="601">
                  <c:v>-5.0866706525463954</c:v>
                </c:pt>
                <c:pt idx="602">
                  <c:v>-5.0965186155683675</c:v>
                </c:pt>
                <c:pt idx="603">
                  <c:v>-5.1063665876088056</c:v>
                </c:pt>
                <c:pt idx="604">
                  <c:v>-5.1162145686674636</c:v>
                </c:pt>
                <c:pt idx="605">
                  <c:v>-5.1260625587440956</c:v>
                </c:pt>
                <c:pt idx="606">
                  <c:v>-5.1359105578384554</c:v>
                </c:pt>
                <c:pt idx="607">
                  <c:v>-5.1457585659502971</c:v>
                </c:pt>
                <c:pt idx="608">
                  <c:v>-5.1556065830793747</c:v>
                </c:pt>
                <c:pt idx="609">
                  <c:v>-5.1654546092254421</c:v>
                </c:pt>
                <c:pt idx="610">
                  <c:v>-5.1753026443882533</c:v>
                </c:pt>
                <c:pt idx="611">
                  <c:v>-5.1851506885675622</c:v>
                </c:pt>
                <c:pt idx="612">
                  <c:v>-5.1949987417631229</c:v>
                </c:pt>
                <c:pt idx="613">
                  <c:v>-5.2048468039746894</c:v>
                </c:pt>
                <c:pt idx="614">
                  <c:v>-5.2146948752020155</c:v>
                </c:pt>
                <c:pt idx="615">
                  <c:v>-5.2245429554448553</c:v>
                </c:pt>
                <c:pt idx="616">
                  <c:v>-5.2343910447029627</c:v>
                </c:pt>
                <c:pt idx="617">
                  <c:v>-5.2442391429760917</c:v>
                </c:pt>
                <c:pt idx="618">
                  <c:v>-5.2540872502639964</c:v>
                </c:pt>
                <c:pt idx="619">
                  <c:v>-5.2639353665664306</c:v>
                </c:pt>
                <c:pt idx="620">
                  <c:v>-5.2737834918831483</c:v>
                </c:pt>
                <c:pt idx="621">
                  <c:v>-5.2836316262139045</c:v>
                </c:pt>
                <c:pt idx="622">
                  <c:v>-5.2934797695584521</c:v>
                </c:pt>
                <c:pt idx="623">
                  <c:v>-5.3033279219165452</c:v>
                </c:pt>
                <c:pt idx="624">
                  <c:v>-5.3131760832879378</c:v>
                </c:pt>
                <c:pt idx="625">
                  <c:v>-5.3230242536723846</c:v>
                </c:pt>
                <c:pt idx="626">
                  <c:v>-5.3328724330696389</c:v>
                </c:pt>
                <c:pt idx="627">
                  <c:v>-5.3427206214794554</c:v>
                </c:pt>
                <c:pt idx="628">
                  <c:v>-5.3525688189015872</c:v>
                </c:pt>
                <c:pt idx="629">
                  <c:v>-5.3624170253357892</c:v>
                </c:pt>
                <c:pt idx="630">
                  <c:v>-5.3722652407818146</c:v>
                </c:pt>
                <c:pt idx="631">
                  <c:v>-5.382113465239418</c:v>
                </c:pt>
                <c:pt idx="632">
                  <c:v>-5.3919616987083536</c:v>
                </c:pt>
                <c:pt idx="633">
                  <c:v>-5.4018099411883753</c:v>
                </c:pt>
                <c:pt idx="634">
                  <c:v>-5.4116581926792371</c:v>
                </c:pt>
                <c:pt idx="635">
                  <c:v>-5.4215064531806929</c:v>
                </c:pt>
                <c:pt idx="636">
                  <c:v>-5.4313547226924968</c:v>
                </c:pt>
                <c:pt idx="637">
                  <c:v>-5.4412030012144035</c:v>
                </c:pt>
                <c:pt idx="638">
                  <c:v>-5.4510512887461662</c:v>
                </c:pt>
                <c:pt idx="639">
                  <c:v>-5.4608995852875397</c:v>
                </c:pt>
                <c:pt idx="640">
                  <c:v>-5.4707478908382781</c:v>
                </c:pt>
                <c:pt idx="641">
                  <c:v>-5.4805962053981343</c:v>
                </c:pt>
                <c:pt idx="642">
                  <c:v>-5.4904445289668633</c:v>
                </c:pt>
                <c:pt idx="643">
                  <c:v>-5.500292861544219</c:v>
                </c:pt>
                <c:pt idx="644">
                  <c:v>-5.5101412031299564</c:v>
                </c:pt>
                <c:pt idx="645">
                  <c:v>-5.5199895537238284</c:v>
                </c:pt>
                <c:pt idx="646">
                  <c:v>-5.529837913325589</c:v>
                </c:pt>
                <c:pt idx="647">
                  <c:v>-5.5396862819349932</c:v>
                </c:pt>
                <c:pt idx="648">
                  <c:v>-5.5495346595517949</c:v>
                </c:pt>
                <c:pt idx="649">
                  <c:v>-5.5593830461757481</c:v>
                </c:pt>
                <c:pt idx="650">
                  <c:v>-5.5692314418066067</c:v>
                </c:pt>
                <c:pt idx="651">
                  <c:v>-5.5790798464441247</c:v>
                </c:pt>
                <c:pt idx="652">
                  <c:v>-5.588928260088057</c:v>
                </c:pt>
                <c:pt idx="653">
                  <c:v>-5.5987766827381567</c:v>
                </c:pt>
                <c:pt idx="654">
                  <c:v>-5.6086251143941785</c:v>
                </c:pt>
                <c:pt idx="655">
                  <c:v>-5.6184735550558766</c:v>
                </c:pt>
                <c:pt idx="656">
                  <c:v>-5.6283220047230049</c:v>
                </c:pt>
                <c:pt idx="657">
                  <c:v>-5.6381704633953182</c:v>
                </c:pt>
                <c:pt idx="658">
                  <c:v>-5.6480189310725697</c:v>
                </c:pt>
                <c:pt idx="659">
                  <c:v>-5.6578674077545141</c:v>
                </c:pt>
                <c:pt idx="660">
                  <c:v>-5.6677158934409055</c:v>
                </c:pt>
                <c:pt idx="661">
                  <c:v>-5.6775643881314979</c:v>
                </c:pt>
                <c:pt idx="662">
                  <c:v>-5.687412891826046</c:v>
                </c:pt>
                <c:pt idx="663">
                  <c:v>-5.6972614045243031</c:v>
                </c:pt>
                <c:pt idx="664">
                  <c:v>-5.7071099262260239</c:v>
                </c:pt>
                <c:pt idx="665">
                  <c:v>-5.7169584569309624</c:v>
                </c:pt>
                <c:pt idx="666">
                  <c:v>-5.7268069966388726</c:v>
                </c:pt>
                <c:pt idx="667">
                  <c:v>-5.7366555453495094</c:v>
                </c:pt>
                <c:pt idx="668">
                  <c:v>-5.7465041030626267</c:v>
                </c:pt>
                <c:pt idx="669">
                  <c:v>-5.7563526697779785</c:v>
                </c:pt>
                <c:pt idx="670">
                  <c:v>-5.7662012454953189</c:v>
                </c:pt>
                <c:pt idx="671">
                  <c:v>-5.7760498302144017</c:v>
                </c:pt>
                <c:pt idx="672">
                  <c:v>-5.7858984239349818</c:v>
                </c:pt>
                <c:pt idx="673">
                  <c:v>-5.7957470266568132</c:v>
                </c:pt>
                <c:pt idx="674">
                  <c:v>-5.8055956383796499</c:v>
                </c:pt>
                <c:pt idx="675">
                  <c:v>-5.8154442591032467</c:v>
                </c:pt>
                <c:pt idx="676">
                  <c:v>-5.8252928888273567</c:v>
                </c:pt>
                <c:pt idx="677">
                  <c:v>-5.8351415275517358</c:v>
                </c:pt>
                <c:pt idx="678">
                  <c:v>-5.8449901752761368</c:v>
                </c:pt>
                <c:pt idx="679">
                  <c:v>-5.854838832000314</c:v>
                </c:pt>
                <c:pt idx="680">
                  <c:v>-5.864687497724022</c:v>
                </c:pt>
                <c:pt idx="681">
                  <c:v>-5.8745361724470158</c:v>
                </c:pt>
                <c:pt idx="682">
                  <c:v>-5.8843848561690484</c:v>
                </c:pt>
                <c:pt idx="683">
                  <c:v>-5.8942335488898747</c:v>
                </c:pt>
                <c:pt idx="684">
                  <c:v>-5.9040822506092487</c:v>
                </c:pt>
                <c:pt idx="685">
                  <c:v>-5.9139309613269244</c:v>
                </c:pt>
                <c:pt idx="686">
                  <c:v>-5.9237796810426566</c:v>
                </c:pt>
                <c:pt idx="687">
                  <c:v>-5.9336284097561993</c:v>
                </c:pt>
                <c:pt idx="688">
                  <c:v>-5.9434771474673074</c:v>
                </c:pt>
                <c:pt idx="689">
                  <c:v>-5.9533258941757339</c:v>
                </c:pt>
                <c:pt idx="690">
                  <c:v>-5.9631746498812337</c:v>
                </c:pt>
                <c:pt idx="691">
                  <c:v>-5.9730234145835617</c:v>
                </c:pt>
                <c:pt idx="692">
                  <c:v>-5.9828721882824709</c:v>
                </c:pt>
                <c:pt idx="693">
                  <c:v>-5.9927209709777163</c:v>
                </c:pt>
                <c:pt idx="694">
                  <c:v>-6.0025697626690526</c:v>
                </c:pt>
                <c:pt idx="695">
                  <c:v>-6.012418563356233</c:v>
                </c:pt>
                <c:pt idx="696">
                  <c:v>-6.0222673730390124</c:v>
                </c:pt>
                <c:pt idx="697">
                  <c:v>-6.0321161917171455</c:v>
                </c:pt>
                <c:pt idx="698">
                  <c:v>-6.0419650193903864</c:v>
                </c:pt>
                <c:pt idx="699">
                  <c:v>-6.0518138560584891</c:v>
                </c:pt>
                <c:pt idx="700">
                  <c:v>-6.0616627017212075</c:v>
                </c:pt>
                <c:pt idx="701">
                  <c:v>-6.0715115563782964</c:v>
                </c:pt>
                <c:pt idx="702">
                  <c:v>-6.0813604200295108</c:v>
                </c:pt>
                <c:pt idx="703">
                  <c:v>-6.0912092926746038</c:v>
                </c:pt>
                <c:pt idx="704">
                  <c:v>-6.1010581743133301</c:v>
                </c:pt>
                <c:pt idx="705">
                  <c:v>-6.1109070649454447</c:v>
                </c:pt>
                <c:pt idx="706">
                  <c:v>-6.1207559645707015</c:v>
                </c:pt>
                <c:pt idx="707">
                  <c:v>-6.1306048731888545</c:v>
                </c:pt>
                <c:pt idx="708">
                  <c:v>-6.1404537907996586</c:v>
                </c:pt>
                <c:pt idx="709">
                  <c:v>-6.1503027174028677</c:v>
                </c:pt>
                <c:pt idx="710">
                  <c:v>-6.1601516529982359</c:v>
                </c:pt>
                <c:pt idx="711">
                  <c:v>-6.1700005975855179</c:v>
                </c:pt>
                <c:pt idx="712">
                  <c:v>-6.1798495511644678</c:v>
                </c:pt>
                <c:pt idx="713">
                  <c:v>-6.1896985137348404</c:v>
                </c:pt>
                <c:pt idx="714">
                  <c:v>-6.1995474852963897</c:v>
                </c:pt>
                <c:pt idx="715">
                  <c:v>-6.2093964658488705</c:v>
                </c:pt>
                <c:pt idx="716">
                  <c:v>-6.2192454553920369</c:v>
                </c:pt>
                <c:pt idx="717">
                  <c:v>-6.2290944539256428</c:v>
                </c:pt>
                <c:pt idx="718">
                  <c:v>-6.238943461449443</c:v>
                </c:pt>
                <c:pt idx="719">
                  <c:v>-6.2487924779631925</c:v>
                </c:pt>
                <c:pt idx="720">
                  <c:v>-6.2586415034666452</c:v>
                </c:pt>
                <c:pt idx="721">
                  <c:v>-6.268490537959555</c:v>
                </c:pt>
                <c:pt idx="722">
                  <c:v>-6.2783395814416769</c:v>
                </c:pt>
                <c:pt idx="723">
                  <c:v>-6.2881886339127648</c:v>
                </c:pt>
                <c:pt idx="724">
                  <c:v>-6.2980376953725736</c:v>
                </c:pt>
                <c:pt idx="725">
                  <c:v>-6.3078867658208573</c:v>
                </c:pt>
                <c:pt idx="726">
                  <c:v>-6.3177358452573706</c:v>
                </c:pt>
                <c:pt idx="727">
                  <c:v>-6.3275849336818677</c:v>
                </c:pt>
                <c:pt idx="728">
                  <c:v>-6.3374340310941024</c:v>
                </c:pt>
                <c:pt idx="729">
                  <c:v>-6.3472831374938306</c:v>
                </c:pt>
                <c:pt idx="730">
                  <c:v>-6.3571322528808052</c:v>
                </c:pt>
                <c:pt idx="731">
                  <c:v>-6.3669813772547812</c:v>
                </c:pt>
                <c:pt idx="732">
                  <c:v>-6.3768305106155134</c:v>
                </c:pt>
                <c:pt idx="733">
                  <c:v>-6.3866796529627559</c:v>
                </c:pt>
                <c:pt idx="734">
                  <c:v>-6.3965288042962634</c:v>
                </c:pt>
                <c:pt idx="735">
                  <c:v>-6.4063779646157899</c:v>
                </c:pt>
                <c:pt idx="736">
                  <c:v>-6.4162271339210903</c:v>
                </c:pt>
                <c:pt idx="737">
                  <c:v>-6.4260763122119187</c:v>
                </c:pt>
                <c:pt idx="738">
                  <c:v>-6.4359254994880297</c:v>
                </c:pt>
                <c:pt idx="739">
                  <c:v>-6.4457746957491775</c:v>
                </c:pt>
                <c:pt idx="740">
                  <c:v>-6.4556239009951168</c:v>
                </c:pt>
                <c:pt idx="741">
                  <c:v>-6.4654731152256018</c:v>
                </c:pt>
                <c:pt idx="742">
                  <c:v>-6.4753223384403871</c:v>
                </c:pt>
                <c:pt idx="743">
                  <c:v>-6.4851715706392277</c:v>
                </c:pt>
                <c:pt idx="744">
                  <c:v>-6.4950208118218775</c:v>
                </c:pt>
                <c:pt idx="745">
                  <c:v>-6.5048700619880906</c:v>
                </c:pt>
                <c:pt idx="746">
                  <c:v>-6.5147193211376226</c:v>
                </c:pt>
                <c:pt idx="747">
                  <c:v>-6.5245685892702268</c:v>
                </c:pt>
                <c:pt idx="748">
                  <c:v>-6.5344178663856587</c:v>
                </c:pt>
                <c:pt idx="749">
                  <c:v>-6.5442671524836724</c:v>
                </c:pt>
                <c:pt idx="750">
                  <c:v>-6.5541164475640219</c:v>
                </c:pt>
                <c:pt idx="751">
                  <c:v>-6.563965751626462</c:v>
                </c:pt>
                <c:pt idx="752">
                  <c:v>-6.5738150646707476</c:v>
                </c:pt>
                <c:pt idx="753">
                  <c:v>-6.5836643866966327</c:v>
                </c:pt>
                <c:pt idx="754">
                  <c:v>-6.5935137177038721</c:v>
                </c:pt>
                <c:pt idx="755">
                  <c:v>-6.6033630576922198</c:v>
                </c:pt>
                <c:pt idx="756">
                  <c:v>-6.6132124066614306</c:v>
                </c:pt>
                <c:pt idx="757">
                  <c:v>-6.6230617646112595</c:v>
                </c:pt>
                <c:pt idx="758">
                  <c:v>-6.6329111315414604</c:v>
                </c:pt>
                <c:pt idx="759">
                  <c:v>-6.6427605074517881</c:v>
                </c:pt>
                <c:pt idx="760">
                  <c:v>-6.6526098923419976</c:v>
                </c:pt>
                <c:pt idx="761">
                  <c:v>-6.6624592862118428</c:v>
                </c:pt>
                <c:pt idx="762">
                  <c:v>-6.6723086890610785</c:v>
                </c:pt>
                <c:pt idx="763">
                  <c:v>-6.6821581008894588</c:v>
                </c:pt>
                <c:pt idx="764">
                  <c:v>-6.6920075216967385</c:v>
                </c:pt>
                <c:pt idx="765">
                  <c:v>-6.7018569514826725</c:v>
                </c:pt>
                <c:pt idx="766">
                  <c:v>-6.7117063902470147</c:v>
                </c:pt>
                <c:pt idx="767">
                  <c:v>-6.7215558379895199</c:v>
                </c:pt>
                <c:pt idx="768">
                  <c:v>-6.7314052947099432</c:v>
                </c:pt>
                <c:pt idx="769">
                  <c:v>-6.7412547604080384</c:v>
                </c:pt>
                <c:pt idx="770">
                  <c:v>-6.7511042350835604</c:v>
                </c:pt>
                <c:pt idx="771">
                  <c:v>-6.7609537187362641</c:v>
                </c:pt>
                <c:pt idx="772">
                  <c:v>-6.7708032113659034</c:v>
                </c:pt>
                <c:pt idx="773">
                  <c:v>-6.7806527129722332</c:v>
                </c:pt>
                <c:pt idx="774">
                  <c:v>-6.7905022235550083</c:v>
                </c:pt>
                <c:pt idx="775">
                  <c:v>-6.8003517431139828</c:v>
                </c:pt>
                <c:pt idx="776">
                  <c:v>-6.8102012716489115</c:v>
                </c:pt>
                <c:pt idx="777">
                  <c:v>-6.8200508091595493</c:v>
                </c:pt>
                <c:pt idx="778">
                  <c:v>-6.829900355645651</c:v>
                </c:pt>
                <c:pt idx="779">
                  <c:v>-6.8397499111069706</c:v>
                </c:pt>
                <c:pt idx="780">
                  <c:v>-6.849599475543263</c:v>
                </c:pt>
                <c:pt idx="781">
                  <c:v>-6.8594490489542821</c:v>
                </c:pt>
                <c:pt idx="782">
                  <c:v>-6.8692986313397837</c:v>
                </c:pt>
                <c:pt idx="783">
                  <c:v>-6.8791482226995218</c:v>
                </c:pt>
                <c:pt idx="784">
                  <c:v>-6.8889978230332503</c:v>
                </c:pt>
                <c:pt idx="785">
                  <c:v>-6.8988474323407249</c:v>
                </c:pt>
                <c:pt idx="786">
                  <c:v>-6.9086970506216998</c:v>
                </c:pt>
                <c:pt idx="787">
                  <c:v>-6.9185466778759297</c:v>
                </c:pt>
                <c:pt idx="788">
                  <c:v>-6.9283963141031695</c:v>
                </c:pt>
                <c:pt idx="789">
                  <c:v>-6.9382459593031731</c:v>
                </c:pt>
                <c:pt idx="790">
                  <c:v>-6.9480956134756964</c:v>
                </c:pt>
                <c:pt idx="791">
                  <c:v>-6.9579452766204923</c:v>
                </c:pt>
                <c:pt idx="792">
                  <c:v>-6.9677949487373168</c:v>
                </c:pt>
                <c:pt idx="793">
                  <c:v>-6.9776446298259245</c:v>
                </c:pt>
                <c:pt idx="794">
                  <c:v>-6.9874943198860695</c:v>
                </c:pt>
                <c:pt idx="795">
                  <c:v>-6.9973440189175067</c:v>
                </c:pt>
                <c:pt idx="796">
                  <c:v>-7.0071937269199909</c:v>
                </c:pt>
                <c:pt idx="797">
                  <c:v>-7.0170434438932761</c:v>
                </c:pt>
                <c:pt idx="798">
                  <c:v>-7.026893169837118</c:v>
                </c:pt>
                <c:pt idx="799">
                  <c:v>-7.0367429047512706</c:v>
                </c:pt>
                <c:pt idx="800">
                  <c:v>-7.0465926486354888</c:v>
                </c:pt>
                <c:pt idx="801">
                  <c:v>-7.0564424014895266</c:v>
                </c:pt>
                <c:pt idx="802">
                  <c:v>-7.0662921633131397</c:v>
                </c:pt>
                <c:pt idx="803">
                  <c:v>-7.0761419341060821</c:v>
                </c:pt>
                <c:pt idx="804">
                  <c:v>-7.0859917138681086</c:v>
                </c:pt>
                <c:pt idx="805">
                  <c:v>-7.0958415025989741</c:v>
                </c:pt>
                <c:pt idx="806">
                  <c:v>-7.1056913002984334</c:v>
                </c:pt>
                <c:pt idx="807">
                  <c:v>-7.1155411069662415</c:v>
                </c:pt>
                <c:pt idx="808">
                  <c:v>-7.1253909226021523</c:v>
                </c:pt>
                <c:pt idx="809">
                  <c:v>-7.1352407472059207</c:v>
                </c:pt>
                <c:pt idx="810">
                  <c:v>-7.1450905807773015</c:v>
                </c:pt>
                <c:pt idx="811">
                  <c:v>-7.1549404233160496</c:v>
                </c:pt>
                <c:pt idx="812">
                  <c:v>-7.1647902748219199</c:v>
                </c:pt>
                <c:pt idx="813">
                  <c:v>-7.1746401352946672</c:v>
                </c:pt>
                <c:pt idx="814">
                  <c:v>-7.1844900047340454</c:v>
                </c:pt>
                <c:pt idx="815">
                  <c:v>-7.1943398831398095</c:v>
                </c:pt>
                <c:pt idx="816">
                  <c:v>-7.2041897705117153</c:v>
                </c:pt>
                <c:pt idx="817">
                  <c:v>-7.2140396668495166</c:v>
                </c:pt>
                <c:pt idx="818">
                  <c:v>-7.2238895721529683</c:v>
                </c:pt>
                <c:pt idx="819">
                  <c:v>-7.2337394864218245</c:v>
                </c:pt>
                <c:pt idx="820">
                  <c:v>-7.2435894096558409</c:v>
                </c:pt>
                <c:pt idx="821">
                  <c:v>-7.2534393418547722</c:v>
                </c:pt>
                <c:pt idx="822">
                  <c:v>-7.2632892830183726</c:v>
                </c:pt>
                <c:pt idx="823">
                  <c:v>-7.2731392331463969</c:v>
                </c:pt>
                <c:pt idx="824">
                  <c:v>-7.2829891922385999</c:v>
                </c:pt>
                <c:pt idx="825">
                  <c:v>-7.2928391602947373</c:v>
                </c:pt>
                <c:pt idx="826">
                  <c:v>-7.3026891373145633</c:v>
                </c:pt>
                <c:pt idx="827">
                  <c:v>-7.3125391232978316</c:v>
                </c:pt>
                <c:pt idx="828">
                  <c:v>-7.3223891182442982</c:v>
                </c:pt>
                <c:pt idx="829">
                  <c:v>-7.3322391221537178</c:v>
                </c:pt>
                <c:pt idx="830">
                  <c:v>-7.3420891350258453</c:v>
                </c:pt>
                <c:pt idx="831">
                  <c:v>-7.3519391568604346</c:v>
                </c:pt>
                <c:pt idx="832">
                  <c:v>-7.3617891876572417</c:v>
                </c:pt>
                <c:pt idx="833">
                  <c:v>-7.3716392274160203</c:v>
                </c:pt>
                <c:pt idx="834">
                  <c:v>-7.3814892761365254</c:v>
                </c:pt>
                <c:pt idx="835">
                  <c:v>-7.3913393338185127</c:v>
                </c:pt>
                <c:pt idx="836">
                  <c:v>-7.4011894004617362</c:v>
                </c:pt>
                <c:pt idx="837">
                  <c:v>-7.4110394760659508</c:v>
                </c:pt>
                <c:pt idx="838">
                  <c:v>-7.4208895606309113</c:v>
                </c:pt>
                <c:pt idx="839">
                  <c:v>-7.4307396541563726</c:v>
                </c:pt>
                <c:pt idx="840">
                  <c:v>-7.4405897566420904</c:v>
                </c:pt>
                <c:pt idx="841">
                  <c:v>-7.4504398680878188</c:v>
                </c:pt>
                <c:pt idx="842">
                  <c:v>-7.4602899884933125</c:v>
                </c:pt>
                <c:pt idx="843">
                  <c:v>-7.4701401178583255</c:v>
                </c:pt>
                <c:pt idx="844">
                  <c:v>-7.4799902561826137</c:v>
                </c:pt>
                <c:pt idx="845">
                  <c:v>-7.4898404034659318</c:v>
                </c:pt>
                <c:pt idx="846">
                  <c:v>-7.4996905597080348</c:v>
                </c:pt>
                <c:pt idx="847">
                  <c:v>-7.5095407249086774</c:v>
                </c:pt>
                <c:pt idx="848">
                  <c:v>-7.5193908990676146</c:v>
                </c:pt>
                <c:pt idx="849">
                  <c:v>-7.5292410821846012</c:v>
                </c:pt>
                <c:pt idx="850">
                  <c:v>-7.5390912742593921</c:v>
                </c:pt>
                <c:pt idx="851">
                  <c:v>-7.5489414752917421</c:v>
                </c:pt>
                <c:pt idx="852">
                  <c:v>-7.5587916852814061</c:v>
                </c:pt>
                <c:pt idx="853">
                  <c:v>-7.5686419042281381</c:v>
                </c:pt>
                <c:pt idx="854">
                  <c:v>-7.5784921321316938</c:v>
                </c:pt>
                <c:pt idx="855">
                  <c:v>-7.5883423689918281</c:v>
                </c:pt>
                <c:pt idx="856">
                  <c:v>-7.5981926148082959</c:v>
                </c:pt>
                <c:pt idx="857">
                  <c:v>-7.608042869580852</c:v>
                </c:pt>
                <c:pt idx="858">
                  <c:v>-7.6178931333092512</c:v>
                </c:pt>
                <c:pt idx="859">
                  <c:v>-7.6277434059932494</c:v>
                </c:pt>
                <c:pt idx="860">
                  <c:v>-7.6375936876326005</c:v>
                </c:pt>
                <c:pt idx="861">
                  <c:v>-7.6474439782270593</c:v>
                </c:pt>
                <c:pt idx="862">
                  <c:v>-7.6572942777763808</c:v>
                </c:pt>
                <c:pt idx="863">
                  <c:v>-7.6671445862803198</c:v>
                </c:pt>
                <c:pt idx="864">
                  <c:v>-7.676994903738632</c:v>
                </c:pt>
                <c:pt idx="865">
                  <c:v>-7.6868452301510715</c:v>
                </c:pt>
                <c:pt idx="866">
                  <c:v>-7.6966955655173939</c:v>
                </c:pt>
                <c:pt idx="867">
                  <c:v>-7.7065459098373532</c:v>
                </c:pt>
                <c:pt idx="868">
                  <c:v>-7.7163962631107053</c:v>
                </c:pt>
                <c:pt idx="869">
                  <c:v>-7.7262466253372049</c:v>
                </c:pt>
                <c:pt idx="870">
                  <c:v>-7.736096996516606</c:v>
                </c:pt>
                <c:pt idx="871">
                  <c:v>-7.7459473766486644</c:v>
                </c:pt>
                <c:pt idx="872">
                  <c:v>-7.755797765733135</c:v>
                </c:pt>
                <c:pt idx="873">
                  <c:v>-7.7656481637697725</c:v>
                </c:pt>
                <c:pt idx="874">
                  <c:v>-7.7754985707583328</c:v>
                </c:pt>
                <c:pt idx="875">
                  <c:v>-7.7853489866985699</c:v>
                </c:pt>
                <c:pt idx="876">
                  <c:v>-7.7951994115902385</c:v>
                </c:pt>
                <c:pt idx="877">
                  <c:v>-7.8050498454330945</c:v>
                </c:pt>
                <c:pt idx="878">
                  <c:v>-7.8149002882268928</c:v>
                </c:pt>
                <c:pt idx="879">
                  <c:v>-7.8247507399713871</c:v>
                </c:pt>
                <c:pt idx="880">
                  <c:v>-7.8346012006663335</c:v>
                </c:pt>
                <c:pt idx="881">
                  <c:v>-7.8444516703114866</c:v>
                </c:pt>
                <c:pt idx="882">
                  <c:v>-7.8543021489066014</c:v>
                </c:pt>
                <c:pt idx="883">
                  <c:v>-7.8641526364514336</c:v>
                </c:pt>
                <c:pt idx="884">
                  <c:v>-7.8740031329457372</c:v>
                </c:pt>
                <c:pt idx="885">
                  <c:v>-7.8838536383892679</c:v>
                </c:pt>
                <c:pt idx="886">
                  <c:v>-7.8937041527817806</c:v>
                </c:pt>
                <c:pt idx="887">
                  <c:v>-7.9035546761230293</c:v>
                </c:pt>
                <c:pt idx="888">
                  <c:v>-7.9134052084127706</c:v>
                </c:pt>
                <c:pt idx="889">
                  <c:v>-7.9232557496507585</c:v>
                </c:pt>
                <c:pt idx="890">
                  <c:v>-7.9331062998367479</c:v>
                </c:pt>
                <c:pt idx="891">
                  <c:v>-7.9429568589704944</c:v>
                </c:pt>
                <c:pt idx="892">
                  <c:v>-7.952807427051753</c:v>
                </c:pt>
                <c:pt idx="893">
                  <c:v>-7.9626580040802777</c:v>
                </c:pt>
                <c:pt idx="894">
                  <c:v>-7.972508590055825</c:v>
                </c:pt>
                <c:pt idx="895">
                  <c:v>-7.982359184978149</c:v>
                </c:pt>
                <c:pt idx="896">
                  <c:v>-7.9922097888470045</c:v>
                </c:pt>
                <c:pt idx="897">
                  <c:v>-8.0020604016621473</c:v>
                </c:pt>
                <c:pt idx="898">
                  <c:v>-8.0119110234233322</c:v>
                </c:pt>
                <c:pt idx="899">
                  <c:v>-8.0217616541303141</c:v>
                </c:pt>
                <c:pt idx="900">
                  <c:v>-8.0316122937828478</c:v>
                </c:pt>
                <c:pt idx="901">
                  <c:v>-8.04146294238069</c:v>
                </c:pt>
                <c:pt idx="902">
                  <c:v>-8.0513135999235939</c:v>
                </c:pt>
                <c:pt idx="903">
                  <c:v>-8.0611642664113141</c:v>
                </c:pt>
                <c:pt idx="904">
                  <c:v>-8.0710149418436075</c:v>
                </c:pt>
                <c:pt idx="905">
                  <c:v>-8.0808656262202287</c:v>
                </c:pt>
                <c:pt idx="906">
                  <c:v>-8.0907163195409328</c:v>
                </c:pt>
                <c:pt idx="907">
                  <c:v>-8.1005670218054746</c:v>
                </c:pt>
                <c:pt idx="908">
                  <c:v>-8.1104177330136089</c:v>
                </c:pt>
                <c:pt idx="909">
                  <c:v>-8.1202684531650906</c:v>
                </c:pt>
                <c:pt idx="910">
                  <c:v>-8.1301191822596746</c:v>
                </c:pt>
                <c:pt idx="911">
                  <c:v>-8.1399699202971174</c:v>
                </c:pt>
                <c:pt idx="912">
                  <c:v>-8.1498206672771722</c:v>
                </c:pt>
                <c:pt idx="913">
                  <c:v>-8.1596714231995957</c:v>
                </c:pt>
                <c:pt idx="914">
                  <c:v>-8.1695221880641427</c:v>
                </c:pt>
                <c:pt idx="915">
                  <c:v>-8.1793729618705679</c:v>
                </c:pt>
                <c:pt idx="916">
                  <c:v>-8.1892237446186265</c:v>
                </c:pt>
                <c:pt idx="917">
                  <c:v>-8.199074536308073</c:v>
                </c:pt>
                <c:pt idx="918">
                  <c:v>-8.2089253369386643</c:v>
                </c:pt>
                <c:pt idx="919">
                  <c:v>-8.2187761465101552</c:v>
                </c:pt>
                <c:pt idx="920">
                  <c:v>-8.2286269650222987</c:v>
                </c:pt>
                <c:pt idx="921">
                  <c:v>-8.2384777924748516</c:v>
                </c:pt>
                <c:pt idx="922">
                  <c:v>-8.2483286288675686</c:v>
                </c:pt>
                <c:pt idx="923">
                  <c:v>-8.2581794742002046</c:v>
                </c:pt>
                <c:pt idx="924">
                  <c:v>-8.2680303284725163</c:v>
                </c:pt>
                <c:pt idx="925">
                  <c:v>-8.2778811916842567</c:v>
                </c:pt>
                <c:pt idx="926">
                  <c:v>-8.2877320638351826</c:v>
                </c:pt>
                <c:pt idx="927">
                  <c:v>-8.2975829449250487</c:v>
                </c:pt>
                <c:pt idx="928">
                  <c:v>-8.3074338349536099</c:v>
                </c:pt>
                <c:pt idx="929">
                  <c:v>-8.3172847339206211</c:v>
                </c:pt>
                <c:pt idx="930">
                  <c:v>-8.3271356418258371</c:v>
                </c:pt>
                <c:pt idx="931">
                  <c:v>-8.3369865586690146</c:v>
                </c:pt>
                <c:pt idx="932">
                  <c:v>-8.3468374844499067</c:v>
                </c:pt>
                <c:pt idx="933">
                  <c:v>-8.35668841916827</c:v>
                </c:pt>
                <c:pt idx="934">
                  <c:v>-8.3665393628238593</c:v>
                </c:pt>
                <c:pt idx="935">
                  <c:v>-8.3763903154164296</c:v>
                </c:pt>
                <c:pt idx="936">
                  <c:v>-8.3862412769457375</c:v>
                </c:pt>
                <c:pt idx="937">
                  <c:v>-8.396092247411536</c:v>
                </c:pt>
                <c:pt idx="938">
                  <c:v>-8.4059432268135819</c:v>
                </c:pt>
                <c:pt idx="939">
                  <c:v>-8.4157942151516298</c:v>
                </c:pt>
                <c:pt idx="940">
                  <c:v>-8.4256452124254348</c:v>
                </c:pt>
                <c:pt idx="941">
                  <c:v>-8.4354962186347535</c:v>
                </c:pt>
                <c:pt idx="942">
                  <c:v>-8.4453472337793389</c:v>
                </c:pt>
                <c:pt idx="943">
                  <c:v>-8.4551982578589477</c:v>
                </c:pt>
                <c:pt idx="944">
                  <c:v>-8.4650492908733348</c:v>
                </c:pt>
                <c:pt idx="945">
                  <c:v>-8.474900332822255</c:v>
                </c:pt>
                <c:pt idx="946">
                  <c:v>-8.4847513837054631</c:v>
                </c:pt>
                <c:pt idx="947">
                  <c:v>-8.4946024435227159</c:v>
                </c:pt>
                <c:pt idx="948">
                  <c:v>-8.5044535122737663</c:v>
                </c:pt>
                <c:pt idx="949">
                  <c:v>-8.5143045899583711</c:v>
                </c:pt>
                <c:pt idx="950">
                  <c:v>-8.5241556765762851</c:v>
                </c:pt>
                <c:pt idx="951">
                  <c:v>-8.534006772127265</c:v>
                </c:pt>
                <c:pt idx="952">
                  <c:v>-8.5438578766110638</c:v>
                </c:pt>
                <c:pt idx="953">
                  <c:v>-8.5537089900274381</c:v>
                </c:pt>
                <c:pt idx="954">
                  <c:v>-8.5635601123761429</c:v>
                </c:pt>
                <c:pt idx="955">
                  <c:v>-8.573411243656933</c:v>
                </c:pt>
                <c:pt idx="956">
                  <c:v>-8.583262383869565</c:v>
                </c:pt>
                <c:pt idx="957">
                  <c:v>-8.5931135330137938</c:v>
                </c:pt>
                <c:pt idx="958">
                  <c:v>-8.6029646910893742</c:v>
                </c:pt>
                <c:pt idx="959">
                  <c:v>-8.6128158580960612</c:v>
                </c:pt>
                <c:pt idx="960">
                  <c:v>-8.6226670340336096</c:v>
                </c:pt>
                <c:pt idx="961">
                  <c:v>-8.632518218901776</c:v>
                </c:pt>
                <c:pt idx="962">
                  <c:v>-8.6423694127003134</c:v>
                </c:pt>
                <c:pt idx="963">
                  <c:v>-8.6522206154289805</c:v>
                </c:pt>
                <c:pt idx="964">
                  <c:v>-8.6620718270875301</c:v>
                </c:pt>
                <c:pt idx="965">
                  <c:v>-8.6719230476757172</c:v>
                </c:pt>
                <c:pt idx="966">
                  <c:v>-8.6817742771932984</c:v>
                </c:pt>
                <c:pt idx="967">
                  <c:v>-8.6916255156400286</c:v>
                </c:pt>
                <c:pt idx="968">
                  <c:v>-8.7014767630156644</c:v>
                </c:pt>
                <c:pt idx="969">
                  <c:v>-8.7113280193199589</c:v>
                </c:pt>
                <c:pt idx="970">
                  <c:v>-8.7211792845526688</c:v>
                </c:pt>
                <c:pt idx="971">
                  <c:v>-8.7310305587135488</c:v>
                </c:pt>
                <c:pt idx="972">
                  <c:v>-8.7408818418023539</c:v>
                </c:pt>
                <c:pt idx="973">
                  <c:v>-8.7507331338188408</c:v>
                </c:pt>
                <c:pt idx="974">
                  <c:v>-8.7605844347627642</c:v>
                </c:pt>
                <c:pt idx="975">
                  <c:v>-8.770435744633879</c:v>
                </c:pt>
                <c:pt idx="976">
                  <c:v>-8.7802870634319401</c:v>
                </c:pt>
                <c:pt idx="977">
                  <c:v>-8.7901383911567041</c:v>
                </c:pt>
                <c:pt idx="978">
                  <c:v>-8.799989727807926</c:v>
                </c:pt>
                <c:pt idx="979">
                  <c:v>-8.8098410733853605</c:v>
                </c:pt>
                <c:pt idx="980">
                  <c:v>-8.8196924278887625</c:v>
                </c:pt>
                <c:pt idx="981">
                  <c:v>-8.8295437913178887</c:v>
                </c:pt>
                <c:pt idx="982">
                  <c:v>-8.8393951636724939</c:v>
                </c:pt>
                <c:pt idx="983">
                  <c:v>-8.849246544952333</c:v>
                </c:pt>
                <c:pt idx="984">
                  <c:v>-8.8590979351571626</c:v>
                </c:pt>
                <c:pt idx="985">
                  <c:v>-8.8689493342867376</c:v>
                </c:pt>
                <c:pt idx="986">
                  <c:v>-8.8788007423408128</c:v>
                </c:pt>
                <c:pt idx="987">
                  <c:v>-8.8886521593191432</c:v>
                </c:pt>
                <c:pt idx="988">
                  <c:v>-8.8985035852214853</c:v>
                </c:pt>
                <c:pt idx="989">
                  <c:v>-8.9083550200475941</c:v>
                </c:pt>
                <c:pt idx="990">
                  <c:v>-8.918206463797226</c:v>
                </c:pt>
                <c:pt idx="991">
                  <c:v>-8.9280579164701344</c:v>
                </c:pt>
                <c:pt idx="992">
                  <c:v>-8.9379093780660757</c:v>
                </c:pt>
                <c:pt idx="993">
                  <c:v>-8.9477608485848048</c:v>
                </c:pt>
                <c:pt idx="994">
                  <c:v>-8.9576123280260784</c:v>
                </c:pt>
                <c:pt idx="995">
                  <c:v>-8.9674638163896514</c:v>
                </c:pt>
                <c:pt idx="996">
                  <c:v>-8.9773153136752786</c:v>
                </c:pt>
                <c:pt idx="997">
                  <c:v>-8.9871668198827148</c:v>
                </c:pt>
                <c:pt idx="998">
                  <c:v>-8.9970183350117168</c:v>
                </c:pt>
                <c:pt idx="999">
                  <c:v>-9.0068698590620393</c:v>
                </c:pt>
                <c:pt idx="1000">
                  <c:v>-9.0167213920334373</c:v>
                </c:pt>
              </c:numCache>
            </c:numRef>
          </c:yVal>
          <c:smooth val="1"/>
          <c:extLst>
            <c:ext xmlns:c16="http://schemas.microsoft.com/office/drawing/2014/chart" uri="{C3380CC4-5D6E-409C-BE32-E72D297353CC}">
              <c16:uniqueId val="{00000001-432A-49A9-9499-7ED3E32DDB07}"/>
            </c:ext>
          </c:extLst>
        </c:ser>
        <c:ser>
          <c:idx val="2"/>
          <c:order val="2"/>
          <c:tx>
            <c:strRef>
              <c:f>Trajecto!$B$108</c:f>
              <c:strCache>
                <c:ptCount val="1"/>
                <c:pt idx="0">
                  <c:v>Descente balistique</c:v>
                </c:pt>
              </c:strCache>
            </c:strRef>
          </c:tx>
          <c:spPr>
            <a:ln w="12700">
              <a:solidFill>
                <a:srgbClr val="808080"/>
              </a:solidFill>
              <a:prstDash val="sysDash"/>
            </a:ln>
          </c:spPr>
          <c:marker>
            <c:symbol val="none"/>
          </c:marker>
          <c:xVal>
            <c:numRef>
              <c:f>Calculs!$J$4:$J$1004</c:f>
              <c:numCache>
                <c:formatCode>0.00</c:formatCode>
                <c:ptCount val="1001"/>
                <c:pt idx="0">
                  <c:v>132.07618777215259</c:v>
                </c:pt>
                <c:pt idx="1">
                  <c:v>132.46412905976854</c:v>
                </c:pt>
                <c:pt idx="2">
                  <c:v>132.85155166492726</c:v>
                </c:pt>
                <c:pt idx="3">
                  <c:v>133.23845737472485</c:v>
                </c:pt>
                <c:pt idx="4">
                  <c:v>133.62484796756877</c:v>
                </c:pt>
                <c:pt idx="5">
                  <c:v>134.01072521323539</c:v>
                </c:pt>
                <c:pt idx="6">
                  <c:v>134.39609087292706</c:v>
                </c:pt>
                <c:pt idx="7">
                  <c:v>134.78094669932881</c:v>
                </c:pt>
                <c:pt idx="8">
                  <c:v>135.1652944366644</c:v>
                </c:pt>
                <c:pt idx="9">
                  <c:v>135.54913582075207</c:v>
                </c:pt>
                <c:pt idx="10">
                  <c:v>135.93247257905978</c:v>
                </c:pt>
                <c:pt idx="11">
                  <c:v>136.31530642791085</c:v>
                </c:pt>
                <c:pt idx="12">
                  <c:v>136.69763906974825</c:v>
                </c:pt>
                <c:pt idx="13">
                  <c:v>137.07947219615855</c:v>
                </c:pt>
                <c:pt idx="14">
                  <c:v>137.46080749083512</c:v>
                </c:pt>
                <c:pt idx="15">
                  <c:v>137.84164662962786</c:v>
                </c:pt>
                <c:pt idx="16">
                  <c:v>138.22199128059273</c:v>
                </c:pt>
                <c:pt idx="17">
                  <c:v>138.60184310404082</c:v>
                </c:pt>
                <c:pt idx="18">
                  <c:v>138.98120375258705</c:v>
                </c:pt>
                <c:pt idx="19">
                  <c:v>139.36007487119841</c:v>
                </c:pt>
                <c:pt idx="20">
                  <c:v>139.73845809724193</c:v>
                </c:pt>
                <c:pt idx="21">
                  <c:v>140.11635506196703</c:v>
                </c:pt>
                <c:pt idx="22">
                  <c:v>140.49376739195887</c:v>
                </c:pt>
                <c:pt idx="23">
                  <c:v>140.87069670769199</c:v>
                </c:pt>
                <c:pt idx="24">
                  <c:v>141.2471446221127</c:v>
                </c:pt>
                <c:pt idx="25">
                  <c:v>141.62311274068671</c:v>
                </c:pt>
                <c:pt idx="26">
                  <c:v>141.99860266144628</c:v>
                </c:pt>
                <c:pt idx="27">
                  <c:v>142.3736159750371</c:v>
                </c:pt>
                <c:pt idx="28">
                  <c:v>142.74815426476471</c:v>
                </c:pt>
                <c:pt idx="29">
                  <c:v>143.12221910664067</c:v>
                </c:pt>
                <c:pt idx="30">
                  <c:v>143.49581206942824</c:v>
                </c:pt>
                <c:pt idx="31">
                  <c:v>143.86893471468775</c:v>
                </c:pt>
                <c:pt idx="32">
                  <c:v>144.24158859682171</c:v>
                </c:pt>
                <c:pt idx="33">
                  <c:v>144.61377526311938</c:v>
                </c:pt>
                <c:pt idx="34">
                  <c:v>144.98549625380113</c:v>
                </c:pt>
                <c:pt idx="35">
                  <c:v>145.35675310206247</c:v>
                </c:pt>
                <c:pt idx="36">
                  <c:v>145.72754733411765</c:v>
                </c:pt>
                <c:pt idx="37">
                  <c:v>146.09788046924291</c:v>
                </c:pt>
                <c:pt idx="38">
                  <c:v>146.46775401981955</c:v>
                </c:pt>
                <c:pt idx="39">
                  <c:v>146.83716949137647</c:v>
                </c:pt>
                <c:pt idx="40">
                  <c:v>147.20612838263253</c:v>
                </c:pt>
                <c:pt idx="41">
                  <c:v>147.57463218553849</c:v>
                </c:pt>
                <c:pt idx="42">
                  <c:v>147.94268238531868</c:v>
                </c:pt>
                <c:pt idx="43">
                  <c:v>148.3102804605123</c:v>
                </c:pt>
                <c:pt idx="44">
                  <c:v>148.67742788301453</c:v>
                </c:pt>
                <c:pt idx="45">
                  <c:v>149.04412611811708</c:v>
                </c:pt>
                <c:pt idx="46">
                  <c:v>149.41037662454875</c:v>
                </c:pt>
                <c:pt idx="47">
                  <c:v>149.77618085451533</c:v>
                </c:pt>
                <c:pt idx="48">
                  <c:v>150.14154025373958</c:v>
                </c:pt>
                <c:pt idx="49">
                  <c:v>150.50645626150049</c:v>
                </c:pt>
                <c:pt idx="50">
                  <c:v>150.87093031067261</c:v>
                </c:pt>
                <c:pt idx="51">
                  <c:v>151.23496382776483</c:v>
                </c:pt>
                <c:pt idx="52">
                  <c:v>151.59855823295902</c:v>
                </c:pt>
                <c:pt idx="53">
                  <c:v>151.96171494014831</c:v>
                </c:pt>
                <c:pt idx="54">
                  <c:v>152.32443535697504</c:v>
                </c:pt>
                <c:pt idx="55">
                  <c:v>152.68672088486855</c:v>
                </c:pt>
                <c:pt idx="56">
                  <c:v>153.04857291908252</c:v>
                </c:pt>
                <c:pt idx="57">
                  <c:v>153.40999284873214</c:v>
                </c:pt>
                <c:pt idx="58">
                  <c:v>153.77098205683106</c:v>
                </c:pt>
                <c:pt idx="59">
                  <c:v>154.13154192032783</c:v>
                </c:pt>
                <c:pt idx="60">
                  <c:v>154.4916738101424</c:v>
                </c:pt>
                <c:pt idx="61">
                  <c:v>154.85137909120198</c:v>
                </c:pt>
                <c:pt idx="62">
                  <c:v>155.21065912247693</c:v>
                </c:pt>
                <c:pt idx="63">
                  <c:v>155.56951525701626</c:v>
                </c:pt>
                <c:pt idx="64">
                  <c:v>155.92794884198281</c:v>
                </c:pt>
                <c:pt idx="65">
                  <c:v>156.28596121868833</c:v>
                </c:pt>
                <c:pt idx="66">
                  <c:v>156.64355372262807</c:v>
                </c:pt>
                <c:pt idx="67">
                  <c:v>157.00072768351541</c:v>
                </c:pt>
                <c:pt idx="68">
                  <c:v>157.35748442531593</c:v>
                </c:pt>
                <c:pt idx="69">
                  <c:v>157.71382526628145</c:v>
                </c:pt>
                <c:pt idx="70">
                  <c:v>158.06975151898368</c:v>
                </c:pt>
                <c:pt idx="71">
                  <c:v>158.42526449034773</c:v>
                </c:pt>
                <c:pt idx="72">
                  <c:v>158.78036548168529</c:v>
                </c:pt>
                <c:pt idx="73">
                  <c:v>159.13505578872764</c:v>
                </c:pt>
                <c:pt idx="74">
                  <c:v>159.48933670165829</c:v>
                </c:pt>
                <c:pt idx="75">
                  <c:v>159.84320950514558</c:v>
                </c:pt>
                <c:pt idx="76">
                  <c:v>160.19667547837486</c:v>
                </c:pt>
                <c:pt idx="77">
                  <c:v>160.54973589508049</c:v>
                </c:pt>
                <c:pt idx="78">
                  <c:v>160.90239202357768</c:v>
                </c:pt>
                <c:pt idx="79">
                  <c:v>161.25464512679403</c:v>
                </c:pt>
                <c:pt idx="80">
                  <c:v>161.60649646230078</c:v>
                </c:pt>
                <c:pt idx="81">
                  <c:v>161.95794728234401</c:v>
                </c:pt>
                <c:pt idx="82">
                  <c:v>162.30899883387542</c:v>
                </c:pt>
                <c:pt idx="83">
                  <c:v>162.65965235858303</c:v>
                </c:pt>
                <c:pt idx="84">
                  <c:v>163.00990909292153</c:v>
                </c:pt>
                <c:pt idx="85">
                  <c:v>163.35977026814263</c:v>
                </c:pt>
                <c:pt idx="86">
                  <c:v>163.70923711032484</c:v>
                </c:pt>
                <c:pt idx="87">
                  <c:v>164.05831084040344</c:v>
                </c:pt>
                <c:pt idx="88">
                  <c:v>164.40699267419993</c:v>
                </c:pt>
                <c:pt idx="89">
                  <c:v>164.75528382245136</c:v>
                </c:pt>
                <c:pt idx="90">
                  <c:v>165.10318549083954</c:v>
                </c:pt>
                <c:pt idx="91">
                  <c:v>165.4506988800199</c:v>
                </c:pt>
                <c:pt idx="92">
                  <c:v>165.79782518565025</c:v>
                </c:pt>
                <c:pt idx="93">
                  <c:v>166.14456559841929</c:v>
                </c:pt>
                <c:pt idx="94">
                  <c:v>166.49092130407487</c:v>
                </c:pt>
                <c:pt idx="95">
                  <c:v>166.83689348345217</c:v>
                </c:pt>
                <c:pt idx="96">
                  <c:v>167.1824833125016</c:v>
                </c:pt>
                <c:pt idx="97">
                  <c:v>167.52769196231645</c:v>
                </c:pt>
                <c:pt idx="98">
                  <c:v>167.87252059916051</c:v>
                </c:pt>
                <c:pt idx="99">
                  <c:v>168.21697038449531</c:v>
                </c:pt>
                <c:pt idx="100">
                  <c:v>168.56104247500727</c:v>
                </c:pt>
                <c:pt idx="101">
                  <c:v>171.98107938681989</c:v>
                </c:pt>
                <c:pt idx="102">
                  <c:v>175.36408768810614</c:v>
                </c:pt>
                <c:pt idx="103">
                  <c:v>178.71118093815957</c:v>
                </c:pt>
                <c:pt idx="104">
                  <c:v>182.02342826581781</c:v>
                </c:pt>
                <c:pt idx="105">
                  <c:v>185.30185678220144</c:v>
                </c:pt>
                <c:pt idx="106">
                  <c:v>188.54745383166855</c:v>
                </c:pt>
                <c:pt idx="107">
                  <c:v>191.76116909387937</c:v>
                </c:pt>
                <c:pt idx="108">
                  <c:v>194.94391654867624</c:v>
                </c:pt>
                <c:pt idx="109">
                  <c:v>198.09657631441877</c:v>
                </c:pt>
                <c:pt idx="110">
                  <c:v>201.21999636945836</c:v>
                </c:pt>
                <c:pt idx="111">
                  <c:v>204.31499416557733</c:v>
                </c:pt>
                <c:pt idx="112">
                  <c:v>207.38235814144483</c:v>
                </c:pt>
                <c:pt idx="113">
                  <c:v>210.42284914344566</c:v>
                </c:pt>
                <c:pt idx="114">
                  <c:v>213.43720176060936</c:v>
                </c:pt>
                <c:pt idx="115">
                  <c:v>216.42612557979865</c:v>
                </c:pt>
                <c:pt idx="116">
                  <c:v>219.39030636680317</c:v>
                </c:pt>
                <c:pt idx="117">
                  <c:v>222.3304071785179</c:v>
                </c:pt>
                <c:pt idx="118">
                  <c:v>225.24706941096372</c:v>
                </c:pt>
                <c:pt idx="119">
                  <c:v>228.14091378752391</c:v>
                </c:pt>
                <c:pt idx="120">
                  <c:v>231.01254129142086</c:v>
                </c:pt>
                <c:pt idx="121">
                  <c:v>233.86253404613979</c:v>
                </c:pt>
                <c:pt idx="122">
                  <c:v>236.69145614721648</c:v>
                </c:pt>
                <c:pt idx="123">
                  <c:v>239.49985444854138</c:v>
                </c:pt>
                <c:pt idx="124">
                  <c:v>242.28825930609057</c:v>
                </c:pt>
                <c:pt idx="125">
                  <c:v>245.05718528177306</c:v>
                </c:pt>
                <c:pt idx="126">
                  <c:v>247.8071318098811</c:v>
                </c:pt>
                <c:pt idx="127">
                  <c:v>250.53858382844393</c:v>
                </c:pt>
                <c:pt idx="128">
                  <c:v>253.25201237761527</c:v>
                </c:pt>
                <c:pt idx="129">
                  <c:v>255.94787516706694</c:v>
                </c:pt>
                <c:pt idx="130">
                  <c:v>258.62661711421714</c:v>
                </c:pt>
                <c:pt idx="131">
                  <c:v>261.28867085498808</c:v>
                </c:pt>
                <c:pt idx="132">
                  <c:v>263.93445722866448</c:v>
                </c:pt>
                <c:pt idx="133">
                  <c:v>266.56438573831082</c:v>
                </c:pt>
                <c:pt idx="134">
                  <c:v>269.1788549880996</c:v>
                </c:pt>
                <c:pt idx="135">
                  <c:v>271.77825309880473</c:v>
                </c:pt>
                <c:pt idx="136">
                  <c:v>274.36295810262362</c:v>
                </c:pt>
                <c:pt idx="137">
                  <c:v>276.93333831840658</c:v>
                </c:pt>
                <c:pt idx="138">
                  <c:v>279.48975270829266</c:v>
                </c:pt>
                <c:pt idx="139">
                  <c:v>282.03255121667792</c:v>
                </c:pt>
                <c:pt idx="140">
                  <c:v>284.56207509237214</c:v>
                </c:pt>
                <c:pt idx="141">
                  <c:v>287.07865719473477</c:v>
                </c:pt>
                <c:pt idx="142">
                  <c:v>289.58262228451963</c:v>
                </c:pt>
                <c:pt idx="143">
                  <c:v>292.07428730009951</c:v>
                </c:pt>
                <c:pt idx="144">
                  <c:v>294.5539616196869</c:v>
                </c:pt>
                <c:pt idx="145">
                  <c:v>297.02194731011338</c:v>
                </c:pt>
                <c:pt idx="146">
                  <c:v>299.47853936268137</c:v>
                </c:pt>
                <c:pt idx="147">
                  <c:v>301.92402591655201</c:v>
                </c:pt>
                <c:pt idx="148">
                  <c:v>304.35868847008686</c:v>
                </c:pt>
                <c:pt idx="149">
                  <c:v>306.78280208051547</c:v>
                </c:pt>
                <c:pt idx="150">
                  <c:v>309.19663555225674</c:v>
                </c:pt>
                <c:pt idx="151">
                  <c:v>311.6004516141777</c:v>
                </c:pt>
                <c:pt idx="152">
                  <c:v>313.99450708603177</c:v>
                </c:pt>
                <c:pt idx="153">
                  <c:v>316.3790530342747</c:v>
                </c:pt>
                <c:pt idx="154">
                  <c:v>318.75433491741484</c:v>
                </c:pt>
                <c:pt idx="155">
                  <c:v>321.12059272101163</c:v>
                </c:pt>
                <c:pt idx="156">
                  <c:v>323.47806108239428</c:v>
                </c:pt>
                <c:pt idx="157">
                  <c:v>325.82696940512847</c:v>
                </c:pt>
                <c:pt idx="158">
                  <c:v>328.1675419632171</c:v>
                </c:pt>
                <c:pt idx="159">
                  <c:v>330.4999979949763</c:v>
                </c:pt>
                <c:pt idx="160">
                  <c:v>332.82455178648371</c:v>
                </c:pt>
                <c:pt idx="161">
                  <c:v>335.14141274445262</c:v>
                </c:pt>
                <c:pt idx="162">
                  <c:v>337.45078545833923</c:v>
                </c:pt>
                <c:pt idx="163">
                  <c:v>339.75286975144707</c:v>
                </c:pt>
                <c:pt idx="164">
                  <c:v>342.04786072074853</c:v>
                </c:pt>
                <c:pt idx="165">
                  <c:v>344.33594876510136</c:v>
                </c:pt>
                <c:pt idx="166">
                  <c:v>346.61731960149831</c:v>
                </c:pt>
                <c:pt idx="167">
                  <c:v>348.89215426895271</c:v>
                </c:pt>
                <c:pt idx="168">
                  <c:v>351.16062911959295</c:v>
                </c:pt>
                <c:pt idx="169">
                  <c:v>353.42291579651641</c:v>
                </c:pt>
                <c:pt idx="170">
                  <c:v>355.67918119794331</c:v>
                </c:pt>
                <c:pt idx="171">
                  <c:v>357.92958742721407</c:v>
                </c:pt>
                <c:pt idx="172">
                  <c:v>360.17429172819556</c:v>
                </c:pt>
                <c:pt idx="173">
                  <c:v>362.41344640570873</c:v>
                </c:pt>
                <c:pt idx="174">
                  <c:v>364.64719873066502</c:v>
                </c:pt>
                <c:pt idx="175">
                  <c:v>366.87569082971135</c:v>
                </c:pt>
                <c:pt idx="176">
                  <c:v>369.0990595593392</c:v>
                </c:pt>
                <c:pt idx="177">
                  <c:v>371.31743636462068</c:v>
                </c:pt>
                <c:pt idx="178">
                  <c:v>373.53094712299901</c:v>
                </c:pt>
                <c:pt idx="179">
                  <c:v>375.73971197389176</c:v>
                </c:pt>
                <c:pt idx="180">
                  <c:v>377.94384513526484</c:v>
                </c:pt>
                <c:pt idx="181">
                  <c:v>380.14345470880505</c:v>
                </c:pt>
                <c:pt idx="182">
                  <c:v>382.3386424758562</c:v>
                </c:pt>
                <c:pt idx="183">
                  <c:v>384.5295036868776</c:v>
                </c:pt>
                <c:pt idx="184">
                  <c:v>386.71612684781547</c:v>
                </c:pt>
                <c:pt idx="185">
                  <c:v>388.89859350741983</c:v>
                </c:pt>
                <c:pt idx="186">
                  <c:v>391.07697805015437</c:v>
                </c:pt>
                <c:pt idx="187">
                  <c:v>393.25134749988518</c:v>
                </c:pt>
                <c:pt idx="188">
                  <c:v>395.42176133994587</c:v>
                </c:pt>
                <c:pt idx="189">
                  <c:v>397.58827135539894</c:v>
                </c:pt>
                <c:pt idx="190">
                  <c:v>399.75092150330113</c:v>
                </c:pt>
                <c:pt idx="191">
                  <c:v>401.90974781648515</c:v>
                </c:pt>
                <c:pt idx="192">
                  <c:v>404.06477834577618</c:v>
                </c:pt>
                <c:pt idx="193">
                  <c:v>406.21603314466967</c:v>
                </c:pt>
                <c:pt idx="194">
                  <c:v>408.36352429934408</c:v>
                </c:pt>
                <c:pt idx="195">
                  <c:v>410.50725600553022</c:v>
                </c:pt>
                <c:pt idx="196">
                  <c:v>412.6472246922973</c:v>
                </c:pt>
                <c:pt idx="197">
                  <c:v>414.78341919134357</c:v>
                </c:pt>
                <c:pt idx="198">
                  <c:v>416.91582094900434</c:v>
                </c:pt>
                <c:pt idx="199">
                  <c:v>419.04440427699762</c:v>
                </c:pt>
                <c:pt idx="200">
                  <c:v>421.16913663699466</c:v>
                </c:pt>
                <c:pt idx="201">
                  <c:v>423.28997895346538</c:v>
                </c:pt>
                <c:pt idx="202">
                  <c:v>425.40688594891924</c:v>
                </c:pt>
                <c:pt idx="203">
                  <c:v>427.51980649562586</c:v>
                </c:pt>
                <c:pt idx="204">
                  <c:v>429.62868397811218</c:v>
                </c:pt>
                <c:pt idx="205">
                  <c:v>431.7334566611483</c:v>
                </c:pt>
                <c:pt idx="206">
                  <c:v>433.83405805848884</c:v>
                </c:pt>
                <c:pt idx="207">
                  <c:v>435.93041729827621</c:v>
                </c:pt>
                <c:pt idx="208">
                  <c:v>438.02245948168542</c:v>
                </c:pt>
                <c:pt idx="209">
                  <c:v>440.1101060320571</c:v>
                </c:pt>
                <c:pt idx="210">
                  <c:v>442.19327503239265</c:v>
                </c:pt>
                <c:pt idx="211">
                  <c:v>444.2718815496554</c:v>
                </c:pt>
                <c:pt idx="212">
                  <c:v>446.34583794482228</c:v>
                </c:pt>
                <c:pt idx="213">
                  <c:v>448.4150541680537</c:v>
                </c:pt>
                <c:pt idx="214">
                  <c:v>450.47943803870248</c:v>
                </c:pt>
                <c:pt idx="215">
                  <c:v>452.53889551016493</c:v>
                </c:pt>
                <c:pt idx="216">
                  <c:v>454.59333091979704</c:v>
                </c:pt>
                <c:pt idx="217">
                  <c:v>456.64264722428555</c:v>
                </c:pt>
                <c:pt idx="218">
                  <c:v>458.68674622098388</c:v>
                </c:pt>
                <c:pt idx="219">
                  <c:v>460.72552875580493</c:v>
                </c:pt>
                <c:pt idx="220">
                  <c:v>462.75889491831373</c:v>
                </c:pt>
                <c:pt idx="221">
                  <c:v>464.78674422468987</c:v>
                </c:pt>
                <c:pt idx="222">
                  <c:v>466.80897578923691</c:v>
                </c:pt>
                <c:pt idx="223">
                  <c:v>468.82548848510982</c:v>
                </c:pt>
                <c:pt idx="224">
                  <c:v>470.83618109491374</c:v>
                </c:pt>
                <c:pt idx="225">
                  <c:v>472.84095245180293</c:v>
                </c:pt>
                <c:pt idx="226">
                  <c:v>474.83970157167926</c:v>
                </c:pt>
                <c:pt idx="227">
                  <c:v>476.83232777705678</c:v>
                </c:pt>
                <c:pt idx="228">
                  <c:v>478.818730813125</c:v>
                </c:pt>
                <c:pt idx="229">
                  <c:v>480.79881095650859</c:v>
                </c:pt>
                <c:pt idx="230">
                  <c:v>482.77246911718748</c:v>
                </c:pt>
                <c:pt idx="231">
                  <c:v>484.73960693400761</c:v>
                </c:pt>
                <c:pt idx="232">
                  <c:v>486.70012686418147</c:v>
                </c:pt>
                <c:pt idx="233">
                  <c:v>488.65393226714673</c:v>
                </c:pt>
                <c:pt idx="234">
                  <c:v>490.60092748312366</c:v>
                </c:pt>
                <c:pt idx="235">
                  <c:v>492.541017906685</c:v>
                </c:pt>
                <c:pt idx="236">
                  <c:v>494.4741100556281</c:v>
                </c:pt>
                <c:pt idx="237">
                  <c:v>496.40011163541567</c:v>
                </c:pt>
                <c:pt idx="238">
                  <c:v>498.31893159943138</c:v>
                </c:pt>
                <c:pt idx="239">
                  <c:v>500.23048020527739</c:v>
                </c:pt>
                <c:pt idx="240">
                  <c:v>502.13466906732276</c:v>
                </c:pt>
                <c:pt idx="241">
                  <c:v>504.03141120569632</c:v>
                </c:pt>
                <c:pt idx="242">
                  <c:v>505.92062109190323</c:v>
                </c:pt>
                <c:pt idx="243">
                  <c:v>507.80221469123006</c:v>
                </c:pt>
                <c:pt idx="244">
                  <c:v>509.67610950209308</c:v>
                </c:pt>
                <c:pt idx="245">
                  <c:v>511.54222459247154</c:v>
                </c:pt>
                <c:pt idx="246">
                  <c:v>513.40048063355914</c:v>
                </c:pt>
                <c:pt idx="247">
                  <c:v>515.25079993075769</c:v>
                </c:pt>
                <c:pt idx="248">
                  <c:v>517.09310645212838</c:v>
                </c:pt>
                <c:pt idx="249">
                  <c:v>518.92732585440888</c:v>
                </c:pt>
                <c:pt idx="250">
                  <c:v>520.75338550669869</c:v>
                </c:pt>
                <c:pt idx="251">
                  <c:v>522.5712145119071</c:v>
                </c:pt>
                <c:pt idx="252">
                  <c:v>524.38074372605536</c:v>
                </c:pt>
                <c:pt idx="253">
                  <c:v>526.18190577551695</c:v>
                </c:pt>
                <c:pt idx="254">
                  <c:v>527.97463507227758</c:v>
                </c:pt>
                <c:pt idx="255">
                  <c:v>529.75886782729071</c:v>
                </c:pt>
                <c:pt idx="256">
                  <c:v>531.53454206200263</c:v>
                </c:pt>
                <c:pt idx="257">
                  <c:v>533.30159761811512</c:v>
                </c:pt>
                <c:pt idx="258">
                  <c:v>535.05997616565367</c:v>
                </c:pt>
                <c:pt idx="259">
                  <c:v>536.80962120940364</c:v>
                </c:pt>
                <c:pt idx="260">
                  <c:v>538.55047809377629</c:v>
                </c:pt>
                <c:pt idx="261">
                  <c:v>540.28249400616335</c:v>
                </c:pt>
                <c:pt idx="262">
                  <c:v>542.00561797883631</c:v>
                </c:pt>
                <c:pt idx="263">
                  <c:v>543.71980088944565</c:v>
                </c:pt>
                <c:pt idx="264">
                  <c:v>545.42499546017223</c:v>
                </c:pt>
                <c:pt idx="265">
                  <c:v>547.12115625558306</c:v>
                </c:pt>
                <c:pt idx="266">
                  <c:v>548.8082396792397</c:v>
                </c:pt>
                <c:pt idx="267">
                  <c:v>550.48620396910871</c:v>
                </c:pt>
                <c:pt idx="268">
                  <c:v>552.15500919182023</c:v>
                </c:pt>
                <c:pt idx="269">
                  <c:v>553.81461723582072</c:v>
                </c:pt>
                <c:pt idx="270">
                  <c:v>555.46499180346382</c:v>
                </c:pt>
                <c:pt idx="271">
                  <c:v>557.10609840208281</c:v>
                </c:pt>
                <c:pt idx="272">
                  <c:v>558.73790433408726</c:v>
                </c:pt>
                <c:pt idx="273">
                  <c:v>560.36037868612448</c:v>
                </c:pt>
                <c:pt idx="274">
                  <c:v>561.9734923173462</c:v>
                </c:pt>
                <c:pt idx="275">
                  <c:v>563.57721784682008</c:v>
                </c:pt>
                <c:pt idx="276">
                  <c:v>565.17152964012416</c:v>
                </c:pt>
                <c:pt idx="277">
                  <c:v>566.75640379516176</c:v>
                </c:pt>
                <c:pt idx="278">
                  <c:v>568.33181812723433</c:v>
                </c:pt>
                <c:pt idx="279">
                  <c:v>569.89775215340683</c:v>
                </c:pt>
                <c:pt idx="280">
                  <c:v>571.45418707620229</c:v>
                </c:pt>
                <c:pt idx="281">
                  <c:v>573.0011057666585</c:v>
                </c:pt>
                <c:pt idx="282">
                  <c:v>574.53849274678157</c:v>
                </c:pt>
                <c:pt idx="283">
                  <c:v>576.06633417142893</c:v>
                </c:pt>
                <c:pt idx="284">
                  <c:v>577.5846178096532</c:v>
                </c:pt>
                <c:pt idx="285">
                  <c:v>579.09333302553898</c:v>
                </c:pt>
                <c:pt idx="286">
                  <c:v>580.59247075856365</c:v>
                </c:pt>
                <c:pt idx="287">
                  <c:v>582.08202350351098</c:v>
                </c:pt>
                <c:pt idx="288">
                  <c:v>583.56198528996788</c:v>
                </c:pt>
                <c:pt idx="289">
                  <c:v>585.03235166143236</c:v>
                </c:pt>
                <c:pt idx="290">
                  <c:v>586.49311965406048</c:v>
                </c:pt>
                <c:pt idx="291">
                  <c:v>587.94428777507972</c:v>
                </c:pt>
                <c:pt idx="292">
                  <c:v>589.38585598089549</c:v>
                </c:pt>
                <c:pt idx="293">
                  <c:v>590.81782565491585</c:v>
                </c:pt>
                <c:pt idx="294">
                  <c:v>592.24019958512031</c:v>
                </c:pt>
                <c:pt idx="295">
                  <c:v>593.65298194139666</c:v>
                </c:pt>
                <c:pt idx="296">
                  <c:v>595.05617825267018</c:v>
                </c:pt>
                <c:pt idx="297">
                  <c:v>596.44979538384791</c:v>
                </c:pt>
                <c:pt idx="298">
                  <c:v>597.8338415126002</c:v>
                </c:pt>
                <c:pt idx="299">
                  <c:v>599.20832610600246</c:v>
                </c:pt>
                <c:pt idx="300">
                  <c:v>600.5732598970568</c:v>
                </c:pt>
                <c:pt idx="301">
                  <c:v>601.92865486111532</c:v>
                </c:pt>
                <c:pt idx="302">
                  <c:v>603.27452419222402</c:v>
                </c:pt>
                <c:pt idx="303">
                  <c:v>604.61088227940741</c:v>
                </c:pt>
                <c:pt idx="304">
                  <c:v>605.93774468291144</c:v>
                </c:pt>
                <c:pt idx="305">
                  <c:v>607.25512811042347</c:v>
                </c:pt>
                <c:pt idx="306">
                  <c:v>608.56305039328663</c:v>
                </c:pt>
                <c:pt idx="307">
                  <c:v>609.86153046272455</c:v>
                </c:pt>
                <c:pt idx="308">
                  <c:v>611.15058832609361</c:v>
                </c:pt>
                <c:pt idx="309">
                  <c:v>612.43024504317759</c:v>
                </c:pt>
                <c:pt idx="310">
                  <c:v>613.70052270253996</c:v>
                </c:pt>
                <c:pt idx="311">
                  <c:v>614.9614443979475</c:v>
                </c:pt>
                <c:pt idx="312">
                  <c:v>616.2130342048805</c:v>
                </c:pt>
                <c:pt idx="313">
                  <c:v>617.45531715714128</c:v>
                </c:pt>
                <c:pt idx="314">
                  <c:v>618.68831922357424</c:v>
                </c:pt>
                <c:pt idx="315">
                  <c:v>619.91206728490988</c:v>
                </c:pt>
                <c:pt idx="316">
                  <c:v>621.12658911074402</c:v>
                </c:pt>
                <c:pt idx="317">
                  <c:v>622.33191333666286</c:v>
                </c:pt>
                <c:pt idx="318">
                  <c:v>623.52806944152564</c:v>
                </c:pt>
                <c:pt idx="319">
                  <c:v>624.71508772491359</c:v>
                </c:pt>
                <c:pt idx="320">
                  <c:v>625.89299928475532</c:v>
                </c:pt>
                <c:pt idx="321">
                  <c:v>627.0618359951377</c:v>
                </c:pt>
                <c:pt idx="322">
                  <c:v>628.22163048431059</c:v>
                </c:pt>
                <c:pt idx="323">
                  <c:v>629.37241611289369</c:v>
                </c:pt>
                <c:pt idx="324">
                  <c:v>630.51422695229257</c:v>
                </c:pt>
                <c:pt idx="325">
                  <c:v>631.64709776333223</c:v>
                </c:pt>
                <c:pt idx="326">
                  <c:v>632.77106397511318</c:v>
                </c:pt>
                <c:pt idx="327">
                  <c:v>633.88616166409815</c:v>
                </c:pt>
                <c:pt idx="328">
                  <c:v>634.99242753343435</c:v>
                </c:pt>
                <c:pt idx="329">
                  <c:v>636.0898988925162</c:v>
                </c:pt>
                <c:pt idx="330">
                  <c:v>637.17861363679503</c:v>
                </c:pt>
                <c:pt idx="331">
                  <c:v>638.25861022783965</c:v>
                </c:pt>
                <c:pt idx="332">
                  <c:v>639.3299276736517</c:v>
                </c:pt>
                <c:pt idx="333">
                  <c:v>640.39260550924075</c:v>
                </c:pt>
                <c:pt idx="334">
                  <c:v>641.44668377746189</c:v>
                </c:pt>
                <c:pt idx="335">
                  <c:v>642.49220301011951</c:v>
                </c:pt>
                <c:pt idx="336">
                  <c:v>643.52920420934049</c:v>
                </c:pt>
                <c:pt idx="337">
                  <c:v>644.55772882921826</c:v>
                </c:pt>
                <c:pt idx="338">
                  <c:v>645.57781875773173</c:v>
                </c:pt>
                <c:pt idx="339">
                  <c:v>646.58951629893954</c:v>
                </c:pt>
                <c:pt idx="340">
                  <c:v>647.5928641554525</c:v>
                </c:pt>
                <c:pt idx="341">
                  <c:v>648.58790541118492</c:v>
                </c:pt>
                <c:pt idx="342">
                  <c:v>649.57468351438638</c:v>
                </c:pt>
                <c:pt idx="343">
                  <c:v>650.55324226095468</c:v>
                </c:pt>
                <c:pt idx="344">
                  <c:v>651.52362577803103</c:v>
                </c:pt>
                <c:pt idx="345">
                  <c:v>652.48587850787715</c:v>
                </c:pt>
                <c:pt idx="346">
                  <c:v>653.44004519203554</c:v>
                </c:pt>
                <c:pt idx="347">
                  <c:v>654.38617085577187</c:v>
                </c:pt>
                <c:pt idx="348">
                  <c:v>655.32430079279948</c:v>
                </c:pt>
                <c:pt idx="349">
                  <c:v>656.25448055028687</c:v>
                </c:pt>
                <c:pt idx="350">
                  <c:v>657.17675591414513</c:v>
                </c:pt>
                <c:pt idx="351">
                  <c:v>658.09117289459698</c:v>
                </c:pt>
                <c:pt idx="352">
                  <c:v>658.99777771202446</c:v>
                </c:pt>
                <c:pt idx="353">
                  <c:v>659.89661678309562</c:v>
                </c:pt>
                <c:pt idx="354">
                  <c:v>660.78773670716782</c:v>
                </c:pt>
                <c:pt idx="355">
                  <c:v>661.67118425296701</c:v>
                </c:pt>
                <c:pt idx="356">
                  <c:v>662.54700634554069</c:v>
                </c:pt>
                <c:pt idx="357">
                  <c:v>663.41525005348319</c:v>
                </c:pt>
                <c:pt idx="358">
                  <c:v>664.2759625764312</c:v>
                </c:pt>
                <c:pt idx="359">
                  <c:v>665.12919123282825</c:v>
                </c:pt>
                <c:pt idx="360">
                  <c:v>665.97498344795451</c:v>
                </c:pt>
                <c:pt idx="361">
                  <c:v>666.8133867422215</c:v>
                </c:pt>
                <c:pt idx="362">
                  <c:v>667.64444871972819</c:v>
                </c:pt>
                <c:pt idx="363">
                  <c:v>668.46821705707623</c:v>
                </c:pt>
                <c:pt idx="364">
                  <c:v>669.28473949244233</c:v>
                </c:pt>
                <c:pt idx="365">
                  <c:v>670.09406381490476</c:v>
                </c:pt>
                <c:pt idx="366">
                  <c:v>670.89623785402148</c:v>
                </c:pt>
                <c:pt idx="367">
                  <c:v>671.69130946965663</c:v>
                </c:pt>
                <c:pt idx="368">
                  <c:v>672.47932654205385</c:v>
                </c:pt>
                <c:pt idx="369">
                  <c:v>673.26033696215222</c:v>
                </c:pt>
                <c:pt idx="370">
                  <c:v>674.03438862214227</c:v>
                </c:pt>
                <c:pt idx="371">
                  <c:v>674.80152940625987</c:v>
                </c:pt>
                <c:pt idx="372">
                  <c:v>675.56180718181395</c:v>
                </c:pt>
                <c:pt idx="373">
                  <c:v>676.31526979044531</c:v>
                </c:pt>
                <c:pt idx="374">
                  <c:v>677.06196503961394</c:v>
                </c:pt>
                <c:pt idx="375">
                  <c:v>677.8019406943107</c:v>
                </c:pt>
                <c:pt idx="376">
                  <c:v>678.53524446899166</c:v>
                </c:pt>
                <c:pt idx="377">
                  <c:v>678.53524446899166</c:v>
                </c:pt>
                <c:pt idx="378">
                  <c:v>678.53524446899166</c:v>
                </c:pt>
                <c:pt idx="379">
                  <c:v>678.53524446899166</c:v>
                </c:pt>
                <c:pt idx="380">
                  <c:v>678.53524446899166</c:v>
                </c:pt>
                <c:pt idx="381">
                  <c:v>678.53524446899166</c:v>
                </c:pt>
                <c:pt idx="382">
                  <c:v>678.53524446899166</c:v>
                </c:pt>
                <c:pt idx="383">
                  <c:v>678.53524446899166</c:v>
                </c:pt>
                <c:pt idx="384">
                  <c:v>678.53524446899166</c:v>
                </c:pt>
                <c:pt idx="385">
                  <c:v>678.53524446899166</c:v>
                </c:pt>
                <c:pt idx="386">
                  <c:v>678.53524446899166</c:v>
                </c:pt>
                <c:pt idx="387">
                  <c:v>678.53524446899166</c:v>
                </c:pt>
                <c:pt idx="388">
                  <c:v>678.53524446899166</c:v>
                </c:pt>
                <c:pt idx="389">
                  <c:v>678.53524446899166</c:v>
                </c:pt>
                <c:pt idx="390">
                  <c:v>678.53524446899166</c:v>
                </c:pt>
                <c:pt idx="391">
                  <c:v>678.53524446899166</c:v>
                </c:pt>
                <c:pt idx="392">
                  <c:v>678.53524446899166</c:v>
                </c:pt>
                <c:pt idx="393">
                  <c:v>678.53524446899166</c:v>
                </c:pt>
                <c:pt idx="394">
                  <c:v>678.53524446899166</c:v>
                </c:pt>
                <c:pt idx="395">
                  <c:v>678.53524446899166</c:v>
                </c:pt>
                <c:pt idx="396">
                  <c:v>678.53524446899166</c:v>
                </c:pt>
                <c:pt idx="397">
                  <c:v>678.53524446899166</c:v>
                </c:pt>
                <c:pt idx="398">
                  <c:v>678.53524446899166</c:v>
                </c:pt>
                <c:pt idx="399">
                  <c:v>678.53524446899166</c:v>
                </c:pt>
                <c:pt idx="400">
                  <c:v>678.53524446899166</c:v>
                </c:pt>
                <c:pt idx="401">
                  <c:v>678.53524446899166</c:v>
                </c:pt>
                <c:pt idx="402">
                  <c:v>678.53524446899166</c:v>
                </c:pt>
                <c:pt idx="403">
                  <c:v>678.53524446899166</c:v>
                </c:pt>
                <c:pt idx="404">
                  <c:v>678.53524446899166</c:v>
                </c:pt>
                <c:pt idx="405">
                  <c:v>678.53524446899166</c:v>
                </c:pt>
                <c:pt idx="406">
                  <c:v>678.53524446899166</c:v>
                </c:pt>
                <c:pt idx="407">
                  <c:v>678.53524446899166</c:v>
                </c:pt>
                <c:pt idx="408">
                  <c:v>678.53524446899166</c:v>
                </c:pt>
                <c:pt idx="409">
                  <c:v>678.53524446899166</c:v>
                </c:pt>
                <c:pt idx="410">
                  <c:v>678.53524446899166</c:v>
                </c:pt>
                <c:pt idx="411">
                  <c:v>678.53524446899166</c:v>
                </c:pt>
                <c:pt idx="412">
                  <c:v>678.53524446899166</c:v>
                </c:pt>
                <c:pt idx="413">
                  <c:v>678.53524446899166</c:v>
                </c:pt>
                <c:pt idx="414">
                  <c:v>678.53524446899166</c:v>
                </c:pt>
                <c:pt idx="415">
                  <c:v>678.53524446899166</c:v>
                </c:pt>
                <c:pt idx="416">
                  <c:v>678.53524446899166</c:v>
                </c:pt>
                <c:pt idx="417">
                  <c:v>678.53524446899166</c:v>
                </c:pt>
                <c:pt idx="418">
                  <c:v>678.53524446899166</c:v>
                </c:pt>
                <c:pt idx="419">
                  <c:v>678.53524446899166</c:v>
                </c:pt>
                <c:pt idx="420">
                  <c:v>678.53524446899166</c:v>
                </c:pt>
                <c:pt idx="421">
                  <c:v>678.53524446899166</c:v>
                </c:pt>
                <c:pt idx="422">
                  <c:v>678.53524446899166</c:v>
                </c:pt>
                <c:pt idx="423">
                  <c:v>678.53524446899166</c:v>
                </c:pt>
                <c:pt idx="424">
                  <c:v>678.53524446899166</c:v>
                </c:pt>
                <c:pt idx="425">
                  <c:v>678.53524446899166</c:v>
                </c:pt>
                <c:pt idx="426">
                  <c:v>678.53524446899166</c:v>
                </c:pt>
                <c:pt idx="427">
                  <c:v>678.53524446899166</c:v>
                </c:pt>
                <c:pt idx="428">
                  <c:v>678.53524446899166</c:v>
                </c:pt>
                <c:pt idx="429">
                  <c:v>678.53524446899166</c:v>
                </c:pt>
                <c:pt idx="430">
                  <c:v>678.53524446899166</c:v>
                </c:pt>
                <c:pt idx="431">
                  <c:v>678.53524446899166</c:v>
                </c:pt>
                <c:pt idx="432">
                  <c:v>678.53524446899166</c:v>
                </c:pt>
                <c:pt idx="433">
                  <c:v>678.53524446899166</c:v>
                </c:pt>
                <c:pt idx="434">
                  <c:v>678.53524446899166</c:v>
                </c:pt>
                <c:pt idx="435">
                  <c:v>678.53524446899166</c:v>
                </c:pt>
                <c:pt idx="436">
                  <c:v>678.53524446899166</c:v>
                </c:pt>
                <c:pt idx="437">
                  <c:v>678.53524446899166</c:v>
                </c:pt>
                <c:pt idx="438">
                  <c:v>678.53524446899166</c:v>
                </c:pt>
                <c:pt idx="439">
                  <c:v>678.53524446899166</c:v>
                </c:pt>
                <c:pt idx="440">
                  <c:v>678.53524446899166</c:v>
                </c:pt>
                <c:pt idx="441">
                  <c:v>678.53524446899166</c:v>
                </c:pt>
                <c:pt idx="442">
                  <c:v>678.53524446899166</c:v>
                </c:pt>
                <c:pt idx="443">
                  <c:v>678.53524446899166</c:v>
                </c:pt>
                <c:pt idx="444">
                  <c:v>678.53524446899166</c:v>
                </c:pt>
                <c:pt idx="445">
                  <c:v>678.53524446899166</c:v>
                </c:pt>
                <c:pt idx="446">
                  <c:v>678.53524446899166</c:v>
                </c:pt>
                <c:pt idx="447">
                  <c:v>678.53524446899166</c:v>
                </c:pt>
                <c:pt idx="448">
                  <c:v>678.53524446899166</c:v>
                </c:pt>
                <c:pt idx="449">
                  <c:v>678.53524446899166</c:v>
                </c:pt>
                <c:pt idx="450">
                  <c:v>678.53524446899166</c:v>
                </c:pt>
                <c:pt idx="451">
                  <c:v>678.53524446899166</c:v>
                </c:pt>
                <c:pt idx="452">
                  <c:v>678.53524446899166</c:v>
                </c:pt>
                <c:pt idx="453">
                  <c:v>678.53524446899166</c:v>
                </c:pt>
                <c:pt idx="454">
                  <c:v>678.53524446899166</c:v>
                </c:pt>
                <c:pt idx="455">
                  <c:v>678.53524446899166</c:v>
                </c:pt>
                <c:pt idx="456">
                  <c:v>678.53524446899166</c:v>
                </c:pt>
                <c:pt idx="457">
                  <c:v>678.53524446899166</c:v>
                </c:pt>
                <c:pt idx="458">
                  <c:v>678.53524446899166</c:v>
                </c:pt>
                <c:pt idx="459">
                  <c:v>678.53524446899166</c:v>
                </c:pt>
                <c:pt idx="460">
                  <c:v>678.53524446899166</c:v>
                </c:pt>
                <c:pt idx="461">
                  <c:v>678.53524446899166</c:v>
                </c:pt>
                <c:pt idx="462">
                  <c:v>678.53524446899166</c:v>
                </c:pt>
                <c:pt idx="463">
                  <c:v>678.53524446899166</c:v>
                </c:pt>
                <c:pt idx="464">
                  <c:v>678.53524446899166</c:v>
                </c:pt>
                <c:pt idx="465">
                  <c:v>678.53524446899166</c:v>
                </c:pt>
                <c:pt idx="466">
                  <c:v>678.53524446899166</c:v>
                </c:pt>
                <c:pt idx="467">
                  <c:v>678.53524446899166</c:v>
                </c:pt>
                <c:pt idx="468">
                  <c:v>678.53524446899166</c:v>
                </c:pt>
                <c:pt idx="469">
                  <c:v>678.53524446899166</c:v>
                </c:pt>
                <c:pt idx="470">
                  <c:v>678.53524446899166</c:v>
                </c:pt>
                <c:pt idx="471">
                  <c:v>678.53524446899166</c:v>
                </c:pt>
                <c:pt idx="472">
                  <c:v>678.53524446899166</c:v>
                </c:pt>
                <c:pt idx="473">
                  <c:v>678.53524446899166</c:v>
                </c:pt>
                <c:pt idx="474">
                  <c:v>678.53524446899166</c:v>
                </c:pt>
                <c:pt idx="475">
                  <c:v>678.53524446899166</c:v>
                </c:pt>
                <c:pt idx="476">
                  <c:v>678.53524446899166</c:v>
                </c:pt>
                <c:pt idx="477">
                  <c:v>678.53524446899166</c:v>
                </c:pt>
                <c:pt idx="478">
                  <c:v>678.53524446899166</c:v>
                </c:pt>
                <c:pt idx="479">
                  <c:v>678.53524446899166</c:v>
                </c:pt>
                <c:pt idx="480">
                  <c:v>678.53524446899166</c:v>
                </c:pt>
                <c:pt idx="481">
                  <c:v>678.53524446899166</c:v>
                </c:pt>
                <c:pt idx="482">
                  <c:v>678.53524446899166</c:v>
                </c:pt>
                <c:pt idx="483">
                  <c:v>678.53524446899166</c:v>
                </c:pt>
                <c:pt idx="484">
                  <c:v>678.53524446899166</c:v>
                </c:pt>
                <c:pt idx="485">
                  <c:v>678.53524446899166</c:v>
                </c:pt>
                <c:pt idx="486">
                  <c:v>678.53524446899166</c:v>
                </c:pt>
                <c:pt idx="487">
                  <c:v>678.53524446899166</c:v>
                </c:pt>
                <c:pt idx="488">
                  <c:v>678.53524446899166</c:v>
                </c:pt>
                <c:pt idx="489">
                  <c:v>678.53524446899166</c:v>
                </c:pt>
                <c:pt idx="490">
                  <c:v>678.53524446899166</c:v>
                </c:pt>
                <c:pt idx="491">
                  <c:v>678.53524446899166</c:v>
                </c:pt>
                <c:pt idx="492">
                  <c:v>678.53524446899166</c:v>
                </c:pt>
                <c:pt idx="493">
                  <c:v>678.53524446899166</c:v>
                </c:pt>
                <c:pt idx="494">
                  <c:v>678.53524446899166</c:v>
                </c:pt>
                <c:pt idx="495">
                  <c:v>678.53524446899166</c:v>
                </c:pt>
                <c:pt idx="496">
                  <c:v>678.53524446899166</c:v>
                </c:pt>
                <c:pt idx="497">
                  <c:v>678.53524446899166</c:v>
                </c:pt>
                <c:pt idx="498">
                  <c:v>678.53524446899166</c:v>
                </c:pt>
                <c:pt idx="499">
                  <c:v>678.53524446899166</c:v>
                </c:pt>
                <c:pt idx="500">
                  <c:v>678.53524446899166</c:v>
                </c:pt>
                <c:pt idx="501">
                  <c:v>678.53524446899166</c:v>
                </c:pt>
                <c:pt idx="502">
                  <c:v>678.53524446899166</c:v>
                </c:pt>
                <c:pt idx="503">
                  <c:v>678.53524446899166</c:v>
                </c:pt>
                <c:pt idx="504">
                  <c:v>678.53524446899166</c:v>
                </c:pt>
                <c:pt idx="505">
                  <c:v>678.53524446899166</c:v>
                </c:pt>
                <c:pt idx="506">
                  <c:v>678.53524446899166</c:v>
                </c:pt>
                <c:pt idx="507">
                  <c:v>678.53524446899166</c:v>
                </c:pt>
                <c:pt idx="508">
                  <c:v>678.53524446899166</c:v>
                </c:pt>
                <c:pt idx="509">
                  <c:v>678.53524446899166</c:v>
                </c:pt>
                <c:pt idx="510">
                  <c:v>678.53524446899166</c:v>
                </c:pt>
                <c:pt idx="511">
                  <c:v>678.53524446899166</c:v>
                </c:pt>
                <c:pt idx="512">
                  <c:v>678.53524446899166</c:v>
                </c:pt>
                <c:pt idx="513">
                  <c:v>678.53524446899166</c:v>
                </c:pt>
                <c:pt idx="514">
                  <c:v>678.53524446899166</c:v>
                </c:pt>
                <c:pt idx="515">
                  <c:v>678.53524446899166</c:v>
                </c:pt>
                <c:pt idx="516">
                  <c:v>678.53524446899166</c:v>
                </c:pt>
                <c:pt idx="517">
                  <c:v>678.53524446899166</c:v>
                </c:pt>
                <c:pt idx="518">
                  <c:v>678.53524446899166</c:v>
                </c:pt>
                <c:pt idx="519">
                  <c:v>678.53524446899166</c:v>
                </c:pt>
                <c:pt idx="520">
                  <c:v>678.53524446899166</c:v>
                </c:pt>
                <c:pt idx="521">
                  <c:v>678.53524446899166</c:v>
                </c:pt>
                <c:pt idx="522">
                  <c:v>678.53524446899166</c:v>
                </c:pt>
                <c:pt idx="523">
                  <c:v>678.53524446899166</c:v>
                </c:pt>
                <c:pt idx="524">
                  <c:v>678.53524446899166</c:v>
                </c:pt>
                <c:pt idx="525">
                  <c:v>678.53524446899166</c:v>
                </c:pt>
                <c:pt idx="526">
                  <c:v>678.53524446899166</c:v>
                </c:pt>
                <c:pt idx="527">
                  <c:v>678.53524446899166</c:v>
                </c:pt>
                <c:pt idx="528">
                  <c:v>678.53524446899166</c:v>
                </c:pt>
                <c:pt idx="529">
                  <c:v>678.53524446899166</c:v>
                </c:pt>
                <c:pt idx="530">
                  <c:v>678.53524446899166</c:v>
                </c:pt>
                <c:pt idx="531">
                  <c:v>678.53524446899166</c:v>
                </c:pt>
                <c:pt idx="532">
                  <c:v>678.53524446899166</c:v>
                </c:pt>
                <c:pt idx="533">
                  <c:v>678.53524446899166</c:v>
                </c:pt>
                <c:pt idx="534">
                  <c:v>678.53524446899166</c:v>
                </c:pt>
                <c:pt idx="535">
                  <c:v>678.53524446899166</c:v>
                </c:pt>
                <c:pt idx="536">
                  <c:v>678.53524446899166</c:v>
                </c:pt>
                <c:pt idx="537">
                  <c:v>678.53524446899166</c:v>
                </c:pt>
                <c:pt idx="538">
                  <c:v>678.53524446899166</c:v>
                </c:pt>
                <c:pt idx="539">
                  <c:v>678.53524446899166</c:v>
                </c:pt>
                <c:pt idx="540">
                  <c:v>678.53524446899166</c:v>
                </c:pt>
                <c:pt idx="541">
                  <c:v>678.53524446899166</c:v>
                </c:pt>
                <c:pt idx="542">
                  <c:v>678.53524446899166</c:v>
                </c:pt>
                <c:pt idx="543">
                  <c:v>678.53524446899166</c:v>
                </c:pt>
                <c:pt idx="544">
                  <c:v>678.53524446899166</c:v>
                </c:pt>
                <c:pt idx="545">
                  <c:v>678.53524446899166</c:v>
                </c:pt>
                <c:pt idx="546">
                  <c:v>678.53524446899166</c:v>
                </c:pt>
                <c:pt idx="547">
                  <c:v>678.53524446899166</c:v>
                </c:pt>
                <c:pt idx="548">
                  <c:v>678.53524446899166</c:v>
                </c:pt>
                <c:pt idx="549">
                  <c:v>678.53524446899166</c:v>
                </c:pt>
                <c:pt idx="550">
                  <c:v>678.53524446899166</c:v>
                </c:pt>
                <c:pt idx="551">
                  <c:v>678.53524446899166</c:v>
                </c:pt>
                <c:pt idx="552">
                  <c:v>678.53524446899166</c:v>
                </c:pt>
                <c:pt idx="553">
                  <c:v>678.53524446899166</c:v>
                </c:pt>
                <c:pt idx="554">
                  <c:v>678.53524446899166</c:v>
                </c:pt>
                <c:pt idx="555">
                  <c:v>678.53524446899166</c:v>
                </c:pt>
                <c:pt idx="556">
                  <c:v>678.53524446899166</c:v>
                </c:pt>
                <c:pt idx="557">
                  <c:v>678.53524446899166</c:v>
                </c:pt>
                <c:pt idx="558">
                  <c:v>678.53524446899166</c:v>
                </c:pt>
                <c:pt idx="559">
                  <c:v>678.53524446899166</c:v>
                </c:pt>
                <c:pt idx="560">
                  <c:v>678.53524446899166</c:v>
                </c:pt>
                <c:pt idx="561">
                  <c:v>678.53524446899166</c:v>
                </c:pt>
                <c:pt idx="562">
                  <c:v>678.53524446899166</c:v>
                </c:pt>
                <c:pt idx="563">
                  <c:v>678.53524446899166</c:v>
                </c:pt>
                <c:pt idx="564">
                  <c:v>678.53524446899166</c:v>
                </c:pt>
                <c:pt idx="565">
                  <c:v>678.53524446899166</c:v>
                </c:pt>
                <c:pt idx="566">
                  <c:v>678.53524446899166</c:v>
                </c:pt>
                <c:pt idx="567">
                  <c:v>678.53524446899166</c:v>
                </c:pt>
                <c:pt idx="568">
                  <c:v>678.53524446899166</c:v>
                </c:pt>
                <c:pt idx="569">
                  <c:v>678.53524446899166</c:v>
                </c:pt>
                <c:pt idx="570">
                  <c:v>678.53524446899166</c:v>
                </c:pt>
                <c:pt idx="571">
                  <c:v>678.53524446899166</c:v>
                </c:pt>
                <c:pt idx="572">
                  <c:v>678.53524446899166</c:v>
                </c:pt>
                <c:pt idx="573">
                  <c:v>678.53524446899166</c:v>
                </c:pt>
                <c:pt idx="574">
                  <c:v>678.53524446899166</c:v>
                </c:pt>
                <c:pt idx="575">
                  <c:v>678.53524446899166</c:v>
                </c:pt>
                <c:pt idx="576">
                  <c:v>678.53524446899166</c:v>
                </c:pt>
                <c:pt idx="577">
                  <c:v>678.53524446899166</c:v>
                </c:pt>
                <c:pt idx="578">
                  <c:v>678.53524446899166</c:v>
                </c:pt>
                <c:pt idx="579">
                  <c:v>678.53524446899166</c:v>
                </c:pt>
                <c:pt idx="580">
                  <c:v>678.53524446899166</c:v>
                </c:pt>
                <c:pt idx="581">
                  <c:v>678.53524446899166</c:v>
                </c:pt>
                <c:pt idx="582">
                  <c:v>678.53524446899166</c:v>
                </c:pt>
                <c:pt idx="583">
                  <c:v>678.53524446899166</c:v>
                </c:pt>
                <c:pt idx="584">
                  <c:v>678.53524446899166</c:v>
                </c:pt>
                <c:pt idx="585">
                  <c:v>678.53524446899166</c:v>
                </c:pt>
                <c:pt idx="586">
                  <c:v>678.53524446899166</c:v>
                </c:pt>
                <c:pt idx="587">
                  <c:v>678.53524446899166</c:v>
                </c:pt>
                <c:pt idx="588">
                  <c:v>678.53524446899166</c:v>
                </c:pt>
                <c:pt idx="589">
                  <c:v>678.53524446899166</c:v>
                </c:pt>
                <c:pt idx="590">
                  <c:v>678.53524446899166</c:v>
                </c:pt>
                <c:pt idx="591">
                  <c:v>678.53524446899166</c:v>
                </c:pt>
                <c:pt idx="592">
                  <c:v>678.53524446899166</c:v>
                </c:pt>
                <c:pt idx="593">
                  <c:v>678.53524446899166</c:v>
                </c:pt>
                <c:pt idx="594">
                  <c:v>678.53524446899166</c:v>
                </c:pt>
                <c:pt idx="595">
                  <c:v>678.53524446899166</c:v>
                </c:pt>
                <c:pt idx="596">
                  <c:v>678.53524446899166</c:v>
                </c:pt>
                <c:pt idx="597">
                  <c:v>678.53524446899166</c:v>
                </c:pt>
                <c:pt idx="598">
                  <c:v>678.53524446899166</c:v>
                </c:pt>
                <c:pt idx="599">
                  <c:v>678.53524446899166</c:v>
                </c:pt>
                <c:pt idx="600">
                  <c:v>678.53524446899166</c:v>
                </c:pt>
                <c:pt idx="601">
                  <c:v>678.53524446899166</c:v>
                </c:pt>
                <c:pt idx="602">
                  <c:v>678.53524446899166</c:v>
                </c:pt>
                <c:pt idx="603">
                  <c:v>678.53524446899166</c:v>
                </c:pt>
                <c:pt idx="604">
                  <c:v>678.53524446899166</c:v>
                </c:pt>
                <c:pt idx="605">
                  <c:v>678.53524446899166</c:v>
                </c:pt>
                <c:pt idx="606">
                  <c:v>678.53524446899166</c:v>
                </c:pt>
                <c:pt idx="607">
                  <c:v>678.53524446899166</c:v>
                </c:pt>
                <c:pt idx="608">
                  <c:v>678.53524446899166</c:v>
                </c:pt>
                <c:pt idx="609">
                  <c:v>678.53524446899166</c:v>
                </c:pt>
                <c:pt idx="610">
                  <c:v>678.53524446899166</c:v>
                </c:pt>
                <c:pt idx="611">
                  <c:v>678.53524446899166</c:v>
                </c:pt>
                <c:pt idx="612">
                  <c:v>678.53524446899166</c:v>
                </c:pt>
                <c:pt idx="613">
                  <c:v>678.53524446899166</c:v>
                </c:pt>
                <c:pt idx="614">
                  <c:v>678.53524446899166</c:v>
                </c:pt>
                <c:pt idx="615">
                  <c:v>678.53524446899166</c:v>
                </c:pt>
                <c:pt idx="616">
                  <c:v>678.53524446899166</c:v>
                </c:pt>
                <c:pt idx="617">
                  <c:v>678.53524446899166</c:v>
                </c:pt>
                <c:pt idx="618">
                  <c:v>678.53524446899166</c:v>
                </c:pt>
                <c:pt idx="619">
                  <c:v>678.53524446899166</c:v>
                </c:pt>
                <c:pt idx="620">
                  <c:v>678.53524446899166</c:v>
                </c:pt>
                <c:pt idx="621">
                  <c:v>678.53524446899166</c:v>
                </c:pt>
                <c:pt idx="622">
                  <c:v>678.53524446899166</c:v>
                </c:pt>
                <c:pt idx="623">
                  <c:v>678.53524446899166</c:v>
                </c:pt>
                <c:pt idx="624">
                  <c:v>678.53524446899166</c:v>
                </c:pt>
                <c:pt idx="625">
                  <c:v>678.53524446899166</c:v>
                </c:pt>
                <c:pt idx="626">
                  <c:v>678.53524446899166</c:v>
                </c:pt>
                <c:pt idx="627">
                  <c:v>678.53524446899166</c:v>
                </c:pt>
                <c:pt idx="628">
                  <c:v>678.53524446899166</c:v>
                </c:pt>
                <c:pt idx="629">
                  <c:v>678.53524446899166</c:v>
                </c:pt>
                <c:pt idx="630">
                  <c:v>678.53524446899166</c:v>
                </c:pt>
                <c:pt idx="631">
                  <c:v>678.53524446899166</c:v>
                </c:pt>
                <c:pt idx="632">
                  <c:v>678.53524446899166</c:v>
                </c:pt>
                <c:pt idx="633">
                  <c:v>678.53524446899166</c:v>
                </c:pt>
                <c:pt idx="634">
                  <c:v>678.53524446899166</c:v>
                </c:pt>
                <c:pt idx="635">
                  <c:v>678.53524446899166</c:v>
                </c:pt>
                <c:pt idx="636">
                  <c:v>678.53524446899166</c:v>
                </c:pt>
                <c:pt idx="637">
                  <c:v>678.53524446899166</c:v>
                </c:pt>
                <c:pt idx="638">
                  <c:v>678.53524446899166</c:v>
                </c:pt>
                <c:pt idx="639">
                  <c:v>678.53524446899166</c:v>
                </c:pt>
                <c:pt idx="640">
                  <c:v>678.53524446899166</c:v>
                </c:pt>
                <c:pt idx="641">
                  <c:v>678.53524446899166</c:v>
                </c:pt>
                <c:pt idx="642">
                  <c:v>678.53524446899166</c:v>
                </c:pt>
                <c:pt idx="643">
                  <c:v>678.53524446899166</c:v>
                </c:pt>
                <c:pt idx="644">
                  <c:v>678.53524446899166</c:v>
                </c:pt>
                <c:pt idx="645">
                  <c:v>678.53524446899166</c:v>
                </c:pt>
                <c:pt idx="646">
                  <c:v>678.53524446899166</c:v>
                </c:pt>
                <c:pt idx="647">
                  <c:v>678.53524446899166</c:v>
                </c:pt>
                <c:pt idx="648">
                  <c:v>678.53524446899166</c:v>
                </c:pt>
                <c:pt idx="649">
                  <c:v>678.53524446899166</c:v>
                </c:pt>
                <c:pt idx="650">
                  <c:v>678.53524446899166</c:v>
                </c:pt>
                <c:pt idx="651">
                  <c:v>678.53524446899166</c:v>
                </c:pt>
                <c:pt idx="652">
                  <c:v>678.53524446899166</c:v>
                </c:pt>
                <c:pt idx="653">
                  <c:v>678.53524446899166</c:v>
                </c:pt>
                <c:pt idx="654">
                  <c:v>678.53524446899166</c:v>
                </c:pt>
                <c:pt idx="655">
                  <c:v>678.53524446899166</c:v>
                </c:pt>
                <c:pt idx="656">
                  <c:v>678.53524446899166</c:v>
                </c:pt>
                <c:pt idx="657">
                  <c:v>678.53524446899166</c:v>
                </c:pt>
                <c:pt idx="658">
                  <c:v>678.53524446899166</c:v>
                </c:pt>
                <c:pt idx="659">
                  <c:v>678.53524446899166</c:v>
                </c:pt>
                <c:pt idx="660">
                  <c:v>678.53524446899166</c:v>
                </c:pt>
                <c:pt idx="661">
                  <c:v>678.53524446899166</c:v>
                </c:pt>
                <c:pt idx="662">
                  <c:v>678.53524446899166</c:v>
                </c:pt>
                <c:pt idx="663">
                  <c:v>678.53524446899166</c:v>
                </c:pt>
                <c:pt idx="664">
                  <c:v>678.53524446899166</c:v>
                </c:pt>
                <c:pt idx="665">
                  <c:v>678.53524446899166</c:v>
                </c:pt>
                <c:pt idx="666">
                  <c:v>678.53524446899166</c:v>
                </c:pt>
                <c:pt idx="667">
                  <c:v>678.53524446899166</c:v>
                </c:pt>
                <c:pt idx="668">
                  <c:v>678.53524446899166</c:v>
                </c:pt>
                <c:pt idx="669">
                  <c:v>678.53524446899166</c:v>
                </c:pt>
                <c:pt idx="670">
                  <c:v>678.53524446899166</c:v>
                </c:pt>
                <c:pt idx="671">
                  <c:v>678.53524446899166</c:v>
                </c:pt>
                <c:pt idx="672">
                  <c:v>678.53524446899166</c:v>
                </c:pt>
                <c:pt idx="673">
                  <c:v>678.53524446899166</c:v>
                </c:pt>
                <c:pt idx="674">
                  <c:v>678.53524446899166</c:v>
                </c:pt>
                <c:pt idx="675">
                  <c:v>678.53524446899166</c:v>
                </c:pt>
                <c:pt idx="676">
                  <c:v>678.53524446899166</c:v>
                </c:pt>
                <c:pt idx="677">
                  <c:v>678.53524446899166</c:v>
                </c:pt>
                <c:pt idx="678">
                  <c:v>678.53524446899166</c:v>
                </c:pt>
                <c:pt idx="679">
                  <c:v>678.53524446899166</c:v>
                </c:pt>
                <c:pt idx="680">
                  <c:v>678.53524446899166</c:v>
                </c:pt>
                <c:pt idx="681">
                  <c:v>678.53524446899166</c:v>
                </c:pt>
                <c:pt idx="682">
                  <c:v>678.53524446899166</c:v>
                </c:pt>
                <c:pt idx="683">
                  <c:v>678.53524446899166</c:v>
                </c:pt>
                <c:pt idx="684">
                  <c:v>678.53524446899166</c:v>
                </c:pt>
                <c:pt idx="685">
                  <c:v>678.53524446899166</c:v>
                </c:pt>
                <c:pt idx="686">
                  <c:v>678.53524446899166</c:v>
                </c:pt>
                <c:pt idx="687">
                  <c:v>678.53524446899166</c:v>
                </c:pt>
                <c:pt idx="688">
                  <c:v>678.53524446899166</c:v>
                </c:pt>
                <c:pt idx="689">
                  <c:v>678.53524446899166</c:v>
                </c:pt>
                <c:pt idx="690">
                  <c:v>678.53524446899166</c:v>
                </c:pt>
                <c:pt idx="691">
                  <c:v>678.53524446899166</c:v>
                </c:pt>
                <c:pt idx="692">
                  <c:v>678.53524446899166</c:v>
                </c:pt>
                <c:pt idx="693">
                  <c:v>678.53524446899166</c:v>
                </c:pt>
                <c:pt idx="694">
                  <c:v>678.53524446899166</c:v>
                </c:pt>
                <c:pt idx="695">
                  <c:v>678.53524446899166</c:v>
                </c:pt>
                <c:pt idx="696">
                  <c:v>678.53524446899166</c:v>
                </c:pt>
                <c:pt idx="697">
                  <c:v>678.53524446899166</c:v>
                </c:pt>
                <c:pt idx="698">
                  <c:v>678.53524446899166</c:v>
                </c:pt>
                <c:pt idx="699">
                  <c:v>678.53524446899166</c:v>
                </c:pt>
                <c:pt idx="700">
                  <c:v>678.53524446899166</c:v>
                </c:pt>
                <c:pt idx="701">
                  <c:v>678.53524446899166</c:v>
                </c:pt>
                <c:pt idx="702">
                  <c:v>678.53524446899166</c:v>
                </c:pt>
                <c:pt idx="703">
                  <c:v>678.53524446899166</c:v>
                </c:pt>
                <c:pt idx="704">
                  <c:v>678.53524446899166</c:v>
                </c:pt>
                <c:pt idx="705">
                  <c:v>678.53524446899166</c:v>
                </c:pt>
                <c:pt idx="706">
                  <c:v>678.53524446899166</c:v>
                </c:pt>
                <c:pt idx="707">
                  <c:v>678.53524446899166</c:v>
                </c:pt>
                <c:pt idx="708">
                  <c:v>678.53524446899166</c:v>
                </c:pt>
                <c:pt idx="709">
                  <c:v>678.53524446899166</c:v>
                </c:pt>
                <c:pt idx="710">
                  <c:v>678.53524446899166</c:v>
                </c:pt>
                <c:pt idx="711">
                  <c:v>678.53524446899166</c:v>
                </c:pt>
                <c:pt idx="712">
                  <c:v>678.53524446899166</c:v>
                </c:pt>
                <c:pt idx="713">
                  <c:v>678.53524446899166</c:v>
                </c:pt>
                <c:pt idx="714">
                  <c:v>678.53524446899166</c:v>
                </c:pt>
                <c:pt idx="715">
                  <c:v>678.53524446899166</c:v>
                </c:pt>
                <c:pt idx="716">
                  <c:v>678.53524446899166</c:v>
                </c:pt>
                <c:pt idx="717">
                  <c:v>678.53524446899166</c:v>
                </c:pt>
                <c:pt idx="718">
                  <c:v>678.53524446899166</c:v>
                </c:pt>
                <c:pt idx="719">
                  <c:v>678.53524446899166</c:v>
                </c:pt>
                <c:pt idx="720">
                  <c:v>678.53524446899166</c:v>
                </c:pt>
                <c:pt idx="721">
                  <c:v>678.53524446899166</c:v>
                </c:pt>
                <c:pt idx="722">
                  <c:v>678.53524446899166</c:v>
                </c:pt>
                <c:pt idx="723">
                  <c:v>678.53524446899166</c:v>
                </c:pt>
                <c:pt idx="724">
                  <c:v>678.53524446899166</c:v>
                </c:pt>
                <c:pt idx="725">
                  <c:v>678.53524446899166</c:v>
                </c:pt>
                <c:pt idx="726">
                  <c:v>678.53524446899166</c:v>
                </c:pt>
                <c:pt idx="727">
                  <c:v>678.53524446899166</c:v>
                </c:pt>
                <c:pt idx="728">
                  <c:v>678.53524446899166</c:v>
                </c:pt>
                <c:pt idx="729">
                  <c:v>678.53524446899166</c:v>
                </c:pt>
                <c:pt idx="730">
                  <c:v>678.53524446899166</c:v>
                </c:pt>
                <c:pt idx="731">
                  <c:v>678.53524446899166</c:v>
                </c:pt>
                <c:pt idx="732">
                  <c:v>678.53524446899166</c:v>
                </c:pt>
                <c:pt idx="733">
                  <c:v>678.53524446899166</c:v>
                </c:pt>
                <c:pt idx="734">
                  <c:v>678.53524446899166</c:v>
                </c:pt>
                <c:pt idx="735">
                  <c:v>678.53524446899166</c:v>
                </c:pt>
                <c:pt idx="736">
                  <c:v>678.53524446899166</c:v>
                </c:pt>
                <c:pt idx="737">
                  <c:v>678.53524446899166</c:v>
                </c:pt>
                <c:pt idx="738">
                  <c:v>678.53524446899166</c:v>
                </c:pt>
                <c:pt idx="739">
                  <c:v>678.53524446899166</c:v>
                </c:pt>
                <c:pt idx="740">
                  <c:v>678.53524446899166</c:v>
                </c:pt>
                <c:pt idx="741">
                  <c:v>678.53524446899166</c:v>
                </c:pt>
                <c:pt idx="742">
                  <c:v>678.53524446899166</c:v>
                </c:pt>
                <c:pt idx="743">
                  <c:v>678.53524446899166</c:v>
                </c:pt>
                <c:pt idx="744">
                  <c:v>678.53524446899166</c:v>
                </c:pt>
                <c:pt idx="745">
                  <c:v>678.53524446899166</c:v>
                </c:pt>
                <c:pt idx="746">
                  <c:v>678.53524446899166</c:v>
                </c:pt>
                <c:pt idx="747">
                  <c:v>678.53524446899166</c:v>
                </c:pt>
                <c:pt idx="748">
                  <c:v>678.53524446899166</c:v>
                </c:pt>
                <c:pt idx="749">
                  <c:v>678.53524446899166</c:v>
                </c:pt>
                <c:pt idx="750">
                  <c:v>678.53524446899166</c:v>
                </c:pt>
                <c:pt idx="751">
                  <c:v>678.53524446899166</c:v>
                </c:pt>
                <c:pt idx="752">
                  <c:v>678.53524446899166</c:v>
                </c:pt>
                <c:pt idx="753">
                  <c:v>678.53524446899166</c:v>
                </c:pt>
                <c:pt idx="754">
                  <c:v>678.53524446899166</c:v>
                </c:pt>
                <c:pt idx="755">
                  <c:v>678.53524446899166</c:v>
                </c:pt>
                <c:pt idx="756">
                  <c:v>678.53524446899166</c:v>
                </c:pt>
                <c:pt idx="757">
                  <c:v>678.53524446899166</c:v>
                </c:pt>
                <c:pt idx="758">
                  <c:v>678.53524446899166</c:v>
                </c:pt>
                <c:pt idx="759">
                  <c:v>678.53524446899166</c:v>
                </c:pt>
                <c:pt idx="760">
                  <c:v>678.53524446899166</c:v>
                </c:pt>
                <c:pt idx="761">
                  <c:v>678.53524446899166</c:v>
                </c:pt>
                <c:pt idx="762">
                  <c:v>678.53524446899166</c:v>
                </c:pt>
                <c:pt idx="763">
                  <c:v>678.53524446899166</c:v>
                </c:pt>
                <c:pt idx="764">
                  <c:v>678.53524446899166</c:v>
                </c:pt>
                <c:pt idx="765">
                  <c:v>678.53524446899166</c:v>
                </c:pt>
                <c:pt idx="766">
                  <c:v>678.53524446899166</c:v>
                </c:pt>
                <c:pt idx="767">
                  <c:v>678.53524446899166</c:v>
                </c:pt>
                <c:pt idx="768">
                  <c:v>678.53524446899166</c:v>
                </c:pt>
                <c:pt idx="769">
                  <c:v>678.53524446899166</c:v>
                </c:pt>
                <c:pt idx="770">
                  <c:v>678.53524446899166</c:v>
                </c:pt>
                <c:pt idx="771">
                  <c:v>678.53524446899166</c:v>
                </c:pt>
                <c:pt idx="772">
                  <c:v>678.53524446899166</c:v>
                </c:pt>
                <c:pt idx="773">
                  <c:v>678.53524446899166</c:v>
                </c:pt>
                <c:pt idx="774">
                  <c:v>678.53524446899166</c:v>
                </c:pt>
                <c:pt idx="775">
                  <c:v>678.53524446899166</c:v>
                </c:pt>
                <c:pt idx="776">
                  <c:v>678.53524446899166</c:v>
                </c:pt>
                <c:pt idx="777">
                  <c:v>678.53524446899166</c:v>
                </c:pt>
                <c:pt idx="778">
                  <c:v>678.53524446899166</c:v>
                </c:pt>
                <c:pt idx="779">
                  <c:v>678.53524446899166</c:v>
                </c:pt>
                <c:pt idx="780">
                  <c:v>678.53524446899166</c:v>
                </c:pt>
                <c:pt idx="781">
                  <c:v>678.53524446899166</c:v>
                </c:pt>
                <c:pt idx="782">
                  <c:v>678.53524446899166</c:v>
                </c:pt>
                <c:pt idx="783">
                  <c:v>678.53524446899166</c:v>
                </c:pt>
                <c:pt idx="784">
                  <c:v>678.53524446899166</c:v>
                </c:pt>
                <c:pt idx="785">
                  <c:v>678.53524446899166</c:v>
                </c:pt>
                <c:pt idx="786">
                  <c:v>678.53524446899166</c:v>
                </c:pt>
                <c:pt idx="787">
                  <c:v>678.53524446899166</c:v>
                </c:pt>
                <c:pt idx="788">
                  <c:v>678.53524446899166</c:v>
                </c:pt>
                <c:pt idx="789">
                  <c:v>678.53524446899166</c:v>
                </c:pt>
                <c:pt idx="790">
                  <c:v>678.53524446899166</c:v>
                </c:pt>
                <c:pt idx="791">
                  <c:v>678.53524446899166</c:v>
                </c:pt>
                <c:pt idx="792">
                  <c:v>678.53524446899166</c:v>
                </c:pt>
                <c:pt idx="793">
                  <c:v>678.53524446899166</c:v>
                </c:pt>
                <c:pt idx="794">
                  <c:v>678.53524446899166</c:v>
                </c:pt>
                <c:pt idx="795">
                  <c:v>678.53524446899166</c:v>
                </c:pt>
                <c:pt idx="796">
                  <c:v>678.53524446899166</c:v>
                </c:pt>
                <c:pt idx="797">
                  <c:v>678.53524446899166</c:v>
                </c:pt>
                <c:pt idx="798">
                  <c:v>678.53524446899166</c:v>
                </c:pt>
                <c:pt idx="799">
                  <c:v>678.53524446899166</c:v>
                </c:pt>
                <c:pt idx="800">
                  <c:v>678.53524446899166</c:v>
                </c:pt>
                <c:pt idx="801">
                  <c:v>678.53524446899166</c:v>
                </c:pt>
                <c:pt idx="802">
                  <c:v>678.53524446899166</c:v>
                </c:pt>
                <c:pt idx="803">
                  <c:v>678.53524446899166</c:v>
                </c:pt>
                <c:pt idx="804">
                  <c:v>678.53524446899166</c:v>
                </c:pt>
                <c:pt idx="805">
                  <c:v>678.53524446899166</c:v>
                </c:pt>
                <c:pt idx="806">
                  <c:v>678.53524446899166</c:v>
                </c:pt>
                <c:pt idx="807">
                  <c:v>678.53524446899166</c:v>
                </c:pt>
                <c:pt idx="808">
                  <c:v>678.53524446899166</c:v>
                </c:pt>
                <c:pt idx="809">
                  <c:v>678.53524446899166</c:v>
                </c:pt>
                <c:pt idx="810">
                  <c:v>678.53524446899166</c:v>
                </c:pt>
                <c:pt idx="811">
                  <c:v>678.53524446899166</c:v>
                </c:pt>
                <c:pt idx="812">
                  <c:v>678.53524446899166</c:v>
                </c:pt>
                <c:pt idx="813">
                  <c:v>678.53524446899166</c:v>
                </c:pt>
                <c:pt idx="814">
                  <c:v>678.53524446899166</c:v>
                </c:pt>
                <c:pt idx="815">
                  <c:v>678.53524446899166</c:v>
                </c:pt>
                <c:pt idx="816">
                  <c:v>678.53524446899166</c:v>
                </c:pt>
                <c:pt idx="817">
                  <c:v>678.53524446899166</c:v>
                </c:pt>
                <c:pt idx="818">
                  <c:v>678.53524446899166</c:v>
                </c:pt>
                <c:pt idx="819">
                  <c:v>678.53524446899166</c:v>
                </c:pt>
                <c:pt idx="820">
                  <c:v>678.53524446899166</c:v>
                </c:pt>
                <c:pt idx="821">
                  <c:v>678.53524446899166</c:v>
                </c:pt>
                <c:pt idx="822">
                  <c:v>678.53524446899166</c:v>
                </c:pt>
                <c:pt idx="823">
                  <c:v>678.53524446899166</c:v>
                </c:pt>
                <c:pt idx="824">
                  <c:v>678.53524446899166</c:v>
                </c:pt>
                <c:pt idx="825">
                  <c:v>678.53524446899166</c:v>
                </c:pt>
                <c:pt idx="826">
                  <c:v>678.53524446899166</c:v>
                </c:pt>
                <c:pt idx="827">
                  <c:v>678.53524446899166</c:v>
                </c:pt>
                <c:pt idx="828">
                  <c:v>678.53524446899166</c:v>
                </c:pt>
                <c:pt idx="829">
                  <c:v>678.53524446899166</c:v>
                </c:pt>
                <c:pt idx="830">
                  <c:v>678.53524446899166</c:v>
                </c:pt>
                <c:pt idx="831">
                  <c:v>678.53524446899166</c:v>
                </c:pt>
                <c:pt idx="832">
                  <c:v>678.53524446899166</c:v>
                </c:pt>
                <c:pt idx="833">
                  <c:v>678.53524446899166</c:v>
                </c:pt>
                <c:pt idx="834">
                  <c:v>678.53524446899166</c:v>
                </c:pt>
                <c:pt idx="835">
                  <c:v>678.53524446899166</c:v>
                </c:pt>
                <c:pt idx="836">
                  <c:v>678.53524446899166</c:v>
                </c:pt>
                <c:pt idx="837">
                  <c:v>678.53524446899166</c:v>
                </c:pt>
                <c:pt idx="838">
                  <c:v>678.53524446899166</c:v>
                </c:pt>
                <c:pt idx="839">
                  <c:v>678.53524446899166</c:v>
                </c:pt>
                <c:pt idx="840">
                  <c:v>678.53524446899166</c:v>
                </c:pt>
                <c:pt idx="841">
                  <c:v>678.53524446899166</c:v>
                </c:pt>
                <c:pt idx="842">
                  <c:v>678.53524446899166</c:v>
                </c:pt>
                <c:pt idx="843">
                  <c:v>678.53524446899166</c:v>
                </c:pt>
                <c:pt idx="844">
                  <c:v>678.53524446899166</c:v>
                </c:pt>
                <c:pt idx="845">
                  <c:v>678.53524446899166</c:v>
                </c:pt>
                <c:pt idx="846">
                  <c:v>678.53524446899166</c:v>
                </c:pt>
                <c:pt idx="847">
                  <c:v>678.53524446899166</c:v>
                </c:pt>
                <c:pt idx="848">
                  <c:v>678.53524446899166</c:v>
                </c:pt>
                <c:pt idx="849">
                  <c:v>678.53524446899166</c:v>
                </c:pt>
                <c:pt idx="850">
                  <c:v>678.53524446899166</c:v>
                </c:pt>
                <c:pt idx="851">
                  <c:v>678.53524446899166</c:v>
                </c:pt>
                <c:pt idx="852">
                  <c:v>678.53524446899166</c:v>
                </c:pt>
                <c:pt idx="853">
                  <c:v>678.53524446899166</c:v>
                </c:pt>
                <c:pt idx="854">
                  <c:v>678.53524446899166</c:v>
                </c:pt>
                <c:pt idx="855">
                  <c:v>678.53524446899166</c:v>
                </c:pt>
                <c:pt idx="856">
                  <c:v>678.53524446899166</c:v>
                </c:pt>
                <c:pt idx="857">
                  <c:v>678.53524446899166</c:v>
                </c:pt>
                <c:pt idx="858">
                  <c:v>678.53524446899166</c:v>
                </c:pt>
                <c:pt idx="859">
                  <c:v>678.53524446899166</c:v>
                </c:pt>
                <c:pt idx="860">
                  <c:v>678.53524446899166</c:v>
                </c:pt>
                <c:pt idx="861">
                  <c:v>678.53524446899166</c:v>
                </c:pt>
                <c:pt idx="862">
                  <c:v>678.53524446899166</c:v>
                </c:pt>
                <c:pt idx="863">
                  <c:v>678.53524446899166</c:v>
                </c:pt>
                <c:pt idx="864">
                  <c:v>678.53524446899166</c:v>
                </c:pt>
                <c:pt idx="865">
                  <c:v>678.53524446899166</c:v>
                </c:pt>
                <c:pt idx="866">
                  <c:v>678.53524446899166</c:v>
                </c:pt>
                <c:pt idx="867">
                  <c:v>678.53524446899166</c:v>
                </c:pt>
                <c:pt idx="868">
                  <c:v>678.53524446899166</c:v>
                </c:pt>
                <c:pt idx="869">
                  <c:v>678.53524446899166</c:v>
                </c:pt>
                <c:pt idx="870">
                  <c:v>678.53524446899166</c:v>
                </c:pt>
                <c:pt idx="871">
                  <c:v>678.53524446899166</c:v>
                </c:pt>
                <c:pt idx="872">
                  <c:v>678.53524446899166</c:v>
                </c:pt>
                <c:pt idx="873">
                  <c:v>678.53524446899166</c:v>
                </c:pt>
                <c:pt idx="874">
                  <c:v>678.53524446899166</c:v>
                </c:pt>
                <c:pt idx="875">
                  <c:v>678.53524446899166</c:v>
                </c:pt>
                <c:pt idx="876">
                  <c:v>678.53524446899166</c:v>
                </c:pt>
                <c:pt idx="877">
                  <c:v>678.53524446899166</c:v>
                </c:pt>
                <c:pt idx="878">
                  <c:v>678.53524446899166</c:v>
                </c:pt>
                <c:pt idx="879">
                  <c:v>678.53524446899166</c:v>
                </c:pt>
                <c:pt idx="880">
                  <c:v>678.53524446899166</c:v>
                </c:pt>
                <c:pt idx="881">
                  <c:v>678.53524446899166</c:v>
                </c:pt>
                <c:pt idx="882">
                  <c:v>678.53524446899166</c:v>
                </c:pt>
                <c:pt idx="883">
                  <c:v>678.53524446899166</c:v>
                </c:pt>
                <c:pt idx="884">
                  <c:v>678.53524446899166</c:v>
                </c:pt>
                <c:pt idx="885">
                  <c:v>678.53524446899166</c:v>
                </c:pt>
                <c:pt idx="886">
                  <c:v>678.53524446899166</c:v>
                </c:pt>
                <c:pt idx="887">
                  <c:v>678.53524446899166</c:v>
                </c:pt>
                <c:pt idx="888">
                  <c:v>678.53524446899166</c:v>
                </c:pt>
                <c:pt idx="889">
                  <c:v>678.53524446899166</c:v>
                </c:pt>
                <c:pt idx="890">
                  <c:v>678.53524446899166</c:v>
                </c:pt>
                <c:pt idx="891">
                  <c:v>678.53524446899166</c:v>
                </c:pt>
                <c:pt idx="892">
                  <c:v>678.53524446899166</c:v>
                </c:pt>
                <c:pt idx="893">
                  <c:v>678.53524446899166</c:v>
                </c:pt>
                <c:pt idx="894">
                  <c:v>678.53524446899166</c:v>
                </c:pt>
                <c:pt idx="895">
                  <c:v>678.53524446899166</c:v>
                </c:pt>
                <c:pt idx="896">
                  <c:v>678.53524446899166</c:v>
                </c:pt>
                <c:pt idx="897">
                  <c:v>678.53524446899166</c:v>
                </c:pt>
                <c:pt idx="898">
                  <c:v>678.53524446899166</c:v>
                </c:pt>
                <c:pt idx="899">
                  <c:v>678.53524446899166</c:v>
                </c:pt>
                <c:pt idx="900">
                  <c:v>678.53524446899166</c:v>
                </c:pt>
                <c:pt idx="901">
                  <c:v>678.53524446899166</c:v>
                </c:pt>
                <c:pt idx="902">
                  <c:v>678.53524446899166</c:v>
                </c:pt>
                <c:pt idx="903">
                  <c:v>678.53524446899166</c:v>
                </c:pt>
                <c:pt idx="904">
                  <c:v>678.53524446899166</c:v>
                </c:pt>
                <c:pt idx="905">
                  <c:v>678.53524446899166</c:v>
                </c:pt>
                <c:pt idx="906">
                  <c:v>678.53524446899166</c:v>
                </c:pt>
                <c:pt idx="907">
                  <c:v>678.53524446899166</c:v>
                </c:pt>
                <c:pt idx="908">
                  <c:v>678.53524446899166</c:v>
                </c:pt>
                <c:pt idx="909">
                  <c:v>678.53524446899166</c:v>
                </c:pt>
                <c:pt idx="910">
                  <c:v>678.53524446899166</c:v>
                </c:pt>
                <c:pt idx="911">
                  <c:v>678.53524446899166</c:v>
                </c:pt>
                <c:pt idx="912">
                  <c:v>678.53524446899166</c:v>
                </c:pt>
                <c:pt idx="913">
                  <c:v>678.53524446899166</c:v>
                </c:pt>
                <c:pt idx="914">
                  <c:v>678.53524446899166</c:v>
                </c:pt>
                <c:pt idx="915">
                  <c:v>678.53524446899166</c:v>
                </c:pt>
                <c:pt idx="916">
                  <c:v>678.53524446899166</c:v>
                </c:pt>
                <c:pt idx="917">
                  <c:v>678.53524446899166</c:v>
                </c:pt>
                <c:pt idx="918">
                  <c:v>678.53524446899166</c:v>
                </c:pt>
                <c:pt idx="919">
                  <c:v>678.53524446899166</c:v>
                </c:pt>
                <c:pt idx="920">
                  <c:v>678.53524446899166</c:v>
                </c:pt>
                <c:pt idx="921">
                  <c:v>678.53524446899166</c:v>
                </c:pt>
                <c:pt idx="922">
                  <c:v>678.53524446899166</c:v>
                </c:pt>
                <c:pt idx="923">
                  <c:v>678.53524446899166</c:v>
                </c:pt>
                <c:pt idx="924">
                  <c:v>678.53524446899166</c:v>
                </c:pt>
                <c:pt idx="925">
                  <c:v>678.53524446899166</c:v>
                </c:pt>
                <c:pt idx="926">
                  <c:v>678.53524446899166</c:v>
                </c:pt>
                <c:pt idx="927">
                  <c:v>678.53524446899166</c:v>
                </c:pt>
                <c:pt idx="928">
                  <c:v>678.53524446899166</c:v>
                </c:pt>
                <c:pt idx="929">
                  <c:v>678.53524446899166</c:v>
                </c:pt>
                <c:pt idx="930">
                  <c:v>678.53524446899166</c:v>
                </c:pt>
                <c:pt idx="931">
                  <c:v>678.53524446899166</c:v>
                </c:pt>
                <c:pt idx="932">
                  <c:v>678.53524446899166</c:v>
                </c:pt>
                <c:pt idx="933">
                  <c:v>678.53524446899166</c:v>
                </c:pt>
                <c:pt idx="934">
                  <c:v>678.53524446899166</c:v>
                </c:pt>
                <c:pt idx="935">
                  <c:v>678.53524446899166</c:v>
                </c:pt>
                <c:pt idx="936">
                  <c:v>678.53524446899166</c:v>
                </c:pt>
                <c:pt idx="937">
                  <c:v>678.53524446899166</c:v>
                </c:pt>
                <c:pt idx="938">
                  <c:v>678.53524446899166</c:v>
                </c:pt>
                <c:pt idx="939">
                  <c:v>678.53524446899166</c:v>
                </c:pt>
                <c:pt idx="940">
                  <c:v>678.53524446899166</c:v>
                </c:pt>
                <c:pt idx="941">
                  <c:v>678.53524446899166</c:v>
                </c:pt>
                <c:pt idx="942">
                  <c:v>678.53524446899166</c:v>
                </c:pt>
                <c:pt idx="943">
                  <c:v>678.53524446899166</c:v>
                </c:pt>
                <c:pt idx="944">
                  <c:v>678.53524446899166</c:v>
                </c:pt>
                <c:pt idx="945">
                  <c:v>678.53524446899166</c:v>
                </c:pt>
                <c:pt idx="946">
                  <c:v>678.53524446899166</c:v>
                </c:pt>
                <c:pt idx="947">
                  <c:v>678.53524446899166</c:v>
                </c:pt>
                <c:pt idx="948">
                  <c:v>678.53524446899166</c:v>
                </c:pt>
                <c:pt idx="949">
                  <c:v>678.53524446899166</c:v>
                </c:pt>
                <c:pt idx="950">
                  <c:v>678.53524446899166</c:v>
                </c:pt>
                <c:pt idx="951">
                  <c:v>678.53524446899166</c:v>
                </c:pt>
                <c:pt idx="952">
                  <c:v>678.53524446899166</c:v>
                </c:pt>
                <c:pt idx="953">
                  <c:v>678.53524446899166</c:v>
                </c:pt>
                <c:pt idx="954">
                  <c:v>678.53524446899166</c:v>
                </c:pt>
                <c:pt idx="955">
                  <c:v>678.53524446899166</c:v>
                </c:pt>
                <c:pt idx="956">
                  <c:v>678.53524446899166</c:v>
                </c:pt>
                <c:pt idx="957">
                  <c:v>678.53524446899166</c:v>
                </c:pt>
                <c:pt idx="958">
                  <c:v>678.53524446899166</c:v>
                </c:pt>
                <c:pt idx="959">
                  <c:v>678.53524446899166</c:v>
                </c:pt>
                <c:pt idx="960">
                  <c:v>678.53524446899166</c:v>
                </c:pt>
                <c:pt idx="961">
                  <c:v>678.53524446899166</c:v>
                </c:pt>
                <c:pt idx="962">
                  <c:v>678.53524446899166</c:v>
                </c:pt>
                <c:pt idx="963">
                  <c:v>678.53524446899166</c:v>
                </c:pt>
                <c:pt idx="964">
                  <c:v>678.53524446899166</c:v>
                </c:pt>
                <c:pt idx="965">
                  <c:v>678.53524446899166</c:v>
                </c:pt>
                <c:pt idx="966">
                  <c:v>678.53524446899166</c:v>
                </c:pt>
                <c:pt idx="967">
                  <c:v>678.53524446899166</c:v>
                </c:pt>
                <c:pt idx="968">
                  <c:v>678.53524446899166</c:v>
                </c:pt>
                <c:pt idx="969">
                  <c:v>678.53524446899166</c:v>
                </c:pt>
                <c:pt idx="970">
                  <c:v>678.53524446899166</c:v>
                </c:pt>
                <c:pt idx="971">
                  <c:v>678.53524446899166</c:v>
                </c:pt>
                <c:pt idx="972">
                  <c:v>678.53524446899166</c:v>
                </c:pt>
                <c:pt idx="973">
                  <c:v>678.53524446899166</c:v>
                </c:pt>
                <c:pt idx="974">
                  <c:v>678.53524446899166</c:v>
                </c:pt>
                <c:pt idx="975">
                  <c:v>678.53524446899166</c:v>
                </c:pt>
                <c:pt idx="976">
                  <c:v>678.53524446899166</c:v>
                </c:pt>
                <c:pt idx="977">
                  <c:v>678.53524446899166</c:v>
                </c:pt>
                <c:pt idx="978">
                  <c:v>678.53524446899166</c:v>
                </c:pt>
                <c:pt idx="979">
                  <c:v>678.53524446899166</c:v>
                </c:pt>
                <c:pt idx="980">
                  <c:v>678.53524446899166</c:v>
                </c:pt>
                <c:pt idx="981">
                  <c:v>678.53524446899166</c:v>
                </c:pt>
                <c:pt idx="982">
                  <c:v>678.53524446899166</c:v>
                </c:pt>
                <c:pt idx="983">
                  <c:v>678.53524446899166</c:v>
                </c:pt>
                <c:pt idx="984">
                  <c:v>678.53524446899166</c:v>
                </c:pt>
                <c:pt idx="985">
                  <c:v>678.53524446899166</c:v>
                </c:pt>
                <c:pt idx="986">
                  <c:v>678.53524446899166</c:v>
                </c:pt>
                <c:pt idx="987">
                  <c:v>678.53524446899166</c:v>
                </c:pt>
                <c:pt idx="988">
                  <c:v>678.53524446899166</c:v>
                </c:pt>
                <c:pt idx="989">
                  <c:v>678.53524446899166</c:v>
                </c:pt>
                <c:pt idx="990">
                  <c:v>678.53524446899166</c:v>
                </c:pt>
                <c:pt idx="991">
                  <c:v>678.53524446899166</c:v>
                </c:pt>
                <c:pt idx="992">
                  <c:v>678.53524446899166</c:v>
                </c:pt>
                <c:pt idx="993">
                  <c:v>678.53524446899166</c:v>
                </c:pt>
                <c:pt idx="994">
                  <c:v>678.53524446899166</c:v>
                </c:pt>
                <c:pt idx="995">
                  <c:v>678.53524446899166</c:v>
                </c:pt>
                <c:pt idx="996">
                  <c:v>678.53524446899166</c:v>
                </c:pt>
                <c:pt idx="997">
                  <c:v>678.53524446899166</c:v>
                </c:pt>
                <c:pt idx="998">
                  <c:v>678.53524446899166</c:v>
                </c:pt>
                <c:pt idx="999">
                  <c:v>678.53524446899166</c:v>
                </c:pt>
                <c:pt idx="1000">
                  <c:v>678.53524446899166</c:v>
                </c:pt>
              </c:numCache>
            </c:numRef>
          </c:xVal>
          <c:yVal>
            <c:numRef>
              <c:f>Calculs!$K$4:$K$1004</c:f>
              <c:numCache>
                <c:formatCode>0.00</c:formatCode>
                <c:ptCount val="1001"/>
                <c:pt idx="0">
                  <c:v>570.20506866099674</c:v>
                </c:pt>
                <c:pt idx="1">
                  <c:v>571.70180485420815</c:v>
                </c:pt>
                <c:pt idx="2">
                  <c:v>573.19555889131561</c:v>
                </c:pt>
                <c:pt idx="3">
                  <c:v>574.6863389760498</c:v>
                </c:pt>
                <c:pt idx="4">
                  <c:v>576.17415327135552</c:v>
                </c:pt>
                <c:pt idx="5">
                  <c:v>577.65900989965996</c:v>
                </c:pt>
                <c:pt idx="6">
                  <c:v>579.14091694313913</c:v>
                </c:pt>
                <c:pt idx="7">
                  <c:v>580.6198824439814</c:v>
                </c:pt>
                <c:pt idx="8">
                  <c:v>582.09591440464942</c:v>
                </c:pt>
                <c:pt idx="9">
                  <c:v>583.56902078813982</c:v>
                </c:pt>
                <c:pt idx="10">
                  <c:v>585.03920951824068</c:v>
                </c:pt>
                <c:pt idx="11">
                  <c:v>586.50648846886315</c:v>
                </c:pt>
                <c:pt idx="12">
                  <c:v>587.97086545361992</c:v>
                </c:pt>
                <c:pt idx="13">
                  <c:v>589.43234823749185</c:v>
                </c:pt>
                <c:pt idx="14">
                  <c:v>590.89094454823828</c:v>
                </c:pt>
                <c:pt idx="15">
                  <c:v>592.34666207663042</c:v>
                </c:pt>
                <c:pt idx="16">
                  <c:v>593.7995084766826</c:v>
                </c:pt>
                <c:pt idx="17">
                  <c:v>595.24949136588236</c:v>
                </c:pt>
                <c:pt idx="18">
                  <c:v>596.69661832541772</c:v>
                </c:pt>
                <c:pt idx="19">
                  <c:v>598.14089690040373</c:v>
                </c:pt>
                <c:pt idx="20">
                  <c:v>599.58233460010649</c:v>
                </c:pt>
                <c:pt idx="21">
                  <c:v>601.02093890362949</c:v>
                </c:pt>
                <c:pt idx="22">
                  <c:v>602.45671726547835</c:v>
                </c:pt>
                <c:pt idx="23">
                  <c:v>603.88967711007933</c:v>
                </c:pt>
                <c:pt idx="24">
                  <c:v>605.31982582641808</c:v>
                </c:pt>
                <c:pt idx="25">
                  <c:v>606.74717076826209</c:v>
                </c:pt>
                <c:pt idx="26">
                  <c:v>608.17171925438083</c:v>
                </c:pt>
                <c:pt idx="27">
                  <c:v>609.59347856876457</c:v>
                </c:pt>
                <c:pt idx="28">
                  <c:v>611.01245596084152</c:v>
                </c:pt>
                <c:pt idx="29">
                  <c:v>612.42865864569285</c:v>
                </c:pt>
                <c:pt idx="30">
                  <c:v>613.84209380426614</c:v>
                </c:pt>
                <c:pt idx="31">
                  <c:v>615.25276858358757</c:v>
                </c:pt>
                <c:pt idx="32">
                  <c:v>616.66069009697196</c:v>
                </c:pt>
                <c:pt idx="33">
                  <c:v>618.06586542423133</c:v>
                </c:pt>
                <c:pt idx="34">
                  <c:v>619.468301611882</c:v>
                </c:pt>
                <c:pt idx="35">
                  <c:v>620.86800567334967</c:v>
                </c:pt>
                <c:pt idx="36">
                  <c:v>622.26498458917342</c:v>
                </c:pt>
                <c:pt idx="37">
                  <c:v>623.6592453072077</c:v>
                </c:pt>
                <c:pt idx="38">
                  <c:v>625.05079474282297</c:v>
                </c:pt>
                <c:pt idx="39">
                  <c:v>626.43963977910482</c:v>
                </c:pt>
                <c:pt idx="40">
                  <c:v>627.82578726705128</c:v>
                </c:pt>
                <c:pt idx="41">
                  <c:v>629.20924402576895</c:v>
                </c:pt>
                <c:pt idx="42">
                  <c:v>630.5900168426673</c:v>
                </c:pt>
                <c:pt idx="43">
                  <c:v>631.96811247365179</c:v>
                </c:pt>
                <c:pt idx="44">
                  <c:v>633.34353764331524</c:v>
                </c:pt>
                <c:pt idx="45">
                  <c:v>634.71629904512793</c:v>
                </c:pt>
                <c:pt idx="46">
                  <c:v>636.08640334162612</c:v>
                </c:pt>
                <c:pt idx="47">
                  <c:v>637.45385716459896</c:v>
                </c:pt>
                <c:pt idx="48">
                  <c:v>638.81866711527448</c:v>
                </c:pt>
                <c:pt idx="49">
                  <c:v>640.18083976450373</c:v>
                </c:pt>
                <c:pt idx="50">
                  <c:v>641.54038165294355</c:v>
                </c:pt>
                <c:pt idx="51">
                  <c:v>642.89729929123826</c:v>
                </c:pt>
                <c:pt idx="52">
                  <c:v>644.25159916019936</c:v>
                </c:pt>
                <c:pt idx="53">
                  <c:v>645.60328771098477</c:v>
                </c:pt>
                <c:pt idx="54">
                  <c:v>646.95237136527589</c:v>
                </c:pt>
                <c:pt idx="55">
                  <c:v>648.29885651545351</c:v>
                </c:pt>
                <c:pt idx="56">
                  <c:v>649.64274952477285</c:v>
                </c:pt>
                <c:pt idx="57">
                  <c:v>650.98405672753677</c:v>
                </c:pt>
                <c:pt idx="58">
                  <c:v>652.32278442926781</c:v>
                </c:pt>
                <c:pt idx="59">
                  <c:v>653.65893890687914</c:v>
                </c:pt>
                <c:pt idx="60">
                  <c:v>654.9925264088439</c:v>
                </c:pt>
                <c:pt idx="61">
                  <c:v>656.32355315536358</c:v>
                </c:pt>
                <c:pt idx="62">
                  <c:v>657.65202533853494</c:v>
                </c:pt>
                <c:pt idx="63">
                  <c:v>658.97794912251584</c:v>
                </c:pt>
                <c:pt idx="64">
                  <c:v>660.30133064368943</c:v>
                </c:pt>
                <c:pt idx="65">
                  <c:v>661.62217601082773</c:v>
                </c:pt>
                <c:pt idx="66">
                  <c:v>662.94049130525377</c:v>
                </c:pt>
                <c:pt idx="67">
                  <c:v>664.25628258100221</c:v>
                </c:pt>
                <c:pt idx="68">
                  <c:v>665.56955586497907</c:v>
                </c:pt>
                <c:pt idx="69">
                  <c:v>666.8803171571202</c:v>
                </c:pt>
                <c:pt idx="70">
                  <c:v>668.18857243054867</c:v>
                </c:pt>
                <c:pt idx="71">
                  <c:v>669.49432763173104</c:v>
                </c:pt>
                <c:pt idx="72">
                  <c:v>670.79758868063209</c:v>
                </c:pt>
                <c:pt idx="73">
                  <c:v>672.09836147086878</c:v>
                </c:pt>
                <c:pt idx="74">
                  <c:v>673.39665186986304</c:v>
                </c:pt>
                <c:pt idx="75">
                  <c:v>674.6924657189935</c:v>
                </c:pt>
                <c:pt idx="76">
                  <c:v>675.98580883374575</c:v>
                </c:pt>
                <c:pt idx="77">
                  <c:v>677.27668700386187</c:v>
                </c:pt>
                <c:pt idx="78">
                  <c:v>678.56510599348883</c:v>
                </c:pt>
                <c:pt idx="79">
                  <c:v>679.8510715413255</c:v>
                </c:pt>
                <c:pt idx="80">
                  <c:v>681.13458936076893</c:v>
                </c:pt>
                <c:pt idx="81">
                  <c:v>682.41566514005956</c:v>
                </c:pt>
                <c:pt idx="82">
                  <c:v>683.69430454242513</c:v>
                </c:pt>
                <c:pt idx="83">
                  <c:v>684.9705132062237</c:v>
                </c:pt>
                <c:pt idx="84">
                  <c:v>686.24429674508565</c:v>
                </c:pt>
                <c:pt idx="85">
                  <c:v>687.51566074805453</c:v>
                </c:pt>
                <c:pt idx="86">
                  <c:v>688.78461077972702</c:v>
                </c:pt>
                <c:pt idx="87">
                  <c:v>690.05115238039207</c:v>
                </c:pt>
                <c:pt idx="88">
                  <c:v>691.31529106616847</c:v>
                </c:pt>
                <c:pt idx="89">
                  <c:v>692.57703232914184</c:v>
                </c:pt>
                <c:pt idx="90">
                  <c:v>693.83638163750084</c:v>
                </c:pt>
                <c:pt idx="91">
                  <c:v>695.09334443567195</c:v>
                </c:pt>
                <c:pt idx="92">
                  <c:v>696.34792614445337</c:v>
                </c:pt>
                <c:pt idx="93">
                  <c:v>697.60013216114817</c:v>
                </c:pt>
                <c:pt idx="94">
                  <c:v>698.84996785969645</c:v>
                </c:pt>
                <c:pt idx="95">
                  <c:v>700.09743859080641</c:v>
                </c:pt>
                <c:pt idx="96">
                  <c:v>701.34254968208461</c:v>
                </c:pt>
                <c:pt idx="97">
                  <c:v>702.58530643816516</c:v>
                </c:pt>
                <c:pt idx="98">
                  <c:v>703.82571414083839</c:v>
                </c:pt>
                <c:pt idx="99">
                  <c:v>705.06377804917781</c:v>
                </c:pt>
                <c:pt idx="100">
                  <c:v>706.29950339966729</c:v>
                </c:pt>
                <c:pt idx="101">
                  <c:v>718.52854005730728</c:v>
                </c:pt>
                <c:pt idx="102">
                  <c:v>730.52706813776001</c:v>
                </c:pt>
                <c:pt idx="103">
                  <c:v>742.30011104420862</c:v>
                </c:pt>
                <c:pt idx="104">
                  <c:v>753.85248213761804</c:v>
                </c:pt>
                <c:pt idx="105">
                  <c:v>765.18879596593888</c:v>
                </c:pt>
                <c:pt idx="106">
                  <c:v>776.31347873877621</c:v>
                </c:pt>
                <c:pt idx="107">
                  <c:v>787.23077810765699</c:v>
                </c:pt>
                <c:pt idx="108">
                  <c:v>797.94477230648795</c:v>
                </c:pt>
                <c:pt idx="109">
                  <c:v>808.45937870183184</c:v>
                </c:pt>
                <c:pt idx="110">
                  <c:v>818.77836179817598</c:v>
                </c:pt>
                <c:pt idx="111">
                  <c:v>828.9053407393659</c:v>
                </c:pt>
                <c:pt idx="112">
                  <c:v>838.84379634377626</c:v>
                </c:pt>
                <c:pt idx="113">
                  <c:v>848.59707770754767</c:v>
                </c:pt>
                <c:pt idx="114">
                  <c:v>858.16840840729094</c:v>
                </c:pt>
                <c:pt idx="115">
                  <c:v>867.56089233101488</c:v>
                </c:pt>
                <c:pt idx="116">
                  <c:v>876.77751916364275</c:v>
                </c:pt>
                <c:pt idx="117">
                  <c:v>885.82116955131448</c:v>
                </c:pt>
                <c:pt idx="118">
                  <c:v>894.69461996670725</c:v>
                </c:pt>
                <c:pt idx="119">
                  <c:v>903.40054729582175</c:v>
                </c:pt>
                <c:pt idx="120">
                  <c:v>911.94153316506015</c:v>
                </c:pt>
                <c:pt idx="121">
                  <c:v>920.32006802594503</c:v>
                </c:pt>
                <c:pt idx="122">
                  <c:v>928.53855501348335</c:v>
                </c:pt>
                <c:pt idx="123">
                  <c:v>936.59931359295331</c:v>
                </c:pt>
                <c:pt idx="124">
                  <c:v>944.50458300877074</c:v>
                </c:pt>
                <c:pt idx="125">
                  <c:v>952.25652554806913</c:v>
                </c:pt>
                <c:pt idx="126">
                  <c:v>959.85722963069009</c:v>
                </c:pt>
                <c:pt idx="127">
                  <c:v>967.30871273642288</c:v>
                </c:pt>
                <c:pt idx="128">
                  <c:v>974.61292417954712</c:v>
                </c:pt>
                <c:pt idx="129">
                  <c:v>981.77174774000912</c:v>
                </c:pt>
                <c:pt idx="130">
                  <c:v>988.7870041599017</c:v>
                </c:pt>
                <c:pt idx="131">
                  <c:v>995.66045351330865</c:v>
                </c:pt>
                <c:pt idx="132">
                  <c:v>1002.3937974570134</c:v>
                </c:pt>
                <c:pt idx="133">
                  <c:v>1008.9886813690589</c:v>
                </c:pt>
                <c:pt idx="134">
                  <c:v>1015.4466963816684</c:v>
                </c:pt>
                <c:pt idx="135">
                  <c:v>1021.7693813146013</c:v>
                </c:pt>
                <c:pt idx="136">
                  <c:v>1027.9582245146139</c:v>
                </c:pt>
                <c:pt idx="137">
                  <c:v>1034.0146656063216</c:v>
                </c:pt>
                <c:pt idx="138">
                  <c:v>1039.9400971594187</c:v>
                </c:pt>
                <c:pt idx="139">
                  <c:v>1045.7358662768895</c:v>
                </c:pt>
                <c:pt idx="140">
                  <c:v>1051.4032761085566</c:v>
                </c:pt>
                <c:pt idx="141">
                  <c:v>1056.9435872940346</c:v>
                </c:pt>
                <c:pt idx="142">
                  <c:v>1062.358019338915</c:v>
                </c:pt>
                <c:pt idx="143">
                  <c:v>1067.6477519277705</c:v>
                </c:pt>
                <c:pt idx="144">
                  <c:v>1072.8139261773536</c:v>
                </c:pt>
                <c:pt idx="145">
                  <c:v>1077.8576458331722</c:v>
                </c:pt>
                <c:pt idx="146">
                  <c:v>1082.7799784124368</c:v>
                </c:pt>
                <c:pt idx="147">
                  <c:v>1087.581956296209</c:v>
                </c:pt>
                <c:pt idx="148">
                  <c:v>1092.2645777734297</c:v>
                </c:pt>
                <c:pt idx="149">
                  <c:v>1096.8288080393572</c:v>
                </c:pt>
                <c:pt idx="150">
                  <c:v>1101.2755801508254</c:v>
                </c:pt>
                <c:pt idx="151">
                  <c:v>1105.6057959406037</c:v>
                </c:pt>
                <c:pt idx="152">
                  <c:v>1109.8203268930467</c:v>
                </c:pt>
                <c:pt idx="153">
                  <c:v>1113.9200149831147</c:v>
                </c:pt>
                <c:pt idx="154">
                  <c:v>1117.9056734807662</c:v>
                </c:pt>
                <c:pt idx="155">
                  <c:v>1121.778087722651</c:v>
                </c:pt>
                <c:pt idx="156">
                  <c:v>1125.538015852964</c:v>
                </c:pt>
                <c:pt idx="157">
                  <c:v>1129.1861895352679</c:v>
                </c:pt>
                <c:pt idx="158">
                  <c:v>1132.7233146370497</c:v>
                </c:pt>
                <c:pt idx="159">
                  <c:v>1136.1500718887457</c:v>
                </c:pt>
                <c:pt idx="160">
                  <c:v>1139.4671175189433</c:v>
                </c:pt>
                <c:pt idx="161">
                  <c:v>1142.675083867465</c:v>
                </c:pt>
                <c:pt idx="162">
                  <c:v>1145.7745799780389</c:v>
                </c:pt>
                <c:pt idx="163">
                  <c:v>1148.7661921722759</c:v>
                </c:pt>
                <c:pt idx="164">
                  <c:v>1151.6504846067069</c:v>
                </c:pt>
                <c:pt idx="165">
                  <c:v>1154.427999814674</c:v>
                </c:pt>
                <c:pt idx="166">
                  <c:v>1157.099259234931</c:v>
                </c:pt>
                <c:pt idx="167">
                  <c:v>1159.6647637288859</c:v>
                </c:pt>
                <c:pt idx="168">
                  <c:v>1162.1249940885091</c:v>
                </c:pt>
                <c:pt idx="169">
                  <c:v>1164.4804115370439</c:v>
                </c:pt>
                <c:pt idx="170">
                  <c:v>1166.7314582247839</c:v>
                </c:pt>
                <c:pt idx="171">
                  <c:v>1168.8785577223289</c:v>
                </c:pt>
                <c:pt idx="172">
                  <c:v>1170.9221155138948</c:v>
                </c:pt>
                <c:pt idx="173">
                  <c:v>1172.8625194934305</c:v>
                </c:pt>
                <c:pt idx="174">
                  <c:v>1174.7001404664852</c:v>
                </c:pt>
                <c:pt idx="175">
                  <c:v>1176.435332660968</c:v>
                </c:pt>
                <c:pt idx="176">
                  <c:v>1178.068434250132</c:v>
                </c:pt>
                <c:pt idx="177">
                  <c:v>1179.5997678913063</c:v>
                </c:pt>
                <c:pt idx="178">
                  <c:v>1181.0296412840548</c:v>
                </c:pt>
                <c:pt idx="179">
                  <c:v>1182.3583477515606</c:v>
                </c:pt>
                <c:pt idx="180">
                  <c:v>1183.5861668490923</c:v>
                </c:pt>
                <c:pt idx="181">
                  <c:v>1184.7133650033788</c:v>
                </c:pt>
                <c:pt idx="182">
                  <c:v>1185.7401961865703</c:v>
                </c:pt>
                <c:pt idx="183">
                  <c:v>1186.6669026281779</c:v>
                </c:pt>
                <c:pt idx="184">
                  <c:v>1187.4937155679215</c:v>
                </c:pt>
                <c:pt idx="185">
                  <c:v>1188.2208560517511</c:v>
                </c:pt>
                <c:pt idx="186">
                  <c:v>1188.8485357724333</c:v>
                </c:pt>
                <c:pt idx="187">
                  <c:v>1189.3769579549987</c:v>
                </c:pt>
                <c:pt idx="188">
                  <c:v>1189.806318286036</c:v>
                </c:pt>
                <c:pt idx="189">
                  <c:v>1190.1368058843445</c:v>
                </c:pt>
                <c:pt idx="190">
                  <c:v>1190.3686043088651</c:v>
                </c:pt>
                <c:pt idx="191">
                  <c:v>1190.5018925981813</c:v>
                </c:pt>
                <c:pt idx="192">
                  <c:v>1190.5368463343266</c:v>
                </c:pt>
                <c:pt idx="193">
                  <c:v>1190.4736387222511</c:v>
                </c:pt>
                <c:pt idx="194">
                  <c:v>1190.312441675205</c:v>
                </c:pt>
                <c:pt idx="195">
                  <c:v>1190.0534268955776</c:v>
                </c:pt>
                <c:pt idx="196">
                  <c:v>1189.6967669404496</c:v>
                </c:pt>
                <c:pt idx="197">
                  <c:v>1189.2426362613078</c:v>
                </c:pt>
                <c:pt idx="198">
                  <c:v>1188.6912122080053</c:v>
                </c:pt>
                <c:pt idx="199">
                  <c:v>1188.0426759880879</c:v>
                </c:pt>
                <c:pt idx="200">
                  <c:v>1187.2972135739467</c:v>
                </c:pt>
                <c:pt idx="201">
                  <c:v>1186.4550165517999</c:v>
                </c:pt>
                <c:pt idx="202">
                  <c:v>1185.5162829081405</c:v>
                </c:pt>
                <c:pt idx="203">
                  <c:v>1184.4812177509043</c:v>
                </c:pt>
                <c:pt idx="204">
                  <c:v>1183.350033964125</c:v>
                </c:pt>
                <c:pt idx="205">
                  <c:v>1182.1229527961902</c:v>
                </c:pt>
                <c:pt idx="206">
                  <c:v>1180.8002043829515</c:v>
                </c:pt>
                <c:pt idx="207">
                  <c:v>1179.3820282078477</c:v>
                </c:pt>
                <c:pt idx="208">
                  <c:v>1177.8686735018907</c:v>
                </c:pt>
                <c:pt idx="209">
                  <c:v>1176.2603995868394</c:v>
                </c:pt>
                <c:pt idx="210">
                  <c:v>1174.5574761651785</c:v>
                </c:pt>
                <c:pt idx="211">
                  <c:v>1172.7601835606608</c:v>
                </c:pt>
                <c:pt idx="212">
                  <c:v>1170.8688129131845</c:v>
                </c:pt>
                <c:pt idx="213">
                  <c:v>1168.8836663316988</c:v>
                </c:pt>
                <c:pt idx="214">
                  <c:v>1166.8050570086866</c:v>
                </c:pt>
                <c:pt idx="215">
                  <c:v>1164.6333092995758</c:v>
                </c:pt>
                <c:pt idx="216">
                  <c:v>1162.3687587702138</c:v>
                </c:pt>
                <c:pt idx="217">
                  <c:v>1160.0117522153046</c:v>
                </c:pt>
                <c:pt idx="218">
                  <c:v>1157.5626476504704</c:v>
                </c:pt>
                <c:pt idx="219">
                  <c:v>1155.0218142803715</c:v>
                </c:pt>
                <c:pt idx="220">
                  <c:v>1152.3896324450923</c:v>
                </c:pt>
                <c:pt idx="221">
                  <c:v>1149.6664935467991</c:v>
                </c:pt>
                <c:pt idx="222">
                  <c:v>1146.8527999584808</c:v>
                </c:pt>
                <c:pt idx="223">
                  <c:v>1143.9489649164091</c:v>
                </c:pt>
                <c:pt idx="224">
                  <c:v>1140.9554123977966</c:v>
                </c:pt>
                <c:pt idx="225">
                  <c:v>1137.8725769849893</c:v>
                </c:pt>
                <c:pt idx="226">
                  <c:v>1134.7009037174007</c:v>
                </c:pt>
                <c:pt idx="227">
                  <c:v>1131.4408479322826</c:v>
                </c:pt>
                <c:pt idx="228">
                  <c:v>1128.0928750953249</c:v>
                </c:pt>
                <c:pt idx="229">
                  <c:v>1124.6574606219904</c:v>
                </c:pt>
                <c:pt idx="230">
                  <c:v>1121.1350896904089</c:v>
                </c:pt>
                <c:pt idx="231">
                  <c:v>1117.5262570465852</c:v>
                </c:pt>
                <c:pt idx="232">
                  <c:v>1113.8314668026169</c:v>
                </c:pt>
                <c:pt idx="233">
                  <c:v>1110.0512322285595</c:v>
                </c:pt>
                <c:pt idx="234">
                  <c:v>1106.1860755385321</c:v>
                </c:pt>
                <c:pt idx="235">
                  <c:v>1102.2365276716125</c:v>
                </c:pt>
                <c:pt idx="236">
                  <c:v>1098.2031280680314</c:v>
                </c:pt>
                <c:pt idx="237">
                  <c:v>1094.0864244411462</c:v>
                </c:pt>
                <c:pt idx="238">
                  <c:v>1089.8869725456414</c:v>
                </c:pt>
                <c:pt idx="239">
                  <c:v>1085.6053359423775</c:v>
                </c:pt>
                <c:pt idx="240">
                  <c:v>1081.2420857602858</c:v>
                </c:pt>
                <c:pt idx="241">
                  <c:v>1076.7978004556867</c:v>
                </c:pt>
                <c:pt idx="242">
                  <c:v>1072.2730655693863</c:v>
                </c:pt>
                <c:pt idx="243">
                  <c:v>1067.6684734818934</c:v>
                </c:pt>
                <c:pt idx="244">
                  <c:v>1062.9846231670774</c:v>
                </c:pt>
                <c:pt idx="245">
                  <c:v>1058.2221199445773</c:v>
                </c:pt>
                <c:pt idx="246">
                  <c:v>1053.3815752312551</c:v>
                </c:pt>
                <c:pt idx="247">
                  <c:v>1048.4636062919762</c:v>
                </c:pt>
                <c:pt idx="248">
                  <c:v>1043.4688359899887</c:v>
                </c:pt>
                <c:pt idx="249">
                  <c:v>1038.3978925371553</c:v>
                </c:pt>
                <c:pt idx="250">
                  <c:v>1033.2514092442923</c:v>
                </c:pt>
                <c:pt idx="251">
                  <c:v>1028.0300242718508</c:v>
                </c:pt>
                <c:pt idx="252">
                  <c:v>1022.734380381169</c:v>
                </c:pt>
                <c:pt idx="253">
                  <c:v>1017.3651246865157</c:v>
                </c:pt>
                <c:pt idx="254">
                  <c:v>1011.9229084081372</c:v>
                </c:pt>
                <c:pt idx="255">
                  <c:v>1006.4083866265073</c:v>
                </c:pt>
                <c:pt idx="256">
                  <c:v>1000.8222180379773</c:v>
                </c:pt>
                <c:pt idx="257">
                  <c:v>995.16506471201035</c:v>
                </c:pt>
                <c:pt idx="258">
                  <c:v>989.43759185017893</c:v>
                </c:pt>
                <c:pt idx="259">
                  <c:v>983.64046754709648</c:v>
                </c:pt>
                <c:pt idx="260">
                  <c:v>977.77436255344571</c:v>
                </c:pt>
                <c:pt idx="261">
                  <c:v>971.83995004126007</c:v>
                </c:pt>
                <c:pt idx="262">
                  <c:v>965.83790537160655</c:v>
                </c:pt>
                <c:pt idx="263">
                  <c:v>959.76890586481136</c:v>
                </c:pt>
                <c:pt idx="264">
                  <c:v>953.63363057336358</c:v>
                </c:pt>
                <c:pt idx="265">
                  <c:v>947.43276005762357</c:v>
                </c:pt>
                <c:pt idx="266">
                  <c:v>941.16697616445788</c:v>
                </c:pt>
                <c:pt idx="267">
                  <c:v>934.83696180891479</c:v>
                </c:pt>
                <c:pt idx="268">
                  <c:v>928.44340075904779</c:v>
                </c:pt>
                <c:pt idx="269">
                  <c:v>921.98697742398906</c:v>
                </c:pt>
                <c:pt idx="270">
                  <c:v>915.46837664536702</c:v>
                </c:pt>
                <c:pt idx="271">
                  <c:v>908.8882834921576</c:v>
                </c:pt>
                <c:pt idx="272">
                  <c:v>902.24738305905123</c:v>
                </c:pt>
                <c:pt idx="273">
                  <c:v>895.54636026841217</c:v>
                </c:pt>
                <c:pt idx="274">
                  <c:v>888.78589967590131</c:v>
                </c:pt>
                <c:pt idx="275">
                  <c:v>881.96668527982638</c:v>
                </c:pt>
                <c:pt idx="276">
                  <c:v>875.08940033427973</c:v>
                </c:pt>
                <c:pt idx="277">
                  <c:v>868.15472716611669</c:v>
                </c:pt>
                <c:pt idx="278">
                  <c:v>861.16334699582274</c:v>
                </c:pt>
                <c:pt idx="279">
                  <c:v>854.11593976231234</c:v>
                </c:pt>
                <c:pt idx="280">
                  <c:v>847.01318395169699</c:v>
                </c:pt>
                <c:pt idx="281">
                  <c:v>839.85575643005473</c:v>
                </c:pt>
                <c:pt idx="282">
                  <c:v>832.64433228022926</c:v>
                </c:pt>
                <c:pt idx="283">
                  <c:v>825.37958464268092</c:v>
                </c:pt>
                <c:pt idx="284">
                  <c:v>818.06218456040733</c:v>
                </c:pt>
                <c:pt idx="285">
                  <c:v>810.69280082794796</c:v>
                </c:pt>
                <c:pt idx="286">
                  <c:v>803.27209984448075</c:v>
                </c:pt>
                <c:pt idx="287">
                  <c:v>795.80074547101628</c:v>
                </c:pt>
                <c:pt idx="288">
                  <c:v>788.27939889168965</c:v>
                </c:pt>
                <c:pt idx="289">
                  <c:v>780.70871847914668</c:v>
                </c:pt>
                <c:pt idx="290">
                  <c:v>773.08935966401737</c:v>
                </c:pt>
                <c:pt idx="291">
                  <c:v>765.42197480846573</c:v>
                </c:pt>
                <c:pt idx="292">
                  <c:v>757.70721308380087</c:v>
                </c:pt>
                <c:pt idx="293">
                  <c:v>749.94572035213184</c:v>
                </c:pt>
                <c:pt idx="294">
                  <c:v>742.13813905204449</c:v>
                </c:pt>
                <c:pt idx="295">
                  <c:v>734.28510808827616</c:v>
                </c:pt>
                <c:pt idx="296">
                  <c:v>726.38726272536087</c:v>
                </c:pt>
                <c:pt idx="297">
                  <c:v>718.44523448521329</c:v>
                </c:pt>
                <c:pt idx="298">
                  <c:v>710.45965104862046</c:v>
                </c:pt>
                <c:pt idx="299">
                  <c:v>702.43113616060327</c:v>
                </c:pt>
                <c:pt idx="300">
                  <c:v>694.36030953961119</c:v>
                </c:pt>
                <c:pt idx="301">
                  <c:v>686.24778679050814</c:v>
                </c:pt>
                <c:pt idx="302">
                  <c:v>678.09417932130782</c:v>
                </c:pt>
                <c:pt idx="303">
                  <c:v>669.90009426361337</c:v>
                </c:pt>
                <c:pt idx="304">
                  <c:v>661.66613439671357</c:v>
                </c:pt>
                <c:pt idx="305">
                  <c:v>653.39289807528792</c:v>
                </c:pt>
                <c:pt idx="306">
                  <c:v>645.08097916066959</c:v>
                </c:pt>
                <c:pt idx="307">
                  <c:v>636.73096695561435</c:v>
                </c:pt>
                <c:pt idx="308">
                  <c:v>628.34344614252234</c:v>
                </c:pt>
                <c:pt idx="309">
                  <c:v>619.91899672505679</c:v>
                </c:pt>
                <c:pt idx="310">
                  <c:v>611.4581939731047</c:v>
                </c:pt>
                <c:pt idx="311">
                  <c:v>602.96160837102173</c:v>
                </c:pt>
                <c:pt idx="312">
                  <c:v>594.429805569103</c:v>
                </c:pt>
                <c:pt idx="313">
                  <c:v>585.86334633822059</c:v>
                </c:pt>
                <c:pt idx="314">
                  <c:v>577.26278652756776</c:v>
                </c:pt>
                <c:pt idx="315">
                  <c:v>568.62867702544952</c:v>
                </c:pt>
                <c:pt idx="316">
                  <c:v>559.96156372305711</c:v>
                </c:pt>
                <c:pt idx="317">
                  <c:v>551.2619874811661</c:v>
                </c:pt>
                <c:pt idx="318">
                  <c:v>542.53048409969369</c:v>
                </c:pt>
                <c:pt idx="319">
                  <c:v>533.76758429005474</c:v>
                </c:pt>
                <c:pt idx="320">
                  <c:v>524.97381365025149</c:v>
                </c:pt>
                <c:pt idx="321">
                  <c:v>516.14969264263493</c:v>
                </c:pt>
                <c:pt idx="322">
                  <c:v>507.29573657427449</c:v>
                </c:pt>
                <c:pt idx="323">
                  <c:v>498.4124555798719</c:v>
                </c:pt>
                <c:pt idx="324">
                  <c:v>489.50035460715662</c:v>
                </c:pt>
                <c:pt idx="325">
                  <c:v>480.55993340469894</c:v>
                </c:pt>
                <c:pt idx="326">
                  <c:v>471.59168651207841</c:v>
                </c:pt>
                <c:pt idx="327">
                  <c:v>462.59610325234388</c:v>
                </c:pt>
                <c:pt idx="328">
                  <c:v>453.57366772670292</c:v>
                </c:pt>
                <c:pt idx="329">
                  <c:v>444.52485881137835</c:v>
                </c:pt>
                <c:pt idx="330">
                  <c:v>435.45015015656969</c:v>
                </c:pt>
                <c:pt idx="331">
                  <c:v>426.35001018745851</c:v>
                </c:pt>
                <c:pt idx="332">
                  <c:v>417.22490210719599</c:v>
                </c:pt>
                <c:pt idx="333">
                  <c:v>408.0752839018129</c:v>
                </c:pt>
                <c:pt idx="334">
                  <c:v>398.90160834699145</c:v>
                </c:pt>
                <c:pt idx="335">
                  <c:v>389.70432301664044</c:v>
                </c:pt>
                <c:pt idx="336">
                  <c:v>380.48387029321412</c:v>
                </c:pt>
                <c:pt idx="337">
                  <c:v>371.24068737971754</c:v>
                </c:pt>
                <c:pt idx="338">
                  <c:v>361.97520631334078</c:v>
                </c:pt>
                <c:pt idx="339">
                  <c:v>352.68785398066558</c:v>
                </c:pt>
                <c:pt idx="340">
                  <c:v>343.37905213438836</c:v>
                </c:pt>
                <c:pt idx="341">
                  <c:v>334.0492174115052</c:v>
                </c:pt>
                <c:pt idx="342">
                  <c:v>324.69876135290394</c:v>
                </c:pt>
                <c:pt idx="343">
                  <c:v>315.32809042431074</c:v>
                </c:pt>
                <c:pt idx="344">
                  <c:v>305.93760603853809</c:v>
                </c:pt>
                <c:pt idx="345">
                  <c:v>296.52770457898276</c:v>
                </c:pt>
                <c:pt idx="346">
                  <c:v>287.09877742432343</c:v>
                </c:pt>
                <c:pt idx="347">
                  <c:v>277.65121097436764</c:v>
                </c:pt>
                <c:pt idx="348">
                  <c:v>268.18538667699954</c:v>
                </c:pt>
                <c:pt idx="349">
                  <c:v>258.70168105618018</c:v>
                </c:pt>
                <c:pt idx="350">
                  <c:v>249.20046574095355</c:v>
                </c:pt>
                <c:pt idx="351">
                  <c:v>239.68210749541228</c:v>
                </c:pt>
                <c:pt idx="352">
                  <c:v>230.14696824957775</c:v>
                </c:pt>
                <c:pt idx="353">
                  <c:v>220.5954051311503</c:v>
                </c:pt>
                <c:pt idx="354">
                  <c:v>211.02777049808668</c:v>
                </c:pt>
                <c:pt idx="355">
                  <c:v>201.44441197196215</c:v>
                </c:pt>
                <c:pt idx="356">
                  <c:v>191.84567247207596</c:v>
                </c:pt>
                <c:pt idx="357">
                  <c:v>182.23189025025997</c:v>
                </c:pt>
                <c:pt idx="358">
                  <c:v>172.60339892635091</c:v>
                </c:pt>
                <c:pt idx="359">
                  <c:v>162.96052752428773</c:v>
                </c:pt>
                <c:pt idx="360">
                  <c:v>153.30360050879679</c:v>
                </c:pt>
                <c:pt idx="361">
                  <c:v>143.63293782262804</c:v>
                </c:pt>
                <c:pt idx="362">
                  <c:v>133.94885492430672</c:v>
                </c:pt>
                <c:pt idx="363">
                  <c:v>124.25166282636586</c:v>
                </c:pt>
                <c:pt idx="364">
                  <c:v>114.54166813402581</c:v>
                </c:pt>
                <c:pt idx="365">
                  <c:v>104.81917308428787</c:v>
                </c:pt>
                <c:pt idx="366">
                  <c:v>95.084475585410161</c:v>
                </c:pt>
                <c:pt idx="367">
                  <c:v>85.337869256734649</c:v>
                </c:pt>
                <c:pt idx="368">
                  <c:v>75.579643468835215</c:v>
                </c:pt>
                <c:pt idx="369">
                  <c:v>65.810083383957334</c:v>
                </c:pt>
                <c:pt idx="370">
                  <c:v>56.029469996721147</c:v>
                </c:pt>
                <c:pt idx="371">
                  <c:v>46.238080175060276</c:v>
                </c:pt>
                <c:pt idx="372">
                  <c:v>36.436186701369621</c:v>
                </c:pt>
                <c:pt idx="373">
                  <c:v>26.624058313836372</c:v>
                </c:pt>
                <c:pt idx="374">
                  <c:v>16.801959747929089</c:v>
                </c:pt>
                <c:pt idx="375">
                  <c:v>6.9701517780206697</c:v>
                </c:pt>
                <c:pt idx="376">
                  <c:v>-2.8711087408783076</c:v>
                </c:pt>
                <c:pt idx="377">
                  <c:v>-2.8809546684822815</c:v>
                </c:pt>
                <c:pt idx="378">
                  <c:v>-2.8908006051601789</c:v>
                </c:pt>
                <c:pt idx="379">
                  <c:v>-2.9006465509117527</c:v>
                </c:pt>
                <c:pt idx="380">
                  <c:v>-2.9104925057367566</c:v>
                </c:pt>
                <c:pt idx="381">
                  <c:v>-2.920338469634943</c:v>
                </c:pt>
                <c:pt idx="382">
                  <c:v>-2.9301844426060657</c:v>
                </c:pt>
                <c:pt idx="383">
                  <c:v>-2.9400304246498772</c:v>
                </c:pt>
                <c:pt idx="384">
                  <c:v>-2.949876415766131</c:v>
                </c:pt>
                <c:pt idx="385">
                  <c:v>-2.9597224159545799</c:v>
                </c:pt>
                <c:pt idx="386">
                  <c:v>-2.9695684252149772</c:v>
                </c:pt>
                <c:pt idx="387">
                  <c:v>-2.9794144435470762</c:v>
                </c:pt>
                <c:pt idx="388">
                  <c:v>-2.9892604709506299</c:v>
                </c:pt>
                <c:pt idx="389">
                  <c:v>-2.9991065074253913</c:v>
                </c:pt>
                <c:pt idx="390">
                  <c:v>-3.0089525529711136</c:v>
                </c:pt>
                <c:pt idx="391">
                  <c:v>-3.0187986075875504</c:v>
                </c:pt>
                <c:pt idx="392">
                  <c:v>-3.0286446712744541</c:v>
                </c:pt>
                <c:pt idx="393">
                  <c:v>-3.0384907440315785</c:v>
                </c:pt>
                <c:pt idx="394">
                  <c:v>-3.0483368258586765</c:v>
                </c:pt>
                <c:pt idx="395">
                  <c:v>-3.0581829167555012</c:v>
                </c:pt>
                <c:pt idx="396">
                  <c:v>-3.0680290167218058</c:v>
                </c:pt>
                <c:pt idx="397">
                  <c:v>-3.0778751257573433</c:v>
                </c:pt>
                <c:pt idx="398">
                  <c:v>-3.0877212438618673</c:v>
                </c:pt>
                <c:pt idx="399">
                  <c:v>-3.0975673710351304</c:v>
                </c:pt>
                <c:pt idx="400">
                  <c:v>-3.107413507276886</c:v>
                </c:pt>
                <c:pt idx="401">
                  <c:v>-3.1172596525868879</c:v>
                </c:pt>
                <c:pt idx="402">
                  <c:v>-3.1271058069648885</c:v>
                </c:pt>
                <c:pt idx="403">
                  <c:v>-3.1369519704106414</c:v>
                </c:pt>
                <c:pt idx="404">
                  <c:v>-3.1467981429238998</c:v>
                </c:pt>
                <c:pt idx="405">
                  <c:v>-3.1566443245044167</c:v>
                </c:pt>
                <c:pt idx="406">
                  <c:v>-3.1664905151519451</c:v>
                </c:pt>
                <c:pt idx="407">
                  <c:v>-3.1763367148662387</c:v>
                </c:pt>
                <c:pt idx="408">
                  <c:v>-3.1861829236470505</c:v>
                </c:pt>
                <c:pt idx="409">
                  <c:v>-3.1960291414941335</c:v>
                </c:pt>
                <c:pt idx="410">
                  <c:v>-3.2058753684072414</c:v>
                </c:pt>
                <c:pt idx="411">
                  <c:v>-3.2157216043861272</c:v>
                </c:pt>
                <c:pt idx="412">
                  <c:v>-3.225567849430544</c:v>
                </c:pt>
                <c:pt idx="413">
                  <c:v>-3.2354141035402453</c:v>
                </c:pt>
                <c:pt idx="414">
                  <c:v>-3.2452603667149842</c:v>
                </c:pt>
                <c:pt idx="415">
                  <c:v>-3.2551066389545138</c:v>
                </c:pt>
                <c:pt idx="416">
                  <c:v>-3.2649529202585872</c:v>
                </c:pt>
                <c:pt idx="417">
                  <c:v>-3.2747992106269579</c:v>
                </c:pt>
                <c:pt idx="418">
                  <c:v>-3.2846455100593794</c:v>
                </c:pt>
                <c:pt idx="419">
                  <c:v>-3.2944918185556045</c:v>
                </c:pt>
                <c:pt idx="420">
                  <c:v>-3.3043381361153865</c:v>
                </c:pt>
                <c:pt idx="421">
                  <c:v>-3.3141844627384791</c:v>
                </c:pt>
                <c:pt idx="422">
                  <c:v>-3.3240307984246353</c:v>
                </c:pt>
                <c:pt idx="423">
                  <c:v>-3.3338771431736083</c:v>
                </c:pt>
                <c:pt idx="424">
                  <c:v>-3.3437234969851515</c:v>
                </c:pt>
                <c:pt idx="425">
                  <c:v>-3.353569859859018</c:v>
                </c:pt>
                <c:pt idx="426">
                  <c:v>-3.363416231794961</c:v>
                </c:pt>
                <c:pt idx="427">
                  <c:v>-3.3732626127927339</c:v>
                </c:pt>
                <c:pt idx="428">
                  <c:v>-3.3831090028520903</c:v>
                </c:pt>
                <c:pt idx="429">
                  <c:v>-3.3929554019727828</c:v>
                </c:pt>
                <c:pt idx="430">
                  <c:v>-3.4028018101545654</c:v>
                </c:pt>
                <c:pt idx="431">
                  <c:v>-3.4126482273971912</c:v>
                </c:pt>
                <c:pt idx="432">
                  <c:v>-3.4224946537004133</c:v>
                </c:pt>
                <c:pt idx="433">
                  <c:v>-3.4323410890639852</c:v>
                </c:pt>
                <c:pt idx="434">
                  <c:v>-3.4421875334876599</c:v>
                </c:pt>
                <c:pt idx="435">
                  <c:v>-3.4520339869711911</c:v>
                </c:pt>
                <c:pt idx="436">
                  <c:v>-3.4618804495143318</c:v>
                </c:pt>
                <c:pt idx="437">
                  <c:v>-3.4717269211168356</c:v>
                </c:pt>
                <c:pt idx="438">
                  <c:v>-3.4815734017784554</c:v>
                </c:pt>
                <c:pt idx="439">
                  <c:v>-3.4914198914989449</c:v>
                </c:pt>
                <c:pt idx="440">
                  <c:v>-3.5012663902780576</c:v>
                </c:pt>
                <c:pt idx="441">
                  <c:v>-3.5111128981155466</c:v>
                </c:pt>
                <c:pt idx="442">
                  <c:v>-3.5209594150111654</c:v>
                </c:pt>
                <c:pt idx="443">
                  <c:v>-3.530805940964667</c:v>
                </c:pt>
                <c:pt idx="444">
                  <c:v>-3.5406524759758051</c:v>
                </c:pt>
                <c:pt idx="445">
                  <c:v>-3.5504990200443327</c:v>
                </c:pt>
                <c:pt idx="446">
                  <c:v>-3.5603455731700033</c:v>
                </c:pt>
                <c:pt idx="447">
                  <c:v>-3.5701921353525701</c:v>
                </c:pt>
                <c:pt idx="448">
                  <c:v>-3.5800387065917869</c:v>
                </c:pt>
                <c:pt idx="449">
                  <c:v>-3.5898852868874069</c:v>
                </c:pt>
                <c:pt idx="450">
                  <c:v>-3.5997318762391832</c:v>
                </c:pt>
                <c:pt idx="451">
                  <c:v>-3.6095784746468693</c:v>
                </c:pt>
                <c:pt idx="452">
                  <c:v>-3.6194250821102187</c:v>
                </c:pt>
                <c:pt idx="453">
                  <c:v>-3.6292716986289846</c:v>
                </c:pt>
                <c:pt idx="454">
                  <c:v>-3.6391183242029204</c:v>
                </c:pt>
                <c:pt idx="455">
                  <c:v>-3.6489649588317796</c:v>
                </c:pt>
                <c:pt idx="456">
                  <c:v>-3.6588116025153159</c:v>
                </c:pt>
                <c:pt idx="457">
                  <c:v>-3.6686582552532823</c:v>
                </c:pt>
                <c:pt idx="458">
                  <c:v>-3.6785049170454323</c:v>
                </c:pt>
                <c:pt idx="459">
                  <c:v>-3.688351587891519</c:v>
                </c:pt>
                <c:pt idx="460">
                  <c:v>-3.6981982677912963</c:v>
                </c:pt>
                <c:pt idx="461">
                  <c:v>-3.7080449567445175</c:v>
                </c:pt>
                <c:pt idx="462">
                  <c:v>-3.7178916547509355</c:v>
                </c:pt>
                <c:pt idx="463">
                  <c:v>-3.7277383618103044</c:v>
                </c:pt>
                <c:pt idx="464">
                  <c:v>-3.7375850779223772</c:v>
                </c:pt>
                <c:pt idx="465">
                  <c:v>-3.7474318030869074</c:v>
                </c:pt>
                <c:pt idx="466">
                  <c:v>-3.7572785373036486</c:v>
                </c:pt>
                <c:pt idx="467">
                  <c:v>-3.7671252805723543</c:v>
                </c:pt>
                <c:pt idx="468">
                  <c:v>-3.7769720328927776</c:v>
                </c:pt>
                <c:pt idx="469">
                  <c:v>-3.7868187942646721</c:v>
                </c:pt>
                <c:pt idx="470">
                  <c:v>-3.7966655646877912</c:v>
                </c:pt>
                <c:pt idx="471">
                  <c:v>-3.8065123441618884</c:v>
                </c:pt>
                <c:pt idx="472">
                  <c:v>-3.8163591326867174</c:v>
                </c:pt>
                <c:pt idx="473">
                  <c:v>-3.8262059302620313</c:v>
                </c:pt>
                <c:pt idx="474">
                  <c:v>-3.8360527368875834</c:v>
                </c:pt>
                <c:pt idx="475">
                  <c:v>-3.8458995525631274</c:v>
                </c:pt>
                <c:pt idx="476">
                  <c:v>-3.8557463772884168</c:v>
                </c:pt>
                <c:pt idx="477">
                  <c:v>-3.8655932110632052</c:v>
                </c:pt>
                <c:pt idx="478">
                  <c:v>-3.875440053887246</c:v>
                </c:pt>
                <c:pt idx="479">
                  <c:v>-3.8852869057602928</c:v>
                </c:pt>
                <c:pt idx="480">
                  <c:v>-3.8951337666820987</c:v>
                </c:pt>
                <c:pt idx="481">
                  <c:v>-3.9049806366524171</c:v>
                </c:pt>
                <c:pt idx="482">
                  <c:v>-3.9148275156710022</c:v>
                </c:pt>
                <c:pt idx="483">
                  <c:v>-3.9246744037376069</c:v>
                </c:pt>
                <c:pt idx="484">
                  <c:v>-3.9345213008519848</c:v>
                </c:pt>
                <c:pt idx="485">
                  <c:v>-3.9443682070138895</c:v>
                </c:pt>
                <c:pt idx="486">
                  <c:v>-3.9542151222230744</c:v>
                </c:pt>
                <c:pt idx="487">
                  <c:v>-3.9640620464792931</c:v>
                </c:pt>
                <c:pt idx="488">
                  <c:v>-3.9739089797822991</c:v>
                </c:pt>
                <c:pt idx="489">
                  <c:v>-3.9837559221318459</c:v>
                </c:pt>
                <c:pt idx="490">
                  <c:v>-3.9936028735276872</c:v>
                </c:pt>
                <c:pt idx="491">
                  <c:v>-4.0034498339695759</c:v>
                </c:pt>
                <c:pt idx="492">
                  <c:v>-4.0132968034572665</c:v>
                </c:pt>
                <c:pt idx="493">
                  <c:v>-4.0231437819905116</c:v>
                </c:pt>
                <c:pt idx="494">
                  <c:v>-4.0329907695690652</c:v>
                </c:pt>
                <c:pt idx="495">
                  <c:v>-4.0428377661926804</c:v>
                </c:pt>
                <c:pt idx="496">
                  <c:v>-4.0526847718611112</c:v>
                </c:pt>
                <c:pt idx="497">
                  <c:v>-4.0625317865741115</c:v>
                </c:pt>
                <c:pt idx="498">
                  <c:v>-4.0723788103314345</c:v>
                </c:pt>
                <c:pt idx="499">
                  <c:v>-4.0822258431328331</c:v>
                </c:pt>
                <c:pt idx="500">
                  <c:v>-4.0920728849780614</c:v>
                </c:pt>
                <c:pt idx="501">
                  <c:v>-4.1019199358668734</c:v>
                </c:pt>
                <c:pt idx="502">
                  <c:v>-4.1117669957990222</c:v>
                </c:pt>
                <c:pt idx="503">
                  <c:v>-4.1216140647742616</c:v>
                </c:pt>
                <c:pt idx="504">
                  <c:v>-4.1314611427923449</c:v>
                </c:pt>
                <c:pt idx="505">
                  <c:v>-4.1413082298530259</c:v>
                </c:pt>
                <c:pt idx="506">
                  <c:v>-4.1511553259560579</c:v>
                </c:pt>
                <c:pt idx="507">
                  <c:v>-4.1610024311011946</c:v>
                </c:pt>
                <c:pt idx="508">
                  <c:v>-4.1708495452881893</c:v>
                </c:pt>
                <c:pt idx="509">
                  <c:v>-4.1806966685167959</c:v>
                </c:pt>
                <c:pt idx="510">
                  <c:v>-4.1905438007867684</c:v>
                </c:pt>
                <c:pt idx="511">
                  <c:v>-4.2003909420978598</c:v>
                </c:pt>
                <c:pt idx="512">
                  <c:v>-4.2102380924498233</c:v>
                </c:pt>
                <c:pt idx="513">
                  <c:v>-4.2200852518424137</c:v>
                </c:pt>
                <c:pt idx="514">
                  <c:v>-4.2299324202753841</c:v>
                </c:pt>
                <c:pt idx="515">
                  <c:v>-4.2397795977484876</c:v>
                </c:pt>
                <c:pt idx="516">
                  <c:v>-4.2496267842614781</c:v>
                </c:pt>
                <c:pt idx="517">
                  <c:v>-4.2594739798141097</c:v>
                </c:pt>
                <c:pt idx="518">
                  <c:v>-4.2693211844061354</c:v>
                </c:pt>
                <c:pt idx="519">
                  <c:v>-4.2791683980373092</c:v>
                </c:pt>
                <c:pt idx="520">
                  <c:v>-4.2890156207073842</c:v>
                </c:pt>
                <c:pt idx="521">
                  <c:v>-4.2988628524161152</c:v>
                </c:pt>
                <c:pt idx="522">
                  <c:v>-4.3087100931632545</c:v>
                </c:pt>
                <c:pt idx="523">
                  <c:v>-4.3185573429485569</c:v>
                </c:pt>
                <c:pt idx="524">
                  <c:v>-4.3284046017717754</c:v>
                </c:pt>
                <c:pt idx="525">
                  <c:v>-4.3382518696326633</c:v>
                </c:pt>
                <c:pt idx="526">
                  <c:v>-4.3480991465309753</c:v>
                </c:pt>
                <c:pt idx="527">
                  <c:v>-4.3579464324664636</c:v>
                </c:pt>
                <c:pt idx="528">
                  <c:v>-4.3677937274388832</c:v>
                </c:pt>
                <c:pt idx="529">
                  <c:v>-4.377641031447987</c:v>
                </c:pt>
                <c:pt idx="530">
                  <c:v>-4.3874883444935291</c:v>
                </c:pt>
                <c:pt idx="531">
                  <c:v>-4.3973356665752634</c:v>
                </c:pt>
                <c:pt idx="532">
                  <c:v>-4.4071829976929431</c:v>
                </c:pt>
                <c:pt idx="533">
                  <c:v>-4.417030337846322</c:v>
                </c:pt>
                <c:pt idx="534">
                  <c:v>-4.4268776870351534</c:v>
                </c:pt>
                <c:pt idx="535">
                  <c:v>-4.4367250452591911</c:v>
                </c:pt>
                <c:pt idx="536">
                  <c:v>-4.4465724125181891</c:v>
                </c:pt>
                <c:pt idx="537">
                  <c:v>-4.4564197888119015</c:v>
                </c:pt>
                <c:pt idx="538">
                  <c:v>-4.4662671741400812</c:v>
                </c:pt>
                <c:pt idx="539">
                  <c:v>-4.4761145685024823</c:v>
                </c:pt>
                <c:pt idx="540">
                  <c:v>-4.4859619718988588</c:v>
                </c:pt>
                <c:pt idx="541">
                  <c:v>-4.4958093843289637</c:v>
                </c:pt>
                <c:pt idx="542">
                  <c:v>-4.505656805792551</c:v>
                </c:pt>
                <c:pt idx="543">
                  <c:v>-4.5155042362893747</c:v>
                </c:pt>
                <c:pt idx="544">
                  <c:v>-4.5253516758191878</c:v>
                </c:pt>
                <c:pt idx="545">
                  <c:v>-4.5351991243817453</c:v>
                </c:pt>
                <c:pt idx="546">
                  <c:v>-4.5450465819767993</c:v>
                </c:pt>
                <c:pt idx="547">
                  <c:v>-4.5548940486041047</c:v>
                </c:pt>
                <c:pt idx="548">
                  <c:v>-4.5647415242634155</c:v>
                </c:pt>
                <c:pt idx="549">
                  <c:v>-4.5745890089544847</c:v>
                </c:pt>
                <c:pt idx="550">
                  <c:v>-4.5844365026770655</c:v>
                </c:pt>
                <c:pt idx="551">
                  <c:v>-4.5942840054309126</c:v>
                </c:pt>
                <c:pt idx="552">
                  <c:v>-4.6041315172157793</c:v>
                </c:pt>
                <c:pt idx="553">
                  <c:v>-4.6139790380314203</c:v>
                </c:pt>
                <c:pt idx="554">
                  <c:v>-4.6238265678775878</c:v>
                </c:pt>
                <c:pt idx="555">
                  <c:v>-4.6336741067540368</c:v>
                </c:pt>
                <c:pt idx="556">
                  <c:v>-4.6435216546605202</c:v>
                </c:pt>
                <c:pt idx="557">
                  <c:v>-4.6533692115967931</c:v>
                </c:pt>
                <c:pt idx="558">
                  <c:v>-4.6632167775626074</c:v>
                </c:pt>
                <c:pt idx="559">
                  <c:v>-4.6730643525577182</c:v>
                </c:pt>
                <c:pt idx="560">
                  <c:v>-4.6829119365818794</c:v>
                </c:pt>
                <c:pt idx="561">
                  <c:v>-4.6927595296348441</c:v>
                </c:pt>
                <c:pt idx="562">
                  <c:v>-4.7026071317163662</c:v>
                </c:pt>
                <c:pt idx="563">
                  <c:v>-4.7124547428261998</c:v>
                </c:pt>
                <c:pt idx="564">
                  <c:v>-4.7223023629640988</c:v>
                </c:pt>
                <c:pt idx="565">
                  <c:v>-4.7321499921298162</c:v>
                </c:pt>
                <c:pt idx="566">
                  <c:v>-4.7419976303231062</c:v>
                </c:pt>
                <c:pt idx="567">
                  <c:v>-4.7518452775437225</c:v>
                </c:pt>
                <c:pt idx="568">
                  <c:v>-4.7616929337914193</c:v>
                </c:pt>
                <c:pt idx="569">
                  <c:v>-4.7715405990659505</c:v>
                </c:pt>
                <c:pt idx="570">
                  <c:v>-4.7813882733670692</c:v>
                </c:pt>
                <c:pt idx="571">
                  <c:v>-4.7912359566945302</c:v>
                </c:pt>
                <c:pt idx="572">
                  <c:v>-4.8010836490480866</c:v>
                </c:pt>
                <c:pt idx="573">
                  <c:v>-4.8109313504274924</c:v>
                </c:pt>
                <c:pt idx="574">
                  <c:v>-4.8207790608325016</c:v>
                </c:pt>
                <c:pt idx="575">
                  <c:v>-4.8306267802628682</c:v>
                </c:pt>
                <c:pt idx="576">
                  <c:v>-4.8404745087183452</c:v>
                </c:pt>
                <c:pt idx="577">
                  <c:v>-4.8503222461986875</c:v>
                </c:pt>
                <c:pt idx="578">
                  <c:v>-4.8601699927036481</c:v>
                </c:pt>
                <c:pt idx="579">
                  <c:v>-4.8700177482329812</c:v>
                </c:pt>
                <c:pt idx="580">
                  <c:v>-4.8798655127864405</c:v>
                </c:pt>
                <c:pt idx="581">
                  <c:v>-4.8897132863637802</c:v>
                </c:pt>
                <c:pt idx="582">
                  <c:v>-4.8995610689647542</c:v>
                </c:pt>
                <c:pt idx="583">
                  <c:v>-4.9094088605891155</c:v>
                </c:pt>
                <c:pt idx="584">
                  <c:v>-4.9192566612366191</c:v>
                </c:pt>
                <c:pt idx="585">
                  <c:v>-4.929104470907018</c:v>
                </c:pt>
                <c:pt idx="586">
                  <c:v>-4.938952289600067</c:v>
                </c:pt>
                <c:pt idx="587">
                  <c:v>-4.9488001173155194</c:v>
                </c:pt>
                <c:pt idx="588">
                  <c:v>-4.958647954053129</c:v>
                </c:pt>
                <c:pt idx="589">
                  <c:v>-4.9684957998126498</c:v>
                </c:pt>
                <c:pt idx="590">
                  <c:v>-4.9783436545938358</c:v>
                </c:pt>
                <c:pt idx="591">
                  <c:v>-4.9881915183964409</c:v>
                </c:pt>
                <c:pt idx="592">
                  <c:v>-4.9980393912202183</c:v>
                </c:pt>
                <c:pt idx="593">
                  <c:v>-5.0078872730649229</c:v>
                </c:pt>
                <c:pt idx="594">
                  <c:v>-5.0177351639303085</c:v>
                </c:pt>
                <c:pt idx="595">
                  <c:v>-5.0275830638161283</c:v>
                </c:pt>
                <c:pt idx="596">
                  <c:v>-5.0374309727221371</c:v>
                </c:pt>
                <c:pt idx="597">
                  <c:v>-5.0472788906480881</c:v>
                </c:pt>
                <c:pt idx="598">
                  <c:v>-5.0571268175937352</c:v>
                </c:pt>
                <c:pt idx="599">
                  <c:v>-5.0669747535588332</c:v>
                </c:pt>
                <c:pt idx="600">
                  <c:v>-5.0768226985431353</c:v>
                </c:pt>
                <c:pt idx="601">
                  <c:v>-5.0866706525463954</c:v>
                </c:pt>
                <c:pt idx="602">
                  <c:v>-5.0965186155683675</c:v>
                </c:pt>
                <c:pt idx="603">
                  <c:v>-5.1063665876088056</c:v>
                </c:pt>
                <c:pt idx="604">
                  <c:v>-5.1162145686674636</c:v>
                </c:pt>
                <c:pt idx="605">
                  <c:v>-5.1260625587440956</c:v>
                </c:pt>
                <c:pt idx="606">
                  <c:v>-5.1359105578384554</c:v>
                </c:pt>
                <c:pt idx="607">
                  <c:v>-5.1457585659502971</c:v>
                </c:pt>
                <c:pt idx="608">
                  <c:v>-5.1556065830793747</c:v>
                </c:pt>
                <c:pt idx="609">
                  <c:v>-5.1654546092254421</c:v>
                </c:pt>
                <c:pt idx="610">
                  <c:v>-5.1753026443882533</c:v>
                </c:pt>
                <c:pt idx="611">
                  <c:v>-5.1851506885675622</c:v>
                </c:pt>
                <c:pt idx="612">
                  <c:v>-5.1949987417631229</c:v>
                </c:pt>
                <c:pt idx="613">
                  <c:v>-5.2048468039746894</c:v>
                </c:pt>
                <c:pt idx="614">
                  <c:v>-5.2146948752020155</c:v>
                </c:pt>
                <c:pt idx="615">
                  <c:v>-5.2245429554448553</c:v>
                </c:pt>
                <c:pt idx="616">
                  <c:v>-5.2343910447029627</c:v>
                </c:pt>
                <c:pt idx="617">
                  <c:v>-5.2442391429760917</c:v>
                </c:pt>
                <c:pt idx="618">
                  <c:v>-5.2540872502639964</c:v>
                </c:pt>
                <c:pt idx="619">
                  <c:v>-5.2639353665664306</c:v>
                </c:pt>
                <c:pt idx="620">
                  <c:v>-5.2737834918831483</c:v>
                </c:pt>
                <c:pt idx="621">
                  <c:v>-5.2836316262139045</c:v>
                </c:pt>
                <c:pt idx="622">
                  <c:v>-5.2934797695584521</c:v>
                </c:pt>
                <c:pt idx="623">
                  <c:v>-5.3033279219165452</c:v>
                </c:pt>
                <c:pt idx="624">
                  <c:v>-5.3131760832879378</c:v>
                </c:pt>
                <c:pt idx="625">
                  <c:v>-5.3230242536723846</c:v>
                </c:pt>
                <c:pt idx="626">
                  <c:v>-5.3328724330696389</c:v>
                </c:pt>
                <c:pt idx="627">
                  <c:v>-5.3427206214794554</c:v>
                </c:pt>
                <c:pt idx="628">
                  <c:v>-5.3525688189015872</c:v>
                </c:pt>
                <c:pt idx="629">
                  <c:v>-5.3624170253357892</c:v>
                </c:pt>
                <c:pt idx="630">
                  <c:v>-5.3722652407818146</c:v>
                </c:pt>
                <c:pt idx="631">
                  <c:v>-5.382113465239418</c:v>
                </c:pt>
                <c:pt idx="632">
                  <c:v>-5.3919616987083536</c:v>
                </c:pt>
                <c:pt idx="633">
                  <c:v>-5.4018099411883753</c:v>
                </c:pt>
                <c:pt idx="634">
                  <c:v>-5.4116581926792371</c:v>
                </c:pt>
                <c:pt idx="635">
                  <c:v>-5.4215064531806929</c:v>
                </c:pt>
                <c:pt idx="636">
                  <c:v>-5.4313547226924968</c:v>
                </c:pt>
                <c:pt idx="637">
                  <c:v>-5.4412030012144035</c:v>
                </c:pt>
                <c:pt idx="638">
                  <c:v>-5.4510512887461662</c:v>
                </c:pt>
                <c:pt idx="639">
                  <c:v>-5.4608995852875397</c:v>
                </c:pt>
                <c:pt idx="640">
                  <c:v>-5.4707478908382781</c:v>
                </c:pt>
                <c:pt idx="641">
                  <c:v>-5.4805962053981343</c:v>
                </c:pt>
                <c:pt idx="642">
                  <c:v>-5.4904445289668633</c:v>
                </c:pt>
                <c:pt idx="643">
                  <c:v>-5.500292861544219</c:v>
                </c:pt>
                <c:pt idx="644">
                  <c:v>-5.5101412031299564</c:v>
                </c:pt>
                <c:pt idx="645">
                  <c:v>-5.5199895537238284</c:v>
                </c:pt>
                <c:pt idx="646">
                  <c:v>-5.529837913325589</c:v>
                </c:pt>
                <c:pt idx="647">
                  <c:v>-5.5396862819349932</c:v>
                </c:pt>
                <c:pt idx="648">
                  <c:v>-5.5495346595517949</c:v>
                </c:pt>
                <c:pt idx="649">
                  <c:v>-5.5593830461757481</c:v>
                </c:pt>
                <c:pt idx="650">
                  <c:v>-5.5692314418066067</c:v>
                </c:pt>
                <c:pt idx="651">
                  <c:v>-5.5790798464441247</c:v>
                </c:pt>
                <c:pt idx="652">
                  <c:v>-5.588928260088057</c:v>
                </c:pt>
                <c:pt idx="653">
                  <c:v>-5.5987766827381567</c:v>
                </c:pt>
                <c:pt idx="654">
                  <c:v>-5.6086251143941785</c:v>
                </c:pt>
                <c:pt idx="655">
                  <c:v>-5.6184735550558766</c:v>
                </c:pt>
                <c:pt idx="656">
                  <c:v>-5.6283220047230049</c:v>
                </c:pt>
                <c:pt idx="657">
                  <c:v>-5.6381704633953182</c:v>
                </c:pt>
                <c:pt idx="658">
                  <c:v>-5.6480189310725697</c:v>
                </c:pt>
                <c:pt idx="659">
                  <c:v>-5.6578674077545141</c:v>
                </c:pt>
                <c:pt idx="660">
                  <c:v>-5.6677158934409055</c:v>
                </c:pt>
                <c:pt idx="661">
                  <c:v>-5.6775643881314979</c:v>
                </c:pt>
                <c:pt idx="662">
                  <c:v>-5.687412891826046</c:v>
                </c:pt>
                <c:pt idx="663">
                  <c:v>-5.6972614045243031</c:v>
                </c:pt>
                <c:pt idx="664">
                  <c:v>-5.7071099262260239</c:v>
                </c:pt>
                <c:pt idx="665">
                  <c:v>-5.7169584569309624</c:v>
                </c:pt>
                <c:pt idx="666">
                  <c:v>-5.7268069966388726</c:v>
                </c:pt>
                <c:pt idx="667">
                  <c:v>-5.7366555453495094</c:v>
                </c:pt>
                <c:pt idx="668">
                  <c:v>-5.7465041030626267</c:v>
                </c:pt>
                <c:pt idx="669">
                  <c:v>-5.7563526697779785</c:v>
                </c:pt>
                <c:pt idx="670">
                  <c:v>-5.7662012454953189</c:v>
                </c:pt>
                <c:pt idx="671">
                  <c:v>-5.7760498302144017</c:v>
                </c:pt>
                <c:pt idx="672">
                  <c:v>-5.7858984239349818</c:v>
                </c:pt>
                <c:pt idx="673">
                  <c:v>-5.7957470266568132</c:v>
                </c:pt>
                <c:pt idx="674">
                  <c:v>-5.8055956383796499</c:v>
                </c:pt>
                <c:pt idx="675">
                  <c:v>-5.8154442591032467</c:v>
                </c:pt>
                <c:pt idx="676">
                  <c:v>-5.8252928888273567</c:v>
                </c:pt>
                <c:pt idx="677">
                  <c:v>-5.8351415275517358</c:v>
                </c:pt>
                <c:pt idx="678">
                  <c:v>-5.8449901752761368</c:v>
                </c:pt>
                <c:pt idx="679">
                  <c:v>-5.854838832000314</c:v>
                </c:pt>
                <c:pt idx="680">
                  <c:v>-5.864687497724022</c:v>
                </c:pt>
                <c:pt idx="681">
                  <c:v>-5.8745361724470158</c:v>
                </c:pt>
                <c:pt idx="682">
                  <c:v>-5.8843848561690484</c:v>
                </c:pt>
                <c:pt idx="683">
                  <c:v>-5.8942335488898747</c:v>
                </c:pt>
                <c:pt idx="684">
                  <c:v>-5.9040822506092487</c:v>
                </c:pt>
                <c:pt idx="685">
                  <c:v>-5.9139309613269244</c:v>
                </c:pt>
                <c:pt idx="686">
                  <c:v>-5.9237796810426566</c:v>
                </c:pt>
                <c:pt idx="687">
                  <c:v>-5.9336284097561993</c:v>
                </c:pt>
                <c:pt idx="688">
                  <c:v>-5.9434771474673074</c:v>
                </c:pt>
                <c:pt idx="689">
                  <c:v>-5.9533258941757339</c:v>
                </c:pt>
                <c:pt idx="690">
                  <c:v>-5.9631746498812337</c:v>
                </c:pt>
                <c:pt idx="691">
                  <c:v>-5.9730234145835617</c:v>
                </c:pt>
                <c:pt idx="692">
                  <c:v>-5.9828721882824709</c:v>
                </c:pt>
                <c:pt idx="693">
                  <c:v>-5.9927209709777163</c:v>
                </c:pt>
                <c:pt idx="694">
                  <c:v>-6.0025697626690526</c:v>
                </c:pt>
                <c:pt idx="695">
                  <c:v>-6.012418563356233</c:v>
                </c:pt>
                <c:pt idx="696">
                  <c:v>-6.0222673730390124</c:v>
                </c:pt>
                <c:pt idx="697">
                  <c:v>-6.0321161917171455</c:v>
                </c:pt>
                <c:pt idx="698">
                  <c:v>-6.0419650193903864</c:v>
                </c:pt>
                <c:pt idx="699">
                  <c:v>-6.0518138560584891</c:v>
                </c:pt>
                <c:pt idx="700">
                  <c:v>-6.0616627017212075</c:v>
                </c:pt>
                <c:pt idx="701">
                  <c:v>-6.0715115563782964</c:v>
                </c:pt>
                <c:pt idx="702">
                  <c:v>-6.0813604200295108</c:v>
                </c:pt>
                <c:pt idx="703">
                  <c:v>-6.0912092926746038</c:v>
                </c:pt>
                <c:pt idx="704">
                  <c:v>-6.1010581743133301</c:v>
                </c:pt>
                <c:pt idx="705">
                  <c:v>-6.1109070649454447</c:v>
                </c:pt>
                <c:pt idx="706">
                  <c:v>-6.1207559645707015</c:v>
                </c:pt>
                <c:pt idx="707">
                  <c:v>-6.1306048731888545</c:v>
                </c:pt>
                <c:pt idx="708">
                  <c:v>-6.1404537907996586</c:v>
                </c:pt>
                <c:pt idx="709">
                  <c:v>-6.1503027174028677</c:v>
                </c:pt>
                <c:pt idx="710">
                  <c:v>-6.1601516529982359</c:v>
                </c:pt>
                <c:pt idx="711">
                  <c:v>-6.1700005975855179</c:v>
                </c:pt>
                <c:pt idx="712">
                  <c:v>-6.1798495511644678</c:v>
                </c:pt>
                <c:pt idx="713">
                  <c:v>-6.1896985137348404</c:v>
                </c:pt>
                <c:pt idx="714">
                  <c:v>-6.1995474852963897</c:v>
                </c:pt>
                <c:pt idx="715">
                  <c:v>-6.2093964658488705</c:v>
                </c:pt>
                <c:pt idx="716">
                  <c:v>-6.2192454553920369</c:v>
                </c:pt>
                <c:pt idx="717">
                  <c:v>-6.2290944539256428</c:v>
                </c:pt>
                <c:pt idx="718">
                  <c:v>-6.238943461449443</c:v>
                </c:pt>
                <c:pt idx="719">
                  <c:v>-6.2487924779631925</c:v>
                </c:pt>
                <c:pt idx="720">
                  <c:v>-6.2586415034666452</c:v>
                </c:pt>
                <c:pt idx="721">
                  <c:v>-6.268490537959555</c:v>
                </c:pt>
                <c:pt idx="722">
                  <c:v>-6.2783395814416769</c:v>
                </c:pt>
                <c:pt idx="723">
                  <c:v>-6.2881886339127648</c:v>
                </c:pt>
                <c:pt idx="724">
                  <c:v>-6.2980376953725736</c:v>
                </c:pt>
                <c:pt idx="725">
                  <c:v>-6.3078867658208573</c:v>
                </c:pt>
                <c:pt idx="726">
                  <c:v>-6.3177358452573706</c:v>
                </c:pt>
                <c:pt idx="727">
                  <c:v>-6.3275849336818677</c:v>
                </c:pt>
                <c:pt idx="728">
                  <c:v>-6.3374340310941024</c:v>
                </c:pt>
                <c:pt idx="729">
                  <c:v>-6.3472831374938306</c:v>
                </c:pt>
                <c:pt idx="730">
                  <c:v>-6.3571322528808052</c:v>
                </c:pt>
                <c:pt idx="731">
                  <c:v>-6.3669813772547812</c:v>
                </c:pt>
                <c:pt idx="732">
                  <c:v>-6.3768305106155134</c:v>
                </c:pt>
                <c:pt idx="733">
                  <c:v>-6.3866796529627559</c:v>
                </c:pt>
                <c:pt idx="734">
                  <c:v>-6.3965288042962634</c:v>
                </c:pt>
                <c:pt idx="735">
                  <c:v>-6.4063779646157899</c:v>
                </c:pt>
                <c:pt idx="736">
                  <c:v>-6.4162271339210903</c:v>
                </c:pt>
                <c:pt idx="737">
                  <c:v>-6.4260763122119187</c:v>
                </c:pt>
                <c:pt idx="738">
                  <c:v>-6.4359254994880297</c:v>
                </c:pt>
                <c:pt idx="739">
                  <c:v>-6.4457746957491775</c:v>
                </c:pt>
                <c:pt idx="740">
                  <c:v>-6.4556239009951168</c:v>
                </c:pt>
                <c:pt idx="741">
                  <c:v>-6.4654731152256018</c:v>
                </c:pt>
                <c:pt idx="742">
                  <c:v>-6.4753223384403871</c:v>
                </c:pt>
                <c:pt idx="743">
                  <c:v>-6.4851715706392277</c:v>
                </c:pt>
                <c:pt idx="744">
                  <c:v>-6.4950208118218775</c:v>
                </c:pt>
                <c:pt idx="745">
                  <c:v>-6.5048700619880906</c:v>
                </c:pt>
                <c:pt idx="746">
                  <c:v>-6.5147193211376226</c:v>
                </c:pt>
                <c:pt idx="747">
                  <c:v>-6.5245685892702268</c:v>
                </c:pt>
                <c:pt idx="748">
                  <c:v>-6.5344178663856587</c:v>
                </c:pt>
                <c:pt idx="749">
                  <c:v>-6.5442671524836724</c:v>
                </c:pt>
                <c:pt idx="750">
                  <c:v>-6.5541164475640219</c:v>
                </c:pt>
                <c:pt idx="751">
                  <c:v>-6.563965751626462</c:v>
                </c:pt>
                <c:pt idx="752">
                  <c:v>-6.5738150646707476</c:v>
                </c:pt>
                <c:pt idx="753">
                  <c:v>-6.5836643866966327</c:v>
                </c:pt>
                <c:pt idx="754">
                  <c:v>-6.5935137177038721</c:v>
                </c:pt>
                <c:pt idx="755">
                  <c:v>-6.6033630576922198</c:v>
                </c:pt>
                <c:pt idx="756">
                  <c:v>-6.6132124066614306</c:v>
                </c:pt>
                <c:pt idx="757">
                  <c:v>-6.6230617646112595</c:v>
                </c:pt>
                <c:pt idx="758">
                  <c:v>-6.6329111315414604</c:v>
                </c:pt>
                <c:pt idx="759">
                  <c:v>-6.6427605074517881</c:v>
                </c:pt>
                <c:pt idx="760">
                  <c:v>-6.6526098923419976</c:v>
                </c:pt>
                <c:pt idx="761">
                  <c:v>-6.6624592862118428</c:v>
                </c:pt>
                <c:pt idx="762">
                  <c:v>-6.6723086890610785</c:v>
                </c:pt>
                <c:pt idx="763">
                  <c:v>-6.6821581008894588</c:v>
                </c:pt>
                <c:pt idx="764">
                  <c:v>-6.6920075216967385</c:v>
                </c:pt>
                <c:pt idx="765">
                  <c:v>-6.7018569514826725</c:v>
                </c:pt>
                <c:pt idx="766">
                  <c:v>-6.7117063902470147</c:v>
                </c:pt>
                <c:pt idx="767">
                  <c:v>-6.7215558379895199</c:v>
                </c:pt>
                <c:pt idx="768">
                  <c:v>-6.7314052947099432</c:v>
                </c:pt>
                <c:pt idx="769">
                  <c:v>-6.7412547604080384</c:v>
                </c:pt>
                <c:pt idx="770">
                  <c:v>-6.7511042350835604</c:v>
                </c:pt>
                <c:pt idx="771">
                  <c:v>-6.7609537187362641</c:v>
                </c:pt>
                <c:pt idx="772">
                  <c:v>-6.7708032113659034</c:v>
                </c:pt>
                <c:pt idx="773">
                  <c:v>-6.7806527129722332</c:v>
                </c:pt>
                <c:pt idx="774">
                  <c:v>-6.7905022235550083</c:v>
                </c:pt>
                <c:pt idx="775">
                  <c:v>-6.8003517431139828</c:v>
                </c:pt>
                <c:pt idx="776">
                  <c:v>-6.8102012716489115</c:v>
                </c:pt>
                <c:pt idx="777">
                  <c:v>-6.8200508091595493</c:v>
                </c:pt>
                <c:pt idx="778">
                  <c:v>-6.829900355645651</c:v>
                </c:pt>
                <c:pt idx="779">
                  <c:v>-6.8397499111069706</c:v>
                </c:pt>
                <c:pt idx="780">
                  <c:v>-6.849599475543263</c:v>
                </c:pt>
                <c:pt idx="781">
                  <c:v>-6.8594490489542821</c:v>
                </c:pt>
                <c:pt idx="782">
                  <c:v>-6.8692986313397837</c:v>
                </c:pt>
                <c:pt idx="783">
                  <c:v>-6.8791482226995218</c:v>
                </c:pt>
                <c:pt idx="784">
                  <c:v>-6.8889978230332503</c:v>
                </c:pt>
                <c:pt idx="785">
                  <c:v>-6.8988474323407249</c:v>
                </c:pt>
                <c:pt idx="786">
                  <c:v>-6.9086970506216998</c:v>
                </c:pt>
                <c:pt idx="787">
                  <c:v>-6.9185466778759297</c:v>
                </c:pt>
                <c:pt idx="788">
                  <c:v>-6.9283963141031695</c:v>
                </c:pt>
                <c:pt idx="789">
                  <c:v>-6.9382459593031731</c:v>
                </c:pt>
                <c:pt idx="790">
                  <c:v>-6.9480956134756964</c:v>
                </c:pt>
                <c:pt idx="791">
                  <c:v>-6.9579452766204923</c:v>
                </c:pt>
                <c:pt idx="792">
                  <c:v>-6.9677949487373168</c:v>
                </c:pt>
                <c:pt idx="793">
                  <c:v>-6.9776446298259245</c:v>
                </c:pt>
                <c:pt idx="794">
                  <c:v>-6.9874943198860695</c:v>
                </c:pt>
                <c:pt idx="795">
                  <c:v>-6.9973440189175067</c:v>
                </c:pt>
                <c:pt idx="796">
                  <c:v>-7.0071937269199909</c:v>
                </c:pt>
                <c:pt idx="797">
                  <c:v>-7.0170434438932761</c:v>
                </c:pt>
                <c:pt idx="798">
                  <c:v>-7.026893169837118</c:v>
                </c:pt>
                <c:pt idx="799">
                  <c:v>-7.0367429047512706</c:v>
                </c:pt>
                <c:pt idx="800">
                  <c:v>-7.0465926486354888</c:v>
                </c:pt>
                <c:pt idx="801">
                  <c:v>-7.0564424014895266</c:v>
                </c:pt>
                <c:pt idx="802">
                  <c:v>-7.0662921633131397</c:v>
                </c:pt>
                <c:pt idx="803">
                  <c:v>-7.0761419341060821</c:v>
                </c:pt>
                <c:pt idx="804">
                  <c:v>-7.0859917138681086</c:v>
                </c:pt>
                <c:pt idx="805">
                  <c:v>-7.0958415025989741</c:v>
                </c:pt>
                <c:pt idx="806">
                  <c:v>-7.1056913002984334</c:v>
                </c:pt>
                <c:pt idx="807">
                  <c:v>-7.1155411069662415</c:v>
                </c:pt>
                <c:pt idx="808">
                  <c:v>-7.1253909226021523</c:v>
                </c:pt>
                <c:pt idx="809">
                  <c:v>-7.1352407472059207</c:v>
                </c:pt>
                <c:pt idx="810">
                  <c:v>-7.1450905807773015</c:v>
                </c:pt>
                <c:pt idx="811">
                  <c:v>-7.1549404233160496</c:v>
                </c:pt>
                <c:pt idx="812">
                  <c:v>-7.1647902748219199</c:v>
                </c:pt>
                <c:pt idx="813">
                  <c:v>-7.1746401352946672</c:v>
                </c:pt>
                <c:pt idx="814">
                  <c:v>-7.1844900047340454</c:v>
                </c:pt>
                <c:pt idx="815">
                  <c:v>-7.1943398831398095</c:v>
                </c:pt>
                <c:pt idx="816">
                  <c:v>-7.2041897705117153</c:v>
                </c:pt>
                <c:pt idx="817">
                  <c:v>-7.2140396668495166</c:v>
                </c:pt>
                <c:pt idx="818">
                  <c:v>-7.2238895721529683</c:v>
                </c:pt>
                <c:pt idx="819">
                  <c:v>-7.2337394864218245</c:v>
                </c:pt>
                <c:pt idx="820">
                  <c:v>-7.2435894096558409</c:v>
                </c:pt>
                <c:pt idx="821">
                  <c:v>-7.2534393418547722</c:v>
                </c:pt>
                <c:pt idx="822">
                  <c:v>-7.2632892830183726</c:v>
                </c:pt>
                <c:pt idx="823">
                  <c:v>-7.2731392331463969</c:v>
                </c:pt>
                <c:pt idx="824">
                  <c:v>-7.2829891922385999</c:v>
                </c:pt>
                <c:pt idx="825">
                  <c:v>-7.2928391602947373</c:v>
                </c:pt>
                <c:pt idx="826">
                  <c:v>-7.3026891373145633</c:v>
                </c:pt>
                <c:pt idx="827">
                  <c:v>-7.3125391232978316</c:v>
                </c:pt>
                <c:pt idx="828">
                  <c:v>-7.3223891182442982</c:v>
                </c:pt>
                <c:pt idx="829">
                  <c:v>-7.3322391221537178</c:v>
                </c:pt>
                <c:pt idx="830">
                  <c:v>-7.3420891350258453</c:v>
                </c:pt>
                <c:pt idx="831">
                  <c:v>-7.3519391568604346</c:v>
                </c:pt>
                <c:pt idx="832">
                  <c:v>-7.3617891876572417</c:v>
                </c:pt>
                <c:pt idx="833">
                  <c:v>-7.3716392274160203</c:v>
                </c:pt>
                <c:pt idx="834">
                  <c:v>-7.3814892761365254</c:v>
                </c:pt>
                <c:pt idx="835">
                  <c:v>-7.3913393338185127</c:v>
                </c:pt>
                <c:pt idx="836">
                  <c:v>-7.4011894004617362</c:v>
                </c:pt>
                <c:pt idx="837">
                  <c:v>-7.4110394760659508</c:v>
                </c:pt>
                <c:pt idx="838">
                  <c:v>-7.4208895606309113</c:v>
                </c:pt>
                <c:pt idx="839">
                  <c:v>-7.4307396541563726</c:v>
                </c:pt>
                <c:pt idx="840">
                  <c:v>-7.4405897566420904</c:v>
                </c:pt>
                <c:pt idx="841">
                  <c:v>-7.4504398680878188</c:v>
                </c:pt>
                <c:pt idx="842">
                  <c:v>-7.4602899884933125</c:v>
                </c:pt>
                <c:pt idx="843">
                  <c:v>-7.4701401178583255</c:v>
                </c:pt>
                <c:pt idx="844">
                  <c:v>-7.4799902561826137</c:v>
                </c:pt>
                <c:pt idx="845">
                  <c:v>-7.4898404034659318</c:v>
                </c:pt>
                <c:pt idx="846">
                  <c:v>-7.4996905597080348</c:v>
                </c:pt>
                <c:pt idx="847">
                  <c:v>-7.5095407249086774</c:v>
                </c:pt>
                <c:pt idx="848">
                  <c:v>-7.5193908990676146</c:v>
                </c:pt>
                <c:pt idx="849">
                  <c:v>-7.5292410821846012</c:v>
                </c:pt>
                <c:pt idx="850">
                  <c:v>-7.5390912742593921</c:v>
                </c:pt>
                <c:pt idx="851">
                  <c:v>-7.5489414752917421</c:v>
                </c:pt>
                <c:pt idx="852">
                  <c:v>-7.5587916852814061</c:v>
                </c:pt>
                <c:pt idx="853">
                  <c:v>-7.5686419042281381</c:v>
                </c:pt>
                <c:pt idx="854">
                  <c:v>-7.5784921321316938</c:v>
                </c:pt>
                <c:pt idx="855">
                  <c:v>-7.5883423689918281</c:v>
                </c:pt>
                <c:pt idx="856">
                  <c:v>-7.5981926148082959</c:v>
                </c:pt>
                <c:pt idx="857">
                  <c:v>-7.608042869580852</c:v>
                </c:pt>
                <c:pt idx="858">
                  <c:v>-7.6178931333092512</c:v>
                </c:pt>
                <c:pt idx="859">
                  <c:v>-7.6277434059932494</c:v>
                </c:pt>
                <c:pt idx="860">
                  <c:v>-7.6375936876326005</c:v>
                </c:pt>
                <c:pt idx="861">
                  <c:v>-7.6474439782270593</c:v>
                </c:pt>
                <c:pt idx="862">
                  <c:v>-7.6572942777763808</c:v>
                </c:pt>
                <c:pt idx="863">
                  <c:v>-7.6671445862803198</c:v>
                </c:pt>
                <c:pt idx="864">
                  <c:v>-7.676994903738632</c:v>
                </c:pt>
                <c:pt idx="865">
                  <c:v>-7.6868452301510715</c:v>
                </c:pt>
                <c:pt idx="866">
                  <c:v>-7.6966955655173939</c:v>
                </c:pt>
                <c:pt idx="867">
                  <c:v>-7.7065459098373532</c:v>
                </c:pt>
                <c:pt idx="868">
                  <c:v>-7.7163962631107053</c:v>
                </c:pt>
                <c:pt idx="869">
                  <c:v>-7.7262466253372049</c:v>
                </c:pt>
                <c:pt idx="870">
                  <c:v>-7.736096996516606</c:v>
                </c:pt>
                <c:pt idx="871">
                  <c:v>-7.7459473766486644</c:v>
                </c:pt>
                <c:pt idx="872">
                  <c:v>-7.755797765733135</c:v>
                </c:pt>
                <c:pt idx="873">
                  <c:v>-7.7656481637697725</c:v>
                </c:pt>
                <c:pt idx="874">
                  <c:v>-7.7754985707583328</c:v>
                </c:pt>
                <c:pt idx="875">
                  <c:v>-7.7853489866985699</c:v>
                </c:pt>
                <c:pt idx="876">
                  <c:v>-7.7951994115902385</c:v>
                </c:pt>
                <c:pt idx="877">
                  <c:v>-7.8050498454330945</c:v>
                </c:pt>
                <c:pt idx="878">
                  <c:v>-7.8149002882268928</c:v>
                </c:pt>
                <c:pt idx="879">
                  <c:v>-7.8247507399713871</c:v>
                </c:pt>
                <c:pt idx="880">
                  <c:v>-7.8346012006663335</c:v>
                </c:pt>
                <c:pt idx="881">
                  <c:v>-7.8444516703114866</c:v>
                </c:pt>
                <c:pt idx="882">
                  <c:v>-7.8543021489066014</c:v>
                </c:pt>
                <c:pt idx="883">
                  <c:v>-7.8641526364514336</c:v>
                </c:pt>
                <c:pt idx="884">
                  <c:v>-7.8740031329457372</c:v>
                </c:pt>
                <c:pt idx="885">
                  <c:v>-7.8838536383892679</c:v>
                </c:pt>
                <c:pt idx="886">
                  <c:v>-7.8937041527817806</c:v>
                </c:pt>
                <c:pt idx="887">
                  <c:v>-7.9035546761230293</c:v>
                </c:pt>
                <c:pt idx="888">
                  <c:v>-7.9134052084127706</c:v>
                </c:pt>
                <c:pt idx="889">
                  <c:v>-7.9232557496507585</c:v>
                </c:pt>
                <c:pt idx="890">
                  <c:v>-7.9331062998367479</c:v>
                </c:pt>
                <c:pt idx="891">
                  <c:v>-7.9429568589704944</c:v>
                </c:pt>
                <c:pt idx="892">
                  <c:v>-7.952807427051753</c:v>
                </c:pt>
                <c:pt idx="893">
                  <c:v>-7.9626580040802777</c:v>
                </c:pt>
                <c:pt idx="894">
                  <c:v>-7.972508590055825</c:v>
                </c:pt>
                <c:pt idx="895">
                  <c:v>-7.982359184978149</c:v>
                </c:pt>
                <c:pt idx="896">
                  <c:v>-7.9922097888470045</c:v>
                </c:pt>
                <c:pt idx="897">
                  <c:v>-8.0020604016621473</c:v>
                </c:pt>
                <c:pt idx="898">
                  <c:v>-8.0119110234233322</c:v>
                </c:pt>
                <c:pt idx="899">
                  <c:v>-8.0217616541303141</c:v>
                </c:pt>
                <c:pt idx="900">
                  <c:v>-8.0316122937828478</c:v>
                </c:pt>
                <c:pt idx="901">
                  <c:v>-8.04146294238069</c:v>
                </c:pt>
                <c:pt idx="902">
                  <c:v>-8.0513135999235939</c:v>
                </c:pt>
                <c:pt idx="903">
                  <c:v>-8.0611642664113141</c:v>
                </c:pt>
                <c:pt idx="904">
                  <c:v>-8.0710149418436075</c:v>
                </c:pt>
                <c:pt idx="905">
                  <c:v>-8.0808656262202287</c:v>
                </c:pt>
                <c:pt idx="906">
                  <c:v>-8.0907163195409328</c:v>
                </c:pt>
                <c:pt idx="907">
                  <c:v>-8.1005670218054746</c:v>
                </c:pt>
                <c:pt idx="908">
                  <c:v>-8.1104177330136089</c:v>
                </c:pt>
                <c:pt idx="909">
                  <c:v>-8.1202684531650906</c:v>
                </c:pt>
                <c:pt idx="910">
                  <c:v>-8.1301191822596746</c:v>
                </c:pt>
                <c:pt idx="911">
                  <c:v>-8.1399699202971174</c:v>
                </c:pt>
                <c:pt idx="912">
                  <c:v>-8.1498206672771722</c:v>
                </c:pt>
                <c:pt idx="913">
                  <c:v>-8.1596714231995957</c:v>
                </c:pt>
                <c:pt idx="914">
                  <c:v>-8.1695221880641427</c:v>
                </c:pt>
                <c:pt idx="915">
                  <c:v>-8.1793729618705679</c:v>
                </c:pt>
                <c:pt idx="916">
                  <c:v>-8.1892237446186265</c:v>
                </c:pt>
                <c:pt idx="917">
                  <c:v>-8.199074536308073</c:v>
                </c:pt>
                <c:pt idx="918">
                  <c:v>-8.2089253369386643</c:v>
                </c:pt>
                <c:pt idx="919">
                  <c:v>-8.2187761465101552</c:v>
                </c:pt>
                <c:pt idx="920">
                  <c:v>-8.2286269650222987</c:v>
                </c:pt>
                <c:pt idx="921">
                  <c:v>-8.2384777924748516</c:v>
                </c:pt>
                <c:pt idx="922">
                  <c:v>-8.2483286288675686</c:v>
                </c:pt>
                <c:pt idx="923">
                  <c:v>-8.2581794742002046</c:v>
                </c:pt>
                <c:pt idx="924">
                  <c:v>-8.2680303284725163</c:v>
                </c:pt>
                <c:pt idx="925">
                  <c:v>-8.2778811916842567</c:v>
                </c:pt>
                <c:pt idx="926">
                  <c:v>-8.2877320638351826</c:v>
                </c:pt>
                <c:pt idx="927">
                  <c:v>-8.2975829449250487</c:v>
                </c:pt>
                <c:pt idx="928">
                  <c:v>-8.3074338349536099</c:v>
                </c:pt>
                <c:pt idx="929">
                  <c:v>-8.3172847339206211</c:v>
                </c:pt>
                <c:pt idx="930">
                  <c:v>-8.3271356418258371</c:v>
                </c:pt>
                <c:pt idx="931">
                  <c:v>-8.3369865586690146</c:v>
                </c:pt>
                <c:pt idx="932">
                  <c:v>-8.3468374844499067</c:v>
                </c:pt>
                <c:pt idx="933">
                  <c:v>-8.35668841916827</c:v>
                </c:pt>
                <c:pt idx="934">
                  <c:v>-8.3665393628238593</c:v>
                </c:pt>
                <c:pt idx="935">
                  <c:v>-8.3763903154164296</c:v>
                </c:pt>
                <c:pt idx="936">
                  <c:v>-8.3862412769457375</c:v>
                </c:pt>
                <c:pt idx="937">
                  <c:v>-8.396092247411536</c:v>
                </c:pt>
                <c:pt idx="938">
                  <c:v>-8.4059432268135819</c:v>
                </c:pt>
                <c:pt idx="939">
                  <c:v>-8.4157942151516298</c:v>
                </c:pt>
                <c:pt idx="940">
                  <c:v>-8.4256452124254348</c:v>
                </c:pt>
                <c:pt idx="941">
                  <c:v>-8.4354962186347535</c:v>
                </c:pt>
                <c:pt idx="942">
                  <c:v>-8.4453472337793389</c:v>
                </c:pt>
                <c:pt idx="943">
                  <c:v>-8.4551982578589477</c:v>
                </c:pt>
                <c:pt idx="944">
                  <c:v>-8.4650492908733348</c:v>
                </c:pt>
                <c:pt idx="945">
                  <c:v>-8.474900332822255</c:v>
                </c:pt>
                <c:pt idx="946">
                  <c:v>-8.4847513837054631</c:v>
                </c:pt>
                <c:pt idx="947">
                  <c:v>-8.4946024435227159</c:v>
                </c:pt>
                <c:pt idx="948">
                  <c:v>-8.5044535122737663</c:v>
                </c:pt>
                <c:pt idx="949">
                  <c:v>-8.5143045899583711</c:v>
                </c:pt>
                <c:pt idx="950">
                  <c:v>-8.5241556765762851</c:v>
                </c:pt>
                <c:pt idx="951">
                  <c:v>-8.534006772127265</c:v>
                </c:pt>
                <c:pt idx="952">
                  <c:v>-8.5438578766110638</c:v>
                </c:pt>
                <c:pt idx="953">
                  <c:v>-8.5537089900274381</c:v>
                </c:pt>
                <c:pt idx="954">
                  <c:v>-8.5635601123761429</c:v>
                </c:pt>
                <c:pt idx="955">
                  <c:v>-8.573411243656933</c:v>
                </c:pt>
                <c:pt idx="956">
                  <c:v>-8.583262383869565</c:v>
                </c:pt>
                <c:pt idx="957">
                  <c:v>-8.5931135330137938</c:v>
                </c:pt>
                <c:pt idx="958">
                  <c:v>-8.6029646910893742</c:v>
                </c:pt>
                <c:pt idx="959">
                  <c:v>-8.6128158580960612</c:v>
                </c:pt>
                <c:pt idx="960">
                  <c:v>-8.6226670340336096</c:v>
                </c:pt>
                <c:pt idx="961">
                  <c:v>-8.632518218901776</c:v>
                </c:pt>
                <c:pt idx="962">
                  <c:v>-8.6423694127003134</c:v>
                </c:pt>
                <c:pt idx="963">
                  <c:v>-8.6522206154289805</c:v>
                </c:pt>
                <c:pt idx="964">
                  <c:v>-8.6620718270875301</c:v>
                </c:pt>
                <c:pt idx="965">
                  <c:v>-8.6719230476757172</c:v>
                </c:pt>
                <c:pt idx="966">
                  <c:v>-8.6817742771932984</c:v>
                </c:pt>
                <c:pt idx="967">
                  <c:v>-8.6916255156400286</c:v>
                </c:pt>
                <c:pt idx="968">
                  <c:v>-8.7014767630156644</c:v>
                </c:pt>
                <c:pt idx="969">
                  <c:v>-8.7113280193199589</c:v>
                </c:pt>
                <c:pt idx="970">
                  <c:v>-8.7211792845526688</c:v>
                </c:pt>
                <c:pt idx="971">
                  <c:v>-8.7310305587135488</c:v>
                </c:pt>
                <c:pt idx="972">
                  <c:v>-8.7408818418023539</c:v>
                </c:pt>
                <c:pt idx="973">
                  <c:v>-8.7507331338188408</c:v>
                </c:pt>
                <c:pt idx="974">
                  <c:v>-8.7605844347627642</c:v>
                </c:pt>
                <c:pt idx="975">
                  <c:v>-8.770435744633879</c:v>
                </c:pt>
                <c:pt idx="976">
                  <c:v>-8.7802870634319401</c:v>
                </c:pt>
                <c:pt idx="977">
                  <c:v>-8.7901383911567041</c:v>
                </c:pt>
                <c:pt idx="978">
                  <c:v>-8.799989727807926</c:v>
                </c:pt>
                <c:pt idx="979">
                  <c:v>-8.8098410733853605</c:v>
                </c:pt>
                <c:pt idx="980">
                  <c:v>-8.8196924278887625</c:v>
                </c:pt>
                <c:pt idx="981">
                  <c:v>-8.8295437913178887</c:v>
                </c:pt>
                <c:pt idx="982">
                  <c:v>-8.8393951636724939</c:v>
                </c:pt>
                <c:pt idx="983">
                  <c:v>-8.849246544952333</c:v>
                </c:pt>
                <c:pt idx="984">
                  <c:v>-8.8590979351571626</c:v>
                </c:pt>
                <c:pt idx="985">
                  <c:v>-8.8689493342867376</c:v>
                </c:pt>
                <c:pt idx="986">
                  <c:v>-8.8788007423408128</c:v>
                </c:pt>
                <c:pt idx="987">
                  <c:v>-8.8886521593191432</c:v>
                </c:pt>
                <c:pt idx="988">
                  <c:v>-8.8985035852214853</c:v>
                </c:pt>
                <c:pt idx="989">
                  <c:v>-8.9083550200475941</c:v>
                </c:pt>
                <c:pt idx="990">
                  <c:v>-8.918206463797226</c:v>
                </c:pt>
                <c:pt idx="991">
                  <c:v>-8.9280579164701344</c:v>
                </c:pt>
                <c:pt idx="992">
                  <c:v>-8.9379093780660757</c:v>
                </c:pt>
                <c:pt idx="993">
                  <c:v>-8.9477608485848048</c:v>
                </c:pt>
                <c:pt idx="994">
                  <c:v>-8.9576123280260784</c:v>
                </c:pt>
                <c:pt idx="995">
                  <c:v>-8.9674638163896514</c:v>
                </c:pt>
                <c:pt idx="996">
                  <c:v>-8.9773153136752786</c:v>
                </c:pt>
                <c:pt idx="997">
                  <c:v>-8.9871668198827148</c:v>
                </c:pt>
                <c:pt idx="998">
                  <c:v>-8.9970183350117168</c:v>
                </c:pt>
                <c:pt idx="999">
                  <c:v>-9.0068698590620393</c:v>
                </c:pt>
                <c:pt idx="1000">
                  <c:v>-9.0167213920334373</c:v>
                </c:pt>
              </c:numCache>
            </c:numRef>
          </c:yVal>
          <c:smooth val="1"/>
          <c:extLst>
            <c:ext xmlns:c16="http://schemas.microsoft.com/office/drawing/2014/chart" uri="{C3380CC4-5D6E-409C-BE32-E72D297353CC}">
              <c16:uniqueId val="{00000002-432A-49A9-9499-7ED3E32DDB07}"/>
            </c:ext>
          </c:extLst>
        </c:ser>
        <c:ser>
          <c:idx val="4"/>
          <c:order val="3"/>
          <c:tx>
            <c:strRef>
              <c:f>Trajecto!$B$110</c:f>
              <c:strCache>
                <c:ptCount val="1"/>
              </c:strCache>
            </c:strRef>
          </c:tx>
          <c:spPr>
            <a:ln w="25400">
              <a:solidFill>
                <a:srgbClr val="FF6600"/>
              </a:solidFill>
              <a:prstDash val="solid"/>
            </a:ln>
          </c:spPr>
          <c:marker>
            <c:symbol val="none"/>
          </c:marker>
          <c:dLbls>
            <c:dLbl>
              <c:idx val="1"/>
              <c:spPr>
                <a:noFill/>
                <a:ln w="25400">
                  <a:noFill/>
                </a:ln>
              </c:spPr>
              <c:txPr>
                <a:bodyPr/>
                <a:lstStyle/>
                <a:p>
                  <a:pPr>
                    <a:defRPr sz="700" b="1" i="0" u="none" strike="noStrike" baseline="0">
                      <a:solidFill>
                        <a:srgbClr val="FF6600"/>
                      </a:solidFill>
                      <a:latin typeface="Arial"/>
                      <a:ea typeface="Arial"/>
                      <a:cs typeface="Arial"/>
                    </a:defRPr>
                  </a:pPr>
                  <a:endParaRPr lang="fr-FR"/>
                </a:p>
              </c:txPr>
              <c:dLblPos val="l"/>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3-432A-49A9-9499-7ED3E32DDB07}"/>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Trajecto!$B$141:$B$147</c:f>
              <c:numCache>
                <c:formatCode>0</c:formatCode>
                <c:ptCount val="7"/>
                <c:pt idx="0">
                  <c:v>0</c:v>
                </c:pt>
                <c:pt idx="1">
                  <c:v>0</c:v>
                </c:pt>
                <c:pt idx="2">
                  <c:v>0</c:v>
                </c:pt>
                <c:pt idx="3">
                  <c:v>0</c:v>
                </c:pt>
                <c:pt idx="4">
                  <c:v>0</c:v>
                </c:pt>
                <c:pt idx="5">
                  <c:v>0</c:v>
                </c:pt>
                <c:pt idx="6">
                  <c:v>0</c:v>
                </c:pt>
              </c:numCache>
            </c:numRef>
          </c:xVal>
          <c:yVal>
            <c:numRef>
              <c:f>Trajecto!$C$141:$C$147</c:f>
              <c:numCache>
                <c:formatCode>0</c:formatCode>
                <c:ptCount val="7"/>
                <c:pt idx="0">
                  <c:v>0</c:v>
                </c:pt>
                <c:pt idx="1">
                  <c:v>0</c:v>
                </c:pt>
                <c:pt idx="2">
                  <c:v>0</c:v>
                </c:pt>
                <c:pt idx="3">
                  <c:v>0</c:v>
                </c:pt>
                <c:pt idx="4">
                  <c:v>0</c:v>
                </c:pt>
                <c:pt idx="5">
                  <c:v>0</c:v>
                </c:pt>
                <c:pt idx="6">
                  <c:v>0</c:v>
                </c:pt>
              </c:numCache>
            </c:numRef>
          </c:yVal>
          <c:smooth val="0"/>
          <c:extLst>
            <c:ext xmlns:c16="http://schemas.microsoft.com/office/drawing/2014/chart" uri="{C3380CC4-5D6E-409C-BE32-E72D297353CC}">
              <c16:uniqueId val="{00000004-432A-49A9-9499-7ED3E32DDB07}"/>
            </c:ext>
          </c:extLst>
        </c:ser>
        <c:ser>
          <c:idx val="5"/>
          <c:order val="4"/>
          <c:tx>
            <c:strRef>
              <c:f>Trajecto!$B$107</c:f>
              <c:strCache>
                <c:ptCount val="1"/>
                <c:pt idx="0">
                  <c:v>Phase ascendante</c:v>
                </c:pt>
              </c:strCache>
            </c:strRef>
          </c:tx>
          <c:spPr>
            <a:ln w="25400">
              <a:solidFill>
                <a:srgbClr val="000080"/>
              </a:solidFill>
              <a:prstDash val="solid"/>
            </a:ln>
          </c:spPr>
          <c:marker>
            <c:symbol val="none"/>
          </c:marker>
          <c:xVal>
            <c:numRef>
              <c:f>Calculs!$J$4:$J$1004</c:f>
              <c:numCache>
                <c:formatCode>0.00</c:formatCode>
                <c:ptCount val="1001"/>
                <c:pt idx="0">
                  <c:v>132.07618777215259</c:v>
                </c:pt>
                <c:pt idx="1">
                  <c:v>132.46412905976854</c:v>
                </c:pt>
                <c:pt idx="2">
                  <c:v>132.85155166492726</c:v>
                </c:pt>
                <c:pt idx="3">
                  <c:v>133.23845737472485</c:v>
                </c:pt>
                <c:pt idx="4">
                  <c:v>133.62484796756877</c:v>
                </c:pt>
                <c:pt idx="5">
                  <c:v>134.01072521323539</c:v>
                </c:pt>
                <c:pt idx="6">
                  <c:v>134.39609087292706</c:v>
                </c:pt>
                <c:pt idx="7">
                  <c:v>134.78094669932881</c:v>
                </c:pt>
                <c:pt idx="8">
                  <c:v>135.1652944366644</c:v>
                </c:pt>
                <c:pt idx="9">
                  <c:v>135.54913582075207</c:v>
                </c:pt>
                <c:pt idx="10">
                  <c:v>135.93247257905978</c:v>
                </c:pt>
                <c:pt idx="11">
                  <c:v>136.31530642791085</c:v>
                </c:pt>
                <c:pt idx="12">
                  <c:v>136.69763906974825</c:v>
                </c:pt>
                <c:pt idx="13">
                  <c:v>137.07947219615855</c:v>
                </c:pt>
                <c:pt idx="14">
                  <c:v>137.46080749083512</c:v>
                </c:pt>
                <c:pt idx="15">
                  <c:v>137.84164662962786</c:v>
                </c:pt>
                <c:pt idx="16">
                  <c:v>138.22199128059273</c:v>
                </c:pt>
                <c:pt idx="17">
                  <c:v>138.60184310404082</c:v>
                </c:pt>
                <c:pt idx="18">
                  <c:v>138.98120375258705</c:v>
                </c:pt>
                <c:pt idx="19">
                  <c:v>139.36007487119841</c:v>
                </c:pt>
                <c:pt idx="20">
                  <c:v>139.73845809724193</c:v>
                </c:pt>
                <c:pt idx="21">
                  <c:v>140.11635506196703</c:v>
                </c:pt>
                <c:pt idx="22">
                  <c:v>140.49376739195887</c:v>
                </c:pt>
                <c:pt idx="23">
                  <c:v>140.87069670769199</c:v>
                </c:pt>
                <c:pt idx="24">
                  <c:v>141.2471446221127</c:v>
                </c:pt>
                <c:pt idx="25">
                  <c:v>141.62311274068671</c:v>
                </c:pt>
                <c:pt idx="26">
                  <c:v>141.99860266144628</c:v>
                </c:pt>
                <c:pt idx="27">
                  <c:v>142.3736159750371</c:v>
                </c:pt>
                <c:pt idx="28">
                  <c:v>142.74815426476471</c:v>
                </c:pt>
                <c:pt idx="29">
                  <c:v>143.12221910664067</c:v>
                </c:pt>
                <c:pt idx="30">
                  <c:v>143.49581206942824</c:v>
                </c:pt>
                <c:pt idx="31">
                  <c:v>143.86893471468775</c:v>
                </c:pt>
                <c:pt idx="32">
                  <c:v>144.24158859682171</c:v>
                </c:pt>
                <c:pt idx="33">
                  <c:v>144.61377526311938</c:v>
                </c:pt>
                <c:pt idx="34">
                  <c:v>144.98549625380113</c:v>
                </c:pt>
                <c:pt idx="35">
                  <c:v>145.35675310206247</c:v>
                </c:pt>
                <c:pt idx="36">
                  <c:v>145.72754733411765</c:v>
                </c:pt>
                <c:pt idx="37">
                  <c:v>146.09788046924291</c:v>
                </c:pt>
                <c:pt idx="38">
                  <c:v>146.46775401981955</c:v>
                </c:pt>
                <c:pt idx="39">
                  <c:v>146.83716949137647</c:v>
                </c:pt>
                <c:pt idx="40">
                  <c:v>147.20612838263253</c:v>
                </c:pt>
                <c:pt idx="41">
                  <c:v>147.57463218553849</c:v>
                </c:pt>
                <c:pt idx="42">
                  <c:v>147.94268238531868</c:v>
                </c:pt>
                <c:pt idx="43">
                  <c:v>148.3102804605123</c:v>
                </c:pt>
                <c:pt idx="44">
                  <c:v>148.67742788301453</c:v>
                </c:pt>
                <c:pt idx="45">
                  <c:v>149.04412611811708</c:v>
                </c:pt>
                <c:pt idx="46">
                  <c:v>149.41037662454875</c:v>
                </c:pt>
                <c:pt idx="47">
                  <c:v>149.77618085451533</c:v>
                </c:pt>
                <c:pt idx="48">
                  <c:v>150.14154025373958</c:v>
                </c:pt>
                <c:pt idx="49">
                  <c:v>150.50645626150049</c:v>
                </c:pt>
                <c:pt idx="50">
                  <c:v>150.87093031067261</c:v>
                </c:pt>
                <c:pt idx="51">
                  <c:v>151.23496382776483</c:v>
                </c:pt>
                <c:pt idx="52">
                  <c:v>151.59855823295902</c:v>
                </c:pt>
                <c:pt idx="53">
                  <c:v>151.96171494014831</c:v>
                </c:pt>
                <c:pt idx="54">
                  <c:v>152.32443535697504</c:v>
                </c:pt>
                <c:pt idx="55">
                  <c:v>152.68672088486855</c:v>
                </c:pt>
                <c:pt idx="56">
                  <c:v>153.04857291908252</c:v>
                </c:pt>
                <c:pt idx="57">
                  <c:v>153.40999284873214</c:v>
                </c:pt>
                <c:pt idx="58">
                  <c:v>153.77098205683106</c:v>
                </c:pt>
                <c:pt idx="59">
                  <c:v>154.13154192032783</c:v>
                </c:pt>
                <c:pt idx="60">
                  <c:v>154.4916738101424</c:v>
                </c:pt>
                <c:pt idx="61">
                  <c:v>154.85137909120198</c:v>
                </c:pt>
                <c:pt idx="62">
                  <c:v>155.21065912247693</c:v>
                </c:pt>
                <c:pt idx="63">
                  <c:v>155.56951525701626</c:v>
                </c:pt>
                <c:pt idx="64">
                  <c:v>155.92794884198281</c:v>
                </c:pt>
                <c:pt idx="65">
                  <c:v>156.28596121868833</c:v>
                </c:pt>
                <c:pt idx="66">
                  <c:v>156.64355372262807</c:v>
                </c:pt>
                <c:pt idx="67">
                  <c:v>157.00072768351541</c:v>
                </c:pt>
                <c:pt idx="68">
                  <c:v>157.35748442531593</c:v>
                </c:pt>
                <c:pt idx="69">
                  <c:v>157.71382526628145</c:v>
                </c:pt>
                <c:pt idx="70">
                  <c:v>158.06975151898368</c:v>
                </c:pt>
                <c:pt idx="71">
                  <c:v>158.42526449034773</c:v>
                </c:pt>
                <c:pt idx="72">
                  <c:v>158.78036548168529</c:v>
                </c:pt>
                <c:pt idx="73">
                  <c:v>159.13505578872764</c:v>
                </c:pt>
                <c:pt idx="74">
                  <c:v>159.48933670165829</c:v>
                </c:pt>
                <c:pt idx="75">
                  <c:v>159.84320950514558</c:v>
                </c:pt>
                <c:pt idx="76">
                  <c:v>160.19667547837486</c:v>
                </c:pt>
                <c:pt idx="77">
                  <c:v>160.54973589508049</c:v>
                </c:pt>
                <c:pt idx="78">
                  <c:v>160.90239202357768</c:v>
                </c:pt>
                <c:pt idx="79">
                  <c:v>161.25464512679403</c:v>
                </c:pt>
                <c:pt idx="80">
                  <c:v>161.60649646230078</c:v>
                </c:pt>
                <c:pt idx="81">
                  <c:v>161.95794728234401</c:v>
                </c:pt>
                <c:pt idx="82">
                  <c:v>162.30899883387542</c:v>
                </c:pt>
                <c:pt idx="83">
                  <c:v>162.65965235858303</c:v>
                </c:pt>
                <c:pt idx="84">
                  <c:v>163.00990909292153</c:v>
                </c:pt>
                <c:pt idx="85">
                  <c:v>163.35977026814263</c:v>
                </c:pt>
                <c:pt idx="86">
                  <c:v>163.70923711032484</c:v>
                </c:pt>
                <c:pt idx="87">
                  <c:v>164.05831084040344</c:v>
                </c:pt>
                <c:pt idx="88">
                  <c:v>164.40699267419993</c:v>
                </c:pt>
                <c:pt idx="89">
                  <c:v>164.75528382245136</c:v>
                </c:pt>
                <c:pt idx="90">
                  <c:v>165.10318549083954</c:v>
                </c:pt>
                <c:pt idx="91">
                  <c:v>165.4506988800199</c:v>
                </c:pt>
                <c:pt idx="92">
                  <c:v>165.79782518565025</c:v>
                </c:pt>
                <c:pt idx="93">
                  <c:v>166.14456559841929</c:v>
                </c:pt>
                <c:pt idx="94">
                  <c:v>166.49092130407487</c:v>
                </c:pt>
                <c:pt idx="95">
                  <c:v>166.83689348345217</c:v>
                </c:pt>
                <c:pt idx="96">
                  <c:v>167.1824833125016</c:v>
                </c:pt>
                <c:pt idx="97">
                  <c:v>167.52769196231645</c:v>
                </c:pt>
                <c:pt idx="98">
                  <c:v>167.87252059916051</c:v>
                </c:pt>
                <c:pt idx="99">
                  <c:v>168.21697038449531</c:v>
                </c:pt>
                <c:pt idx="100">
                  <c:v>168.56104247500727</c:v>
                </c:pt>
                <c:pt idx="101">
                  <c:v>171.98107938681989</c:v>
                </c:pt>
                <c:pt idx="102">
                  <c:v>175.36408768810614</c:v>
                </c:pt>
                <c:pt idx="103">
                  <c:v>178.71118093815957</c:v>
                </c:pt>
                <c:pt idx="104">
                  <c:v>182.02342826581781</c:v>
                </c:pt>
                <c:pt idx="105">
                  <c:v>185.30185678220144</c:v>
                </c:pt>
                <c:pt idx="106">
                  <c:v>188.54745383166855</c:v>
                </c:pt>
                <c:pt idx="107">
                  <c:v>191.76116909387937</c:v>
                </c:pt>
                <c:pt idx="108">
                  <c:v>194.94391654867624</c:v>
                </c:pt>
                <c:pt idx="109">
                  <c:v>198.09657631441877</c:v>
                </c:pt>
                <c:pt idx="110">
                  <c:v>201.21999636945836</c:v>
                </c:pt>
                <c:pt idx="111">
                  <c:v>204.31499416557733</c:v>
                </c:pt>
                <c:pt idx="112">
                  <c:v>207.38235814144483</c:v>
                </c:pt>
                <c:pt idx="113">
                  <c:v>210.42284914344566</c:v>
                </c:pt>
                <c:pt idx="114">
                  <c:v>213.43720176060936</c:v>
                </c:pt>
                <c:pt idx="115">
                  <c:v>216.42612557979865</c:v>
                </c:pt>
                <c:pt idx="116">
                  <c:v>219.39030636680317</c:v>
                </c:pt>
                <c:pt idx="117">
                  <c:v>222.3304071785179</c:v>
                </c:pt>
                <c:pt idx="118">
                  <c:v>225.24706941096372</c:v>
                </c:pt>
                <c:pt idx="119">
                  <c:v>228.14091378752391</c:v>
                </c:pt>
                <c:pt idx="120">
                  <c:v>231.01254129142086</c:v>
                </c:pt>
                <c:pt idx="121">
                  <c:v>233.86253404613979</c:v>
                </c:pt>
                <c:pt idx="122">
                  <c:v>236.69145614721648</c:v>
                </c:pt>
                <c:pt idx="123">
                  <c:v>239.49985444854138</c:v>
                </c:pt>
                <c:pt idx="124">
                  <c:v>242.28825930609057</c:v>
                </c:pt>
                <c:pt idx="125">
                  <c:v>245.05718528177306</c:v>
                </c:pt>
                <c:pt idx="126">
                  <c:v>247.8071318098811</c:v>
                </c:pt>
                <c:pt idx="127">
                  <c:v>250.53858382844393</c:v>
                </c:pt>
                <c:pt idx="128">
                  <c:v>253.25201237761527</c:v>
                </c:pt>
                <c:pt idx="129">
                  <c:v>255.94787516706694</c:v>
                </c:pt>
                <c:pt idx="130">
                  <c:v>258.62661711421714</c:v>
                </c:pt>
                <c:pt idx="131">
                  <c:v>261.28867085498808</c:v>
                </c:pt>
                <c:pt idx="132">
                  <c:v>263.93445722866448</c:v>
                </c:pt>
                <c:pt idx="133">
                  <c:v>266.56438573831082</c:v>
                </c:pt>
                <c:pt idx="134">
                  <c:v>269.1788549880996</c:v>
                </c:pt>
                <c:pt idx="135">
                  <c:v>271.77825309880473</c:v>
                </c:pt>
                <c:pt idx="136">
                  <c:v>274.36295810262362</c:v>
                </c:pt>
                <c:pt idx="137">
                  <c:v>276.93333831840658</c:v>
                </c:pt>
                <c:pt idx="138">
                  <c:v>279.48975270829266</c:v>
                </c:pt>
                <c:pt idx="139">
                  <c:v>282.03255121667792</c:v>
                </c:pt>
                <c:pt idx="140">
                  <c:v>284.56207509237214</c:v>
                </c:pt>
                <c:pt idx="141">
                  <c:v>287.07865719473477</c:v>
                </c:pt>
                <c:pt idx="142">
                  <c:v>289.58262228451963</c:v>
                </c:pt>
                <c:pt idx="143">
                  <c:v>292.07428730009951</c:v>
                </c:pt>
                <c:pt idx="144">
                  <c:v>294.5539616196869</c:v>
                </c:pt>
                <c:pt idx="145">
                  <c:v>297.02194731011338</c:v>
                </c:pt>
                <c:pt idx="146">
                  <c:v>299.47853936268137</c:v>
                </c:pt>
                <c:pt idx="147">
                  <c:v>301.92402591655201</c:v>
                </c:pt>
                <c:pt idx="148">
                  <c:v>304.35868847008686</c:v>
                </c:pt>
                <c:pt idx="149">
                  <c:v>306.78280208051547</c:v>
                </c:pt>
                <c:pt idx="150">
                  <c:v>309.19663555225674</c:v>
                </c:pt>
                <c:pt idx="151">
                  <c:v>311.6004516141777</c:v>
                </c:pt>
                <c:pt idx="152">
                  <c:v>313.99450708603177</c:v>
                </c:pt>
                <c:pt idx="153">
                  <c:v>316.3790530342747</c:v>
                </c:pt>
                <c:pt idx="154">
                  <c:v>318.75433491741484</c:v>
                </c:pt>
                <c:pt idx="155">
                  <c:v>321.12059272101163</c:v>
                </c:pt>
                <c:pt idx="156">
                  <c:v>323.47806108239428</c:v>
                </c:pt>
                <c:pt idx="157">
                  <c:v>325.82696940512847</c:v>
                </c:pt>
                <c:pt idx="158">
                  <c:v>328.1675419632171</c:v>
                </c:pt>
                <c:pt idx="159">
                  <c:v>330.4999979949763</c:v>
                </c:pt>
                <c:pt idx="160">
                  <c:v>332.82455178648371</c:v>
                </c:pt>
                <c:pt idx="161">
                  <c:v>335.14141274445262</c:v>
                </c:pt>
                <c:pt idx="162">
                  <c:v>337.45078545833923</c:v>
                </c:pt>
                <c:pt idx="163">
                  <c:v>339.75286975144707</c:v>
                </c:pt>
                <c:pt idx="164">
                  <c:v>342.04786072074853</c:v>
                </c:pt>
                <c:pt idx="165">
                  <c:v>344.33594876510136</c:v>
                </c:pt>
                <c:pt idx="166">
                  <c:v>346.61731960149831</c:v>
                </c:pt>
                <c:pt idx="167">
                  <c:v>348.89215426895271</c:v>
                </c:pt>
                <c:pt idx="168">
                  <c:v>351.16062911959295</c:v>
                </c:pt>
                <c:pt idx="169">
                  <c:v>353.42291579651641</c:v>
                </c:pt>
                <c:pt idx="170">
                  <c:v>355.67918119794331</c:v>
                </c:pt>
                <c:pt idx="171">
                  <c:v>357.92958742721407</c:v>
                </c:pt>
                <c:pt idx="172">
                  <c:v>360.17429172819556</c:v>
                </c:pt>
                <c:pt idx="173">
                  <c:v>362.41344640570873</c:v>
                </c:pt>
                <c:pt idx="174">
                  <c:v>364.64719873066502</c:v>
                </c:pt>
                <c:pt idx="175">
                  <c:v>366.87569082971135</c:v>
                </c:pt>
                <c:pt idx="176">
                  <c:v>369.0990595593392</c:v>
                </c:pt>
                <c:pt idx="177">
                  <c:v>371.31743636462068</c:v>
                </c:pt>
                <c:pt idx="178">
                  <c:v>373.53094712299901</c:v>
                </c:pt>
                <c:pt idx="179">
                  <c:v>375.73971197389176</c:v>
                </c:pt>
                <c:pt idx="180">
                  <c:v>377.94384513526484</c:v>
                </c:pt>
                <c:pt idx="181">
                  <c:v>380.14345470880505</c:v>
                </c:pt>
                <c:pt idx="182">
                  <c:v>382.3386424758562</c:v>
                </c:pt>
                <c:pt idx="183">
                  <c:v>384.5295036868776</c:v>
                </c:pt>
                <c:pt idx="184">
                  <c:v>386.71612684781547</c:v>
                </c:pt>
                <c:pt idx="185">
                  <c:v>388.89859350741983</c:v>
                </c:pt>
                <c:pt idx="186">
                  <c:v>391.07697805015437</c:v>
                </c:pt>
                <c:pt idx="187">
                  <c:v>393.25134749988518</c:v>
                </c:pt>
                <c:pt idx="188">
                  <c:v>395.42176133994587</c:v>
                </c:pt>
                <c:pt idx="189">
                  <c:v>397.58827135539894</c:v>
                </c:pt>
                <c:pt idx="190">
                  <c:v>399.75092150330113</c:v>
                </c:pt>
                <c:pt idx="191">
                  <c:v>401.90974781648515</c:v>
                </c:pt>
                <c:pt idx="192">
                  <c:v>404.06477834577618</c:v>
                </c:pt>
                <c:pt idx="193">
                  <c:v>406.21603314466967</c:v>
                </c:pt>
                <c:pt idx="194">
                  <c:v>408.36352429934408</c:v>
                </c:pt>
                <c:pt idx="195">
                  <c:v>410.50725600553022</c:v>
                </c:pt>
                <c:pt idx="196">
                  <c:v>412.6472246922973</c:v>
                </c:pt>
                <c:pt idx="197">
                  <c:v>414.78341919134357</c:v>
                </c:pt>
                <c:pt idx="198">
                  <c:v>416.91582094900434</c:v>
                </c:pt>
                <c:pt idx="199">
                  <c:v>419.04440427699762</c:v>
                </c:pt>
                <c:pt idx="200">
                  <c:v>421.16913663699466</c:v>
                </c:pt>
                <c:pt idx="201">
                  <c:v>423.28997895346538</c:v>
                </c:pt>
                <c:pt idx="202">
                  <c:v>425.40688594891924</c:v>
                </c:pt>
                <c:pt idx="203">
                  <c:v>427.51980649562586</c:v>
                </c:pt>
                <c:pt idx="204">
                  <c:v>429.62868397811218</c:v>
                </c:pt>
                <c:pt idx="205">
                  <c:v>431.7334566611483</c:v>
                </c:pt>
                <c:pt idx="206">
                  <c:v>433.83405805848884</c:v>
                </c:pt>
                <c:pt idx="207">
                  <c:v>435.93041729827621</c:v>
                </c:pt>
                <c:pt idx="208">
                  <c:v>438.02245948168542</c:v>
                </c:pt>
                <c:pt idx="209">
                  <c:v>440.1101060320571</c:v>
                </c:pt>
                <c:pt idx="210">
                  <c:v>442.19327503239265</c:v>
                </c:pt>
                <c:pt idx="211">
                  <c:v>444.2718815496554</c:v>
                </c:pt>
                <c:pt idx="212">
                  <c:v>446.34583794482228</c:v>
                </c:pt>
                <c:pt idx="213">
                  <c:v>448.4150541680537</c:v>
                </c:pt>
                <c:pt idx="214">
                  <c:v>450.47943803870248</c:v>
                </c:pt>
                <c:pt idx="215">
                  <c:v>452.53889551016493</c:v>
                </c:pt>
                <c:pt idx="216">
                  <c:v>454.59333091979704</c:v>
                </c:pt>
                <c:pt idx="217">
                  <c:v>456.64264722428555</c:v>
                </c:pt>
                <c:pt idx="218">
                  <c:v>458.68674622098388</c:v>
                </c:pt>
                <c:pt idx="219">
                  <c:v>460.72552875580493</c:v>
                </c:pt>
                <c:pt idx="220">
                  <c:v>462.75889491831373</c:v>
                </c:pt>
                <c:pt idx="221">
                  <c:v>464.78674422468987</c:v>
                </c:pt>
                <c:pt idx="222">
                  <c:v>466.80897578923691</c:v>
                </c:pt>
                <c:pt idx="223">
                  <c:v>468.82548848510982</c:v>
                </c:pt>
                <c:pt idx="224">
                  <c:v>470.83618109491374</c:v>
                </c:pt>
                <c:pt idx="225">
                  <c:v>472.84095245180293</c:v>
                </c:pt>
                <c:pt idx="226">
                  <c:v>474.83970157167926</c:v>
                </c:pt>
                <c:pt idx="227">
                  <c:v>476.83232777705678</c:v>
                </c:pt>
                <c:pt idx="228">
                  <c:v>478.818730813125</c:v>
                </c:pt>
                <c:pt idx="229">
                  <c:v>480.79881095650859</c:v>
                </c:pt>
                <c:pt idx="230">
                  <c:v>482.77246911718748</c:v>
                </c:pt>
                <c:pt idx="231">
                  <c:v>484.73960693400761</c:v>
                </c:pt>
                <c:pt idx="232">
                  <c:v>486.70012686418147</c:v>
                </c:pt>
                <c:pt idx="233">
                  <c:v>488.65393226714673</c:v>
                </c:pt>
                <c:pt idx="234">
                  <c:v>490.60092748312366</c:v>
                </c:pt>
                <c:pt idx="235">
                  <c:v>492.541017906685</c:v>
                </c:pt>
                <c:pt idx="236">
                  <c:v>494.4741100556281</c:v>
                </c:pt>
                <c:pt idx="237">
                  <c:v>496.40011163541567</c:v>
                </c:pt>
                <c:pt idx="238">
                  <c:v>498.31893159943138</c:v>
                </c:pt>
                <c:pt idx="239">
                  <c:v>500.23048020527739</c:v>
                </c:pt>
                <c:pt idx="240">
                  <c:v>502.13466906732276</c:v>
                </c:pt>
                <c:pt idx="241">
                  <c:v>504.03141120569632</c:v>
                </c:pt>
                <c:pt idx="242">
                  <c:v>505.92062109190323</c:v>
                </c:pt>
                <c:pt idx="243">
                  <c:v>507.80221469123006</c:v>
                </c:pt>
                <c:pt idx="244">
                  <c:v>509.67610950209308</c:v>
                </c:pt>
                <c:pt idx="245">
                  <c:v>511.54222459247154</c:v>
                </c:pt>
                <c:pt idx="246">
                  <c:v>513.40048063355914</c:v>
                </c:pt>
                <c:pt idx="247">
                  <c:v>515.25079993075769</c:v>
                </c:pt>
                <c:pt idx="248">
                  <c:v>517.09310645212838</c:v>
                </c:pt>
                <c:pt idx="249">
                  <c:v>518.92732585440888</c:v>
                </c:pt>
                <c:pt idx="250">
                  <c:v>520.75338550669869</c:v>
                </c:pt>
                <c:pt idx="251">
                  <c:v>522.5712145119071</c:v>
                </c:pt>
                <c:pt idx="252">
                  <c:v>524.38074372605536</c:v>
                </c:pt>
                <c:pt idx="253">
                  <c:v>526.18190577551695</c:v>
                </c:pt>
                <c:pt idx="254">
                  <c:v>527.97463507227758</c:v>
                </c:pt>
                <c:pt idx="255">
                  <c:v>529.75886782729071</c:v>
                </c:pt>
                <c:pt idx="256">
                  <c:v>531.53454206200263</c:v>
                </c:pt>
                <c:pt idx="257">
                  <c:v>533.30159761811512</c:v>
                </c:pt>
                <c:pt idx="258">
                  <c:v>535.05997616565367</c:v>
                </c:pt>
                <c:pt idx="259">
                  <c:v>536.80962120940364</c:v>
                </c:pt>
                <c:pt idx="260">
                  <c:v>538.55047809377629</c:v>
                </c:pt>
                <c:pt idx="261">
                  <c:v>540.28249400616335</c:v>
                </c:pt>
                <c:pt idx="262">
                  <c:v>542.00561797883631</c:v>
                </c:pt>
                <c:pt idx="263">
                  <c:v>543.71980088944565</c:v>
                </c:pt>
                <c:pt idx="264">
                  <c:v>545.42499546017223</c:v>
                </c:pt>
                <c:pt idx="265">
                  <c:v>547.12115625558306</c:v>
                </c:pt>
                <c:pt idx="266">
                  <c:v>548.8082396792397</c:v>
                </c:pt>
                <c:pt idx="267">
                  <c:v>550.48620396910871</c:v>
                </c:pt>
                <c:pt idx="268">
                  <c:v>552.15500919182023</c:v>
                </c:pt>
                <c:pt idx="269">
                  <c:v>553.81461723582072</c:v>
                </c:pt>
                <c:pt idx="270">
                  <c:v>555.46499180346382</c:v>
                </c:pt>
                <c:pt idx="271">
                  <c:v>557.10609840208281</c:v>
                </c:pt>
                <c:pt idx="272">
                  <c:v>558.73790433408726</c:v>
                </c:pt>
                <c:pt idx="273">
                  <c:v>560.36037868612448</c:v>
                </c:pt>
                <c:pt idx="274">
                  <c:v>561.9734923173462</c:v>
                </c:pt>
                <c:pt idx="275">
                  <c:v>563.57721784682008</c:v>
                </c:pt>
                <c:pt idx="276">
                  <c:v>565.17152964012416</c:v>
                </c:pt>
                <c:pt idx="277">
                  <c:v>566.75640379516176</c:v>
                </c:pt>
                <c:pt idx="278">
                  <c:v>568.33181812723433</c:v>
                </c:pt>
                <c:pt idx="279">
                  <c:v>569.89775215340683</c:v>
                </c:pt>
                <c:pt idx="280">
                  <c:v>571.45418707620229</c:v>
                </c:pt>
                <c:pt idx="281">
                  <c:v>573.0011057666585</c:v>
                </c:pt>
                <c:pt idx="282">
                  <c:v>574.53849274678157</c:v>
                </c:pt>
                <c:pt idx="283">
                  <c:v>576.06633417142893</c:v>
                </c:pt>
                <c:pt idx="284">
                  <c:v>577.5846178096532</c:v>
                </c:pt>
                <c:pt idx="285">
                  <c:v>579.09333302553898</c:v>
                </c:pt>
                <c:pt idx="286">
                  <c:v>580.59247075856365</c:v>
                </c:pt>
                <c:pt idx="287">
                  <c:v>582.08202350351098</c:v>
                </c:pt>
                <c:pt idx="288">
                  <c:v>583.56198528996788</c:v>
                </c:pt>
                <c:pt idx="289">
                  <c:v>585.03235166143236</c:v>
                </c:pt>
                <c:pt idx="290">
                  <c:v>586.49311965406048</c:v>
                </c:pt>
                <c:pt idx="291">
                  <c:v>587.94428777507972</c:v>
                </c:pt>
                <c:pt idx="292">
                  <c:v>589.38585598089549</c:v>
                </c:pt>
                <c:pt idx="293">
                  <c:v>590.81782565491585</c:v>
                </c:pt>
                <c:pt idx="294">
                  <c:v>592.24019958512031</c:v>
                </c:pt>
                <c:pt idx="295">
                  <c:v>593.65298194139666</c:v>
                </c:pt>
                <c:pt idx="296">
                  <c:v>595.05617825267018</c:v>
                </c:pt>
                <c:pt idx="297">
                  <c:v>596.44979538384791</c:v>
                </c:pt>
                <c:pt idx="298">
                  <c:v>597.8338415126002</c:v>
                </c:pt>
                <c:pt idx="299">
                  <c:v>599.20832610600246</c:v>
                </c:pt>
                <c:pt idx="300">
                  <c:v>600.5732598970568</c:v>
                </c:pt>
                <c:pt idx="301">
                  <c:v>601.92865486111532</c:v>
                </c:pt>
                <c:pt idx="302">
                  <c:v>603.27452419222402</c:v>
                </c:pt>
                <c:pt idx="303">
                  <c:v>604.61088227940741</c:v>
                </c:pt>
                <c:pt idx="304">
                  <c:v>605.93774468291144</c:v>
                </c:pt>
                <c:pt idx="305">
                  <c:v>607.25512811042347</c:v>
                </c:pt>
                <c:pt idx="306">
                  <c:v>608.56305039328663</c:v>
                </c:pt>
                <c:pt idx="307">
                  <c:v>609.86153046272455</c:v>
                </c:pt>
                <c:pt idx="308">
                  <c:v>611.15058832609361</c:v>
                </c:pt>
                <c:pt idx="309">
                  <c:v>612.43024504317759</c:v>
                </c:pt>
                <c:pt idx="310">
                  <c:v>613.70052270253996</c:v>
                </c:pt>
                <c:pt idx="311">
                  <c:v>614.9614443979475</c:v>
                </c:pt>
                <c:pt idx="312">
                  <c:v>616.2130342048805</c:v>
                </c:pt>
                <c:pt idx="313">
                  <c:v>617.45531715714128</c:v>
                </c:pt>
                <c:pt idx="314">
                  <c:v>618.68831922357424</c:v>
                </c:pt>
                <c:pt idx="315">
                  <c:v>619.91206728490988</c:v>
                </c:pt>
                <c:pt idx="316">
                  <c:v>621.12658911074402</c:v>
                </c:pt>
                <c:pt idx="317">
                  <c:v>622.33191333666286</c:v>
                </c:pt>
                <c:pt idx="318">
                  <c:v>623.52806944152564</c:v>
                </c:pt>
                <c:pt idx="319">
                  <c:v>624.71508772491359</c:v>
                </c:pt>
                <c:pt idx="320">
                  <c:v>625.89299928475532</c:v>
                </c:pt>
                <c:pt idx="321">
                  <c:v>627.0618359951377</c:v>
                </c:pt>
                <c:pt idx="322">
                  <c:v>628.22163048431059</c:v>
                </c:pt>
                <c:pt idx="323">
                  <c:v>629.37241611289369</c:v>
                </c:pt>
                <c:pt idx="324">
                  <c:v>630.51422695229257</c:v>
                </c:pt>
                <c:pt idx="325">
                  <c:v>631.64709776333223</c:v>
                </c:pt>
                <c:pt idx="326">
                  <c:v>632.77106397511318</c:v>
                </c:pt>
                <c:pt idx="327">
                  <c:v>633.88616166409815</c:v>
                </c:pt>
                <c:pt idx="328">
                  <c:v>634.99242753343435</c:v>
                </c:pt>
                <c:pt idx="329">
                  <c:v>636.0898988925162</c:v>
                </c:pt>
                <c:pt idx="330">
                  <c:v>637.17861363679503</c:v>
                </c:pt>
                <c:pt idx="331">
                  <c:v>638.25861022783965</c:v>
                </c:pt>
                <c:pt idx="332">
                  <c:v>639.3299276736517</c:v>
                </c:pt>
                <c:pt idx="333">
                  <c:v>640.39260550924075</c:v>
                </c:pt>
                <c:pt idx="334">
                  <c:v>641.44668377746189</c:v>
                </c:pt>
                <c:pt idx="335">
                  <c:v>642.49220301011951</c:v>
                </c:pt>
                <c:pt idx="336">
                  <c:v>643.52920420934049</c:v>
                </c:pt>
                <c:pt idx="337">
                  <c:v>644.55772882921826</c:v>
                </c:pt>
                <c:pt idx="338">
                  <c:v>645.57781875773173</c:v>
                </c:pt>
                <c:pt idx="339">
                  <c:v>646.58951629893954</c:v>
                </c:pt>
                <c:pt idx="340">
                  <c:v>647.5928641554525</c:v>
                </c:pt>
                <c:pt idx="341">
                  <c:v>648.58790541118492</c:v>
                </c:pt>
                <c:pt idx="342">
                  <c:v>649.57468351438638</c:v>
                </c:pt>
                <c:pt idx="343">
                  <c:v>650.55324226095468</c:v>
                </c:pt>
                <c:pt idx="344">
                  <c:v>651.52362577803103</c:v>
                </c:pt>
                <c:pt idx="345">
                  <c:v>652.48587850787715</c:v>
                </c:pt>
                <c:pt idx="346">
                  <c:v>653.44004519203554</c:v>
                </c:pt>
                <c:pt idx="347">
                  <c:v>654.38617085577187</c:v>
                </c:pt>
                <c:pt idx="348">
                  <c:v>655.32430079279948</c:v>
                </c:pt>
                <c:pt idx="349">
                  <c:v>656.25448055028687</c:v>
                </c:pt>
                <c:pt idx="350">
                  <c:v>657.17675591414513</c:v>
                </c:pt>
                <c:pt idx="351">
                  <c:v>658.09117289459698</c:v>
                </c:pt>
                <c:pt idx="352">
                  <c:v>658.99777771202446</c:v>
                </c:pt>
                <c:pt idx="353">
                  <c:v>659.89661678309562</c:v>
                </c:pt>
                <c:pt idx="354">
                  <c:v>660.78773670716782</c:v>
                </c:pt>
                <c:pt idx="355">
                  <c:v>661.67118425296701</c:v>
                </c:pt>
                <c:pt idx="356">
                  <c:v>662.54700634554069</c:v>
                </c:pt>
                <c:pt idx="357">
                  <c:v>663.41525005348319</c:v>
                </c:pt>
                <c:pt idx="358">
                  <c:v>664.2759625764312</c:v>
                </c:pt>
                <c:pt idx="359">
                  <c:v>665.12919123282825</c:v>
                </c:pt>
                <c:pt idx="360">
                  <c:v>665.97498344795451</c:v>
                </c:pt>
                <c:pt idx="361">
                  <c:v>666.8133867422215</c:v>
                </c:pt>
                <c:pt idx="362">
                  <c:v>667.64444871972819</c:v>
                </c:pt>
                <c:pt idx="363">
                  <c:v>668.46821705707623</c:v>
                </c:pt>
                <c:pt idx="364">
                  <c:v>669.28473949244233</c:v>
                </c:pt>
                <c:pt idx="365">
                  <c:v>670.09406381490476</c:v>
                </c:pt>
                <c:pt idx="366">
                  <c:v>670.89623785402148</c:v>
                </c:pt>
                <c:pt idx="367">
                  <c:v>671.69130946965663</c:v>
                </c:pt>
                <c:pt idx="368">
                  <c:v>672.47932654205385</c:v>
                </c:pt>
                <c:pt idx="369">
                  <c:v>673.26033696215222</c:v>
                </c:pt>
                <c:pt idx="370">
                  <c:v>674.03438862214227</c:v>
                </c:pt>
                <c:pt idx="371">
                  <c:v>674.80152940625987</c:v>
                </c:pt>
                <c:pt idx="372">
                  <c:v>675.56180718181395</c:v>
                </c:pt>
                <c:pt idx="373">
                  <c:v>676.31526979044531</c:v>
                </c:pt>
                <c:pt idx="374">
                  <c:v>677.06196503961394</c:v>
                </c:pt>
                <c:pt idx="375">
                  <c:v>677.8019406943107</c:v>
                </c:pt>
                <c:pt idx="376">
                  <c:v>678.53524446899166</c:v>
                </c:pt>
                <c:pt idx="377">
                  <c:v>678.53524446899166</c:v>
                </c:pt>
                <c:pt idx="378">
                  <c:v>678.53524446899166</c:v>
                </c:pt>
                <c:pt idx="379">
                  <c:v>678.53524446899166</c:v>
                </c:pt>
                <c:pt idx="380">
                  <c:v>678.53524446899166</c:v>
                </c:pt>
                <c:pt idx="381">
                  <c:v>678.53524446899166</c:v>
                </c:pt>
                <c:pt idx="382">
                  <c:v>678.53524446899166</c:v>
                </c:pt>
                <c:pt idx="383">
                  <c:v>678.53524446899166</c:v>
                </c:pt>
                <c:pt idx="384">
                  <c:v>678.53524446899166</c:v>
                </c:pt>
                <c:pt idx="385">
                  <c:v>678.53524446899166</c:v>
                </c:pt>
                <c:pt idx="386">
                  <c:v>678.53524446899166</c:v>
                </c:pt>
                <c:pt idx="387">
                  <c:v>678.53524446899166</c:v>
                </c:pt>
                <c:pt idx="388">
                  <c:v>678.53524446899166</c:v>
                </c:pt>
                <c:pt idx="389">
                  <c:v>678.53524446899166</c:v>
                </c:pt>
                <c:pt idx="390">
                  <c:v>678.53524446899166</c:v>
                </c:pt>
                <c:pt idx="391">
                  <c:v>678.53524446899166</c:v>
                </c:pt>
                <c:pt idx="392">
                  <c:v>678.53524446899166</c:v>
                </c:pt>
                <c:pt idx="393">
                  <c:v>678.53524446899166</c:v>
                </c:pt>
                <c:pt idx="394">
                  <c:v>678.53524446899166</c:v>
                </c:pt>
                <c:pt idx="395">
                  <c:v>678.53524446899166</c:v>
                </c:pt>
                <c:pt idx="396">
                  <c:v>678.53524446899166</c:v>
                </c:pt>
                <c:pt idx="397">
                  <c:v>678.53524446899166</c:v>
                </c:pt>
                <c:pt idx="398">
                  <c:v>678.53524446899166</c:v>
                </c:pt>
                <c:pt idx="399">
                  <c:v>678.53524446899166</c:v>
                </c:pt>
                <c:pt idx="400">
                  <c:v>678.53524446899166</c:v>
                </c:pt>
                <c:pt idx="401">
                  <c:v>678.53524446899166</c:v>
                </c:pt>
                <c:pt idx="402">
                  <c:v>678.53524446899166</c:v>
                </c:pt>
                <c:pt idx="403">
                  <c:v>678.53524446899166</c:v>
                </c:pt>
                <c:pt idx="404">
                  <c:v>678.53524446899166</c:v>
                </c:pt>
                <c:pt idx="405">
                  <c:v>678.53524446899166</c:v>
                </c:pt>
                <c:pt idx="406">
                  <c:v>678.53524446899166</c:v>
                </c:pt>
                <c:pt idx="407">
                  <c:v>678.53524446899166</c:v>
                </c:pt>
                <c:pt idx="408">
                  <c:v>678.53524446899166</c:v>
                </c:pt>
                <c:pt idx="409">
                  <c:v>678.53524446899166</c:v>
                </c:pt>
                <c:pt idx="410">
                  <c:v>678.53524446899166</c:v>
                </c:pt>
                <c:pt idx="411">
                  <c:v>678.53524446899166</c:v>
                </c:pt>
                <c:pt idx="412">
                  <c:v>678.53524446899166</c:v>
                </c:pt>
                <c:pt idx="413">
                  <c:v>678.53524446899166</c:v>
                </c:pt>
                <c:pt idx="414">
                  <c:v>678.53524446899166</c:v>
                </c:pt>
                <c:pt idx="415">
                  <c:v>678.53524446899166</c:v>
                </c:pt>
                <c:pt idx="416">
                  <c:v>678.53524446899166</c:v>
                </c:pt>
                <c:pt idx="417">
                  <c:v>678.53524446899166</c:v>
                </c:pt>
                <c:pt idx="418">
                  <c:v>678.53524446899166</c:v>
                </c:pt>
                <c:pt idx="419">
                  <c:v>678.53524446899166</c:v>
                </c:pt>
                <c:pt idx="420">
                  <c:v>678.53524446899166</c:v>
                </c:pt>
                <c:pt idx="421">
                  <c:v>678.53524446899166</c:v>
                </c:pt>
                <c:pt idx="422">
                  <c:v>678.53524446899166</c:v>
                </c:pt>
                <c:pt idx="423">
                  <c:v>678.53524446899166</c:v>
                </c:pt>
                <c:pt idx="424">
                  <c:v>678.53524446899166</c:v>
                </c:pt>
                <c:pt idx="425">
                  <c:v>678.53524446899166</c:v>
                </c:pt>
                <c:pt idx="426">
                  <c:v>678.53524446899166</c:v>
                </c:pt>
                <c:pt idx="427">
                  <c:v>678.53524446899166</c:v>
                </c:pt>
                <c:pt idx="428">
                  <c:v>678.53524446899166</c:v>
                </c:pt>
                <c:pt idx="429">
                  <c:v>678.53524446899166</c:v>
                </c:pt>
                <c:pt idx="430">
                  <c:v>678.53524446899166</c:v>
                </c:pt>
                <c:pt idx="431">
                  <c:v>678.53524446899166</c:v>
                </c:pt>
                <c:pt idx="432">
                  <c:v>678.53524446899166</c:v>
                </c:pt>
                <c:pt idx="433">
                  <c:v>678.53524446899166</c:v>
                </c:pt>
                <c:pt idx="434">
                  <c:v>678.53524446899166</c:v>
                </c:pt>
                <c:pt idx="435">
                  <c:v>678.53524446899166</c:v>
                </c:pt>
                <c:pt idx="436">
                  <c:v>678.53524446899166</c:v>
                </c:pt>
                <c:pt idx="437">
                  <c:v>678.53524446899166</c:v>
                </c:pt>
                <c:pt idx="438">
                  <c:v>678.53524446899166</c:v>
                </c:pt>
                <c:pt idx="439">
                  <c:v>678.53524446899166</c:v>
                </c:pt>
                <c:pt idx="440">
                  <c:v>678.53524446899166</c:v>
                </c:pt>
                <c:pt idx="441">
                  <c:v>678.53524446899166</c:v>
                </c:pt>
                <c:pt idx="442">
                  <c:v>678.53524446899166</c:v>
                </c:pt>
                <c:pt idx="443">
                  <c:v>678.53524446899166</c:v>
                </c:pt>
                <c:pt idx="444">
                  <c:v>678.53524446899166</c:v>
                </c:pt>
                <c:pt idx="445">
                  <c:v>678.53524446899166</c:v>
                </c:pt>
                <c:pt idx="446">
                  <c:v>678.53524446899166</c:v>
                </c:pt>
                <c:pt idx="447">
                  <c:v>678.53524446899166</c:v>
                </c:pt>
                <c:pt idx="448">
                  <c:v>678.53524446899166</c:v>
                </c:pt>
                <c:pt idx="449">
                  <c:v>678.53524446899166</c:v>
                </c:pt>
                <c:pt idx="450">
                  <c:v>678.53524446899166</c:v>
                </c:pt>
                <c:pt idx="451">
                  <c:v>678.53524446899166</c:v>
                </c:pt>
                <c:pt idx="452">
                  <c:v>678.53524446899166</c:v>
                </c:pt>
                <c:pt idx="453">
                  <c:v>678.53524446899166</c:v>
                </c:pt>
                <c:pt idx="454">
                  <c:v>678.53524446899166</c:v>
                </c:pt>
                <c:pt idx="455">
                  <c:v>678.53524446899166</c:v>
                </c:pt>
                <c:pt idx="456">
                  <c:v>678.53524446899166</c:v>
                </c:pt>
                <c:pt idx="457">
                  <c:v>678.53524446899166</c:v>
                </c:pt>
                <c:pt idx="458">
                  <c:v>678.53524446899166</c:v>
                </c:pt>
                <c:pt idx="459">
                  <c:v>678.53524446899166</c:v>
                </c:pt>
                <c:pt idx="460">
                  <c:v>678.53524446899166</c:v>
                </c:pt>
                <c:pt idx="461">
                  <c:v>678.53524446899166</c:v>
                </c:pt>
                <c:pt idx="462">
                  <c:v>678.53524446899166</c:v>
                </c:pt>
                <c:pt idx="463">
                  <c:v>678.53524446899166</c:v>
                </c:pt>
                <c:pt idx="464">
                  <c:v>678.53524446899166</c:v>
                </c:pt>
                <c:pt idx="465">
                  <c:v>678.53524446899166</c:v>
                </c:pt>
                <c:pt idx="466">
                  <c:v>678.53524446899166</c:v>
                </c:pt>
                <c:pt idx="467">
                  <c:v>678.53524446899166</c:v>
                </c:pt>
                <c:pt idx="468">
                  <c:v>678.53524446899166</c:v>
                </c:pt>
                <c:pt idx="469">
                  <c:v>678.53524446899166</c:v>
                </c:pt>
                <c:pt idx="470">
                  <c:v>678.53524446899166</c:v>
                </c:pt>
                <c:pt idx="471">
                  <c:v>678.53524446899166</c:v>
                </c:pt>
                <c:pt idx="472">
                  <c:v>678.53524446899166</c:v>
                </c:pt>
                <c:pt idx="473">
                  <c:v>678.53524446899166</c:v>
                </c:pt>
                <c:pt idx="474">
                  <c:v>678.53524446899166</c:v>
                </c:pt>
                <c:pt idx="475">
                  <c:v>678.53524446899166</c:v>
                </c:pt>
                <c:pt idx="476">
                  <c:v>678.53524446899166</c:v>
                </c:pt>
                <c:pt idx="477">
                  <c:v>678.53524446899166</c:v>
                </c:pt>
                <c:pt idx="478">
                  <c:v>678.53524446899166</c:v>
                </c:pt>
                <c:pt idx="479">
                  <c:v>678.53524446899166</c:v>
                </c:pt>
                <c:pt idx="480">
                  <c:v>678.53524446899166</c:v>
                </c:pt>
                <c:pt idx="481">
                  <c:v>678.53524446899166</c:v>
                </c:pt>
                <c:pt idx="482">
                  <c:v>678.53524446899166</c:v>
                </c:pt>
                <c:pt idx="483">
                  <c:v>678.53524446899166</c:v>
                </c:pt>
                <c:pt idx="484">
                  <c:v>678.53524446899166</c:v>
                </c:pt>
                <c:pt idx="485">
                  <c:v>678.53524446899166</c:v>
                </c:pt>
                <c:pt idx="486">
                  <c:v>678.53524446899166</c:v>
                </c:pt>
                <c:pt idx="487">
                  <c:v>678.53524446899166</c:v>
                </c:pt>
                <c:pt idx="488">
                  <c:v>678.53524446899166</c:v>
                </c:pt>
                <c:pt idx="489">
                  <c:v>678.53524446899166</c:v>
                </c:pt>
                <c:pt idx="490">
                  <c:v>678.53524446899166</c:v>
                </c:pt>
                <c:pt idx="491">
                  <c:v>678.53524446899166</c:v>
                </c:pt>
                <c:pt idx="492">
                  <c:v>678.53524446899166</c:v>
                </c:pt>
                <c:pt idx="493">
                  <c:v>678.53524446899166</c:v>
                </c:pt>
                <c:pt idx="494">
                  <c:v>678.53524446899166</c:v>
                </c:pt>
                <c:pt idx="495">
                  <c:v>678.53524446899166</c:v>
                </c:pt>
                <c:pt idx="496">
                  <c:v>678.53524446899166</c:v>
                </c:pt>
                <c:pt idx="497">
                  <c:v>678.53524446899166</c:v>
                </c:pt>
                <c:pt idx="498">
                  <c:v>678.53524446899166</c:v>
                </c:pt>
                <c:pt idx="499">
                  <c:v>678.53524446899166</c:v>
                </c:pt>
                <c:pt idx="500">
                  <c:v>678.53524446899166</c:v>
                </c:pt>
                <c:pt idx="501">
                  <c:v>678.53524446899166</c:v>
                </c:pt>
                <c:pt idx="502">
                  <c:v>678.53524446899166</c:v>
                </c:pt>
                <c:pt idx="503">
                  <c:v>678.53524446899166</c:v>
                </c:pt>
                <c:pt idx="504">
                  <c:v>678.53524446899166</c:v>
                </c:pt>
                <c:pt idx="505">
                  <c:v>678.53524446899166</c:v>
                </c:pt>
                <c:pt idx="506">
                  <c:v>678.53524446899166</c:v>
                </c:pt>
                <c:pt idx="507">
                  <c:v>678.53524446899166</c:v>
                </c:pt>
                <c:pt idx="508">
                  <c:v>678.53524446899166</c:v>
                </c:pt>
                <c:pt idx="509">
                  <c:v>678.53524446899166</c:v>
                </c:pt>
                <c:pt idx="510">
                  <c:v>678.53524446899166</c:v>
                </c:pt>
                <c:pt idx="511">
                  <c:v>678.53524446899166</c:v>
                </c:pt>
                <c:pt idx="512">
                  <c:v>678.53524446899166</c:v>
                </c:pt>
                <c:pt idx="513">
                  <c:v>678.53524446899166</c:v>
                </c:pt>
                <c:pt idx="514">
                  <c:v>678.53524446899166</c:v>
                </c:pt>
                <c:pt idx="515">
                  <c:v>678.53524446899166</c:v>
                </c:pt>
                <c:pt idx="516">
                  <c:v>678.53524446899166</c:v>
                </c:pt>
                <c:pt idx="517">
                  <c:v>678.53524446899166</c:v>
                </c:pt>
                <c:pt idx="518">
                  <c:v>678.53524446899166</c:v>
                </c:pt>
                <c:pt idx="519">
                  <c:v>678.53524446899166</c:v>
                </c:pt>
                <c:pt idx="520">
                  <c:v>678.53524446899166</c:v>
                </c:pt>
                <c:pt idx="521">
                  <c:v>678.53524446899166</c:v>
                </c:pt>
                <c:pt idx="522">
                  <c:v>678.53524446899166</c:v>
                </c:pt>
                <c:pt idx="523">
                  <c:v>678.53524446899166</c:v>
                </c:pt>
                <c:pt idx="524">
                  <c:v>678.53524446899166</c:v>
                </c:pt>
                <c:pt idx="525">
                  <c:v>678.53524446899166</c:v>
                </c:pt>
                <c:pt idx="526">
                  <c:v>678.53524446899166</c:v>
                </c:pt>
                <c:pt idx="527">
                  <c:v>678.53524446899166</c:v>
                </c:pt>
                <c:pt idx="528">
                  <c:v>678.53524446899166</c:v>
                </c:pt>
                <c:pt idx="529">
                  <c:v>678.53524446899166</c:v>
                </c:pt>
                <c:pt idx="530">
                  <c:v>678.53524446899166</c:v>
                </c:pt>
                <c:pt idx="531">
                  <c:v>678.53524446899166</c:v>
                </c:pt>
                <c:pt idx="532">
                  <c:v>678.53524446899166</c:v>
                </c:pt>
                <c:pt idx="533">
                  <c:v>678.53524446899166</c:v>
                </c:pt>
                <c:pt idx="534">
                  <c:v>678.53524446899166</c:v>
                </c:pt>
                <c:pt idx="535">
                  <c:v>678.53524446899166</c:v>
                </c:pt>
                <c:pt idx="536">
                  <c:v>678.53524446899166</c:v>
                </c:pt>
                <c:pt idx="537">
                  <c:v>678.53524446899166</c:v>
                </c:pt>
                <c:pt idx="538">
                  <c:v>678.53524446899166</c:v>
                </c:pt>
                <c:pt idx="539">
                  <c:v>678.53524446899166</c:v>
                </c:pt>
                <c:pt idx="540">
                  <c:v>678.53524446899166</c:v>
                </c:pt>
                <c:pt idx="541">
                  <c:v>678.53524446899166</c:v>
                </c:pt>
                <c:pt idx="542">
                  <c:v>678.53524446899166</c:v>
                </c:pt>
                <c:pt idx="543">
                  <c:v>678.53524446899166</c:v>
                </c:pt>
                <c:pt idx="544">
                  <c:v>678.53524446899166</c:v>
                </c:pt>
                <c:pt idx="545">
                  <c:v>678.53524446899166</c:v>
                </c:pt>
                <c:pt idx="546">
                  <c:v>678.53524446899166</c:v>
                </c:pt>
                <c:pt idx="547">
                  <c:v>678.53524446899166</c:v>
                </c:pt>
                <c:pt idx="548">
                  <c:v>678.53524446899166</c:v>
                </c:pt>
                <c:pt idx="549">
                  <c:v>678.53524446899166</c:v>
                </c:pt>
                <c:pt idx="550">
                  <c:v>678.53524446899166</c:v>
                </c:pt>
                <c:pt idx="551">
                  <c:v>678.53524446899166</c:v>
                </c:pt>
                <c:pt idx="552">
                  <c:v>678.53524446899166</c:v>
                </c:pt>
                <c:pt idx="553">
                  <c:v>678.53524446899166</c:v>
                </c:pt>
                <c:pt idx="554">
                  <c:v>678.53524446899166</c:v>
                </c:pt>
                <c:pt idx="555">
                  <c:v>678.53524446899166</c:v>
                </c:pt>
                <c:pt idx="556">
                  <c:v>678.53524446899166</c:v>
                </c:pt>
                <c:pt idx="557">
                  <c:v>678.53524446899166</c:v>
                </c:pt>
                <c:pt idx="558">
                  <c:v>678.53524446899166</c:v>
                </c:pt>
                <c:pt idx="559">
                  <c:v>678.53524446899166</c:v>
                </c:pt>
                <c:pt idx="560">
                  <c:v>678.53524446899166</c:v>
                </c:pt>
                <c:pt idx="561">
                  <c:v>678.53524446899166</c:v>
                </c:pt>
                <c:pt idx="562">
                  <c:v>678.53524446899166</c:v>
                </c:pt>
                <c:pt idx="563">
                  <c:v>678.53524446899166</c:v>
                </c:pt>
                <c:pt idx="564">
                  <c:v>678.53524446899166</c:v>
                </c:pt>
                <c:pt idx="565">
                  <c:v>678.53524446899166</c:v>
                </c:pt>
                <c:pt idx="566">
                  <c:v>678.53524446899166</c:v>
                </c:pt>
                <c:pt idx="567">
                  <c:v>678.53524446899166</c:v>
                </c:pt>
                <c:pt idx="568">
                  <c:v>678.53524446899166</c:v>
                </c:pt>
                <c:pt idx="569">
                  <c:v>678.53524446899166</c:v>
                </c:pt>
                <c:pt idx="570">
                  <c:v>678.53524446899166</c:v>
                </c:pt>
                <c:pt idx="571">
                  <c:v>678.53524446899166</c:v>
                </c:pt>
                <c:pt idx="572">
                  <c:v>678.53524446899166</c:v>
                </c:pt>
                <c:pt idx="573">
                  <c:v>678.53524446899166</c:v>
                </c:pt>
                <c:pt idx="574">
                  <c:v>678.53524446899166</c:v>
                </c:pt>
                <c:pt idx="575">
                  <c:v>678.53524446899166</c:v>
                </c:pt>
                <c:pt idx="576">
                  <c:v>678.53524446899166</c:v>
                </c:pt>
                <c:pt idx="577">
                  <c:v>678.53524446899166</c:v>
                </c:pt>
                <c:pt idx="578">
                  <c:v>678.53524446899166</c:v>
                </c:pt>
                <c:pt idx="579">
                  <c:v>678.53524446899166</c:v>
                </c:pt>
                <c:pt idx="580">
                  <c:v>678.53524446899166</c:v>
                </c:pt>
                <c:pt idx="581">
                  <c:v>678.53524446899166</c:v>
                </c:pt>
                <c:pt idx="582">
                  <c:v>678.53524446899166</c:v>
                </c:pt>
                <c:pt idx="583">
                  <c:v>678.53524446899166</c:v>
                </c:pt>
                <c:pt idx="584">
                  <c:v>678.53524446899166</c:v>
                </c:pt>
                <c:pt idx="585">
                  <c:v>678.53524446899166</c:v>
                </c:pt>
                <c:pt idx="586">
                  <c:v>678.53524446899166</c:v>
                </c:pt>
                <c:pt idx="587">
                  <c:v>678.53524446899166</c:v>
                </c:pt>
                <c:pt idx="588">
                  <c:v>678.53524446899166</c:v>
                </c:pt>
                <c:pt idx="589">
                  <c:v>678.53524446899166</c:v>
                </c:pt>
                <c:pt idx="590">
                  <c:v>678.53524446899166</c:v>
                </c:pt>
                <c:pt idx="591">
                  <c:v>678.53524446899166</c:v>
                </c:pt>
                <c:pt idx="592">
                  <c:v>678.53524446899166</c:v>
                </c:pt>
                <c:pt idx="593">
                  <c:v>678.53524446899166</c:v>
                </c:pt>
                <c:pt idx="594">
                  <c:v>678.53524446899166</c:v>
                </c:pt>
                <c:pt idx="595">
                  <c:v>678.53524446899166</c:v>
                </c:pt>
                <c:pt idx="596">
                  <c:v>678.53524446899166</c:v>
                </c:pt>
                <c:pt idx="597">
                  <c:v>678.53524446899166</c:v>
                </c:pt>
                <c:pt idx="598">
                  <c:v>678.53524446899166</c:v>
                </c:pt>
                <c:pt idx="599">
                  <c:v>678.53524446899166</c:v>
                </c:pt>
                <c:pt idx="600">
                  <c:v>678.53524446899166</c:v>
                </c:pt>
                <c:pt idx="601">
                  <c:v>678.53524446899166</c:v>
                </c:pt>
                <c:pt idx="602">
                  <c:v>678.53524446899166</c:v>
                </c:pt>
                <c:pt idx="603">
                  <c:v>678.53524446899166</c:v>
                </c:pt>
                <c:pt idx="604">
                  <c:v>678.53524446899166</c:v>
                </c:pt>
                <c:pt idx="605">
                  <c:v>678.53524446899166</c:v>
                </c:pt>
                <c:pt idx="606">
                  <c:v>678.53524446899166</c:v>
                </c:pt>
                <c:pt idx="607">
                  <c:v>678.53524446899166</c:v>
                </c:pt>
                <c:pt idx="608">
                  <c:v>678.53524446899166</c:v>
                </c:pt>
                <c:pt idx="609">
                  <c:v>678.53524446899166</c:v>
                </c:pt>
                <c:pt idx="610">
                  <c:v>678.53524446899166</c:v>
                </c:pt>
                <c:pt idx="611">
                  <c:v>678.53524446899166</c:v>
                </c:pt>
                <c:pt idx="612">
                  <c:v>678.53524446899166</c:v>
                </c:pt>
                <c:pt idx="613">
                  <c:v>678.53524446899166</c:v>
                </c:pt>
                <c:pt idx="614">
                  <c:v>678.53524446899166</c:v>
                </c:pt>
                <c:pt idx="615">
                  <c:v>678.53524446899166</c:v>
                </c:pt>
                <c:pt idx="616">
                  <c:v>678.53524446899166</c:v>
                </c:pt>
                <c:pt idx="617">
                  <c:v>678.53524446899166</c:v>
                </c:pt>
                <c:pt idx="618">
                  <c:v>678.53524446899166</c:v>
                </c:pt>
                <c:pt idx="619">
                  <c:v>678.53524446899166</c:v>
                </c:pt>
                <c:pt idx="620">
                  <c:v>678.53524446899166</c:v>
                </c:pt>
                <c:pt idx="621">
                  <c:v>678.53524446899166</c:v>
                </c:pt>
                <c:pt idx="622">
                  <c:v>678.53524446899166</c:v>
                </c:pt>
                <c:pt idx="623">
                  <c:v>678.53524446899166</c:v>
                </c:pt>
                <c:pt idx="624">
                  <c:v>678.53524446899166</c:v>
                </c:pt>
                <c:pt idx="625">
                  <c:v>678.53524446899166</c:v>
                </c:pt>
                <c:pt idx="626">
                  <c:v>678.53524446899166</c:v>
                </c:pt>
                <c:pt idx="627">
                  <c:v>678.53524446899166</c:v>
                </c:pt>
                <c:pt idx="628">
                  <c:v>678.53524446899166</c:v>
                </c:pt>
                <c:pt idx="629">
                  <c:v>678.53524446899166</c:v>
                </c:pt>
                <c:pt idx="630">
                  <c:v>678.53524446899166</c:v>
                </c:pt>
                <c:pt idx="631">
                  <c:v>678.53524446899166</c:v>
                </c:pt>
                <c:pt idx="632">
                  <c:v>678.53524446899166</c:v>
                </c:pt>
                <c:pt idx="633">
                  <c:v>678.53524446899166</c:v>
                </c:pt>
                <c:pt idx="634">
                  <c:v>678.53524446899166</c:v>
                </c:pt>
                <c:pt idx="635">
                  <c:v>678.53524446899166</c:v>
                </c:pt>
                <c:pt idx="636">
                  <c:v>678.53524446899166</c:v>
                </c:pt>
                <c:pt idx="637">
                  <c:v>678.53524446899166</c:v>
                </c:pt>
                <c:pt idx="638">
                  <c:v>678.53524446899166</c:v>
                </c:pt>
                <c:pt idx="639">
                  <c:v>678.53524446899166</c:v>
                </c:pt>
                <c:pt idx="640">
                  <c:v>678.53524446899166</c:v>
                </c:pt>
                <c:pt idx="641">
                  <c:v>678.53524446899166</c:v>
                </c:pt>
                <c:pt idx="642">
                  <c:v>678.53524446899166</c:v>
                </c:pt>
                <c:pt idx="643">
                  <c:v>678.53524446899166</c:v>
                </c:pt>
                <c:pt idx="644">
                  <c:v>678.53524446899166</c:v>
                </c:pt>
                <c:pt idx="645">
                  <c:v>678.53524446899166</c:v>
                </c:pt>
                <c:pt idx="646">
                  <c:v>678.53524446899166</c:v>
                </c:pt>
                <c:pt idx="647">
                  <c:v>678.53524446899166</c:v>
                </c:pt>
                <c:pt idx="648">
                  <c:v>678.53524446899166</c:v>
                </c:pt>
                <c:pt idx="649">
                  <c:v>678.53524446899166</c:v>
                </c:pt>
                <c:pt idx="650">
                  <c:v>678.53524446899166</c:v>
                </c:pt>
                <c:pt idx="651">
                  <c:v>678.53524446899166</c:v>
                </c:pt>
                <c:pt idx="652">
                  <c:v>678.53524446899166</c:v>
                </c:pt>
                <c:pt idx="653">
                  <c:v>678.53524446899166</c:v>
                </c:pt>
                <c:pt idx="654">
                  <c:v>678.53524446899166</c:v>
                </c:pt>
                <c:pt idx="655">
                  <c:v>678.53524446899166</c:v>
                </c:pt>
                <c:pt idx="656">
                  <c:v>678.53524446899166</c:v>
                </c:pt>
                <c:pt idx="657">
                  <c:v>678.53524446899166</c:v>
                </c:pt>
                <c:pt idx="658">
                  <c:v>678.53524446899166</c:v>
                </c:pt>
                <c:pt idx="659">
                  <c:v>678.53524446899166</c:v>
                </c:pt>
                <c:pt idx="660">
                  <c:v>678.53524446899166</c:v>
                </c:pt>
                <c:pt idx="661">
                  <c:v>678.53524446899166</c:v>
                </c:pt>
                <c:pt idx="662">
                  <c:v>678.53524446899166</c:v>
                </c:pt>
                <c:pt idx="663">
                  <c:v>678.53524446899166</c:v>
                </c:pt>
                <c:pt idx="664">
                  <c:v>678.53524446899166</c:v>
                </c:pt>
                <c:pt idx="665">
                  <c:v>678.53524446899166</c:v>
                </c:pt>
                <c:pt idx="666">
                  <c:v>678.53524446899166</c:v>
                </c:pt>
                <c:pt idx="667">
                  <c:v>678.53524446899166</c:v>
                </c:pt>
                <c:pt idx="668">
                  <c:v>678.53524446899166</c:v>
                </c:pt>
                <c:pt idx="669">
                  <c:v>678.53524446899166</c:v>
                </c:pt>
                <c:pt idx="670">
                  <c:v>678.53524446899166</c:v>
                </c:pt>
                <c:pt idx="671">
                  <c:v>678.53524446899166</c:v>
                </c:pt>
                <c:pt idx="672">
                  <c:v>678.53524446899166</c:v>
                </c:pt>
                <c:pt idx="673">
                  <c:v>678.53524446899166</c:v>
                </c:pt>
                <c:pt idx="674">
                  <c:v>678.53524446899166</c:v>
                </c:pt>
                <c:pt idx="675">
                  <c:v>678.53524446899166</c:v>
                </c:pt>
                <c:pt idx="676">
                  <c:v>678.53524446899166</c:v>
                </c:pt>
                <c:pt idx="677">
                  <c:v>678.53524446899166</c:v>
                </c:pt>
                <c:pt idx="678">
                  <c:v>678.53524446899166</c:v>
                </c:pt>
                <c:pt idx="679">
                  <c:v>678.53524446899166</c:v>
                </c:pt>
                <c:pt idx="680">
                  <c:v>678.53524446899166</c:v>
                </c:pt>
                <c:pt idx="681">
                  <c:v>678.53524446899166</c:v>
                </c:pt>
                <c:pt idx="682">
                  <c:v>678.53524446899166</c:v>
                </c:pt>
                <c:pt idx="683">
                  <c:v>678.53524446899166</c:v>
                </c:pt>
                <c:pt idx="684">
                  <c:v>678.53524446899166</c:v>
                </c:pt>
                <c:pt idx="685">
                  <c:v>678.53524446899166</c:v>
                </c:pt>
                <c:pt idx="686">
                  <c:v>678.53524446899166</c:v>
                </c:pt>
                <c:pt idx="687">
                  <c:v>678.53524446899166</c:v>
                </c:pt>
                <c:pt idx="688">
                  <c:v>678.53524446899166</c:v>
                </c:pt>
                <c:pt idx="689">
                  <c:v>678.53524446899166</c:v>
                </c:pt>
                <c:pt idx="690">
                  <c:v>678.53524446899166</c:v>
                </c:pt>
                <c:pt idx="691">
                  <c:v>678.53524446899166</c:v>
                </c:pt>
                <c:pt idx="692">
                  <c:v>678.53524446899166</c:v>
                </c:pt>
                <c:pt idx="693">
                  <c:v>678.53524446899166</c:v>
                </c:pt>
                <c:pt idx="694">
                  <c:v>678.53524446899166</c:v>
                </c:pt>
                <c:pt idx="695">
                  <c:v>678.53524446899166</c:v>
                </c:pt>
                <c:pt idx="696">
                  <c:v>678.53524446899166</c:v>
                </c:pt>
                <c:pt idx="697">
                  <c:v>678.53524446899166</c:v>
                </c:pt>
                <c:pt idx="698">
                  <c:v>678.53524446899166</c:v>
                </c:pt>
                <c:pt idx="699">
                  <c:v>678.53524446899166</c:v>
                </c:pt>
                <c:pt idx="700">
                  <c:v>678.53524446899166</c:v>
                </c:pt>
                <c:pt idx="701">
                  <c:v>678.53524446899166</c:v>
                </c:pt>
                <c:pt idx="702">
                  <c:v>678.53524446899166</c:v>
                </c:pt>
                <c:pt idx="703">
                  <c:v>678.53524446899166</c:v>
                </c:pt>
                <c:pt idx="704">
                  <c:v>678.53524446899166</c:v>
                </c:pt>
                <c:pt idx="705">
                  <c:v>678.53524446899166</c:v>
                </c:pt>
                <c:pt idx="706">
                  <c:v>678.53524446899166</c:v>
                </c:pt>
                <c:pt idx="707">
                  <c:v>678.53524446899166</c:v>
                </c:pt>
                <c:pt idx="708">
                  <c:v>678.53524446899166</c:v>
                </c:pt>
                <c:pt idx="709">
                  <c:v>678.53524446899166</c:v>
                </c:pt>
                <c:pt idx="710">
                  <c:v>678.53524446899166</c:v>
                </c:pt>
                <c:pt idx="711">
                  <c:v>678.53524446899166</c:v>
                </c:pt>
                <c:pt idx="712">
                  <c:v>678.53524446899166</c:v>
                </c:pt>
                <c:pt idx="713">
                  <c:v>678.53524446899166</c:v>
                </c:pt>
                <c:pt idx="714">
                  <c:v>678.53524446899166</c:v>
                </c:pt>
                <c:pt idx="715">
                  <c:v>678.53524446899166</c:v>
                </c:pt>
                <c:pt idx="716">
                  <c:v>678.53524446899166</c:v>
                </c:pt>
                <c:pt idx="717">
                  <c:v>678.53524446899166</c:v>
                </c:pt>
                <c:pt idx="718">
                  <c:v>678.53524446899166</c:v>
                </c:pt>
                <c:pt idx="719">
                  <c:v>678.53524446899166</c:v>
                </c:pt>
                <c:pt idx="720">
                  <c:v>678.53524446899166</c:v>
                </c:pt>
                <c:pt idx="721">
                  <c:v>678.53524446899166</c:v>
                </c:pt>
                <c:pt idx="722">
                  <c:v>678.53524446899166</c:v>
                </c:pt>
                <c:pt idx="723">
                  <c:v>678.53524446899166</c:v>
                </c:pt>
                <c:pt idx="724">
                  <c:v>678.53524446899166</c:v>
                </c:pt>
                <c:pt idx="725">
                  <c:v>678.53524446899166</c:v>
                </c:pt>
                <c:pt idx="726">
                  <c:v>678.53524446899166</c:v>
                </c:pt>
                <c:pt idx="727">
                  <c:v>678.53524446899166</c:v>
                </c:pt>
                <c:pt idx="728">
                  <c:v>678.53524446899166</c:v>
                </c:pt>
                <c:pt idx="729">
                  <c:v>678.53524446899166</c:v>
                </c:pt>
                <c:pt idx="730">
                  <c:v>678.53524446899166</c:v>
                </c:pt>
                <c:pt idx="731">
                  <c:v>678.53524446899166</c:v>
                </c:pt>
                <c:pt idx="732">
                  <c:v>678.53524446899166</c:v>
                </c:pt>
                <c:pt idx="733">
                  <c:v>678.53524446899166</c:v>
                </c:pt>
                <c:pt idx="734">
                  <c:v>678.53524446899166</c:v>
                </c:pt>
                <c:pt idx="735">
                  <c:v>678.53524446899166</c:v>
                </c:pt>
                <c:pt idx="736">
                  <c:v>678.53524446899166</c:v>
                </c:pt>
                <c:pt idx="737">
                  <c:v>678.53524446899166</c:v>
                </c:pt>
                <c:pt idx="738">
                  <c:v>678.53524446899166</c:v>
                </c:pt>
                <c:pt idx="739">
                  <c:v>678.53524446899166</c:v>
                </c:pt>
                <c:pt idx="740">
                  <c:v>678.53524446899166</c:v>
                </c:pt>
                <c:pt idx="741">
                  <c:v>678.53524446899166</c:v>
                </c:pt>
                <c:pt idx="742">
                  <c:v>678.53524446899166</c:v>
                </c:pt>
                <c:pt idx="743">
                  <c:v>678.53524446899166</c:v>
                </c:pt>
                <c:pt idx="744">
                  <c:v>678.53524446899166</c:v>
                </c:pt>
                <c:pt idx="745">
                  <c:v>678.53524446899166</c:v>
                </c:pt>
                <c:pt idx="746">
                  <c:v>678.53524446899166</c:v>
                </c:pt>
                <c:pt idx="747">
                  <c:v>678.53524446899166</c:v>
                </c:pt>
                <c:pt idx="748">
                  <c:v>678.53524446899166</c:v>
                </c:pt>
                <c:pt idx="749">
                  <c:v>678.53524446899166</c:v>
                </c:pt>
                <c:pt idx="750">
                  <c:v>678.53524446899166</c:v>
                </c:pt>
                <c:pt idx="751">
                  <c:v>678.53524446899166</c:v>
                </c:pt>
                <c:pt idx="752">
                  <c:v>678.53524446899166</c:v>
                </c:pt>
                <c:pt idx="753">
                  <c:v>678.53524446899166</c:v>
                </c:pt>
                <c:pt idx="754">
                  <c:v>678.53524446899166</c:v>
                </c:pt>
                <c:pt idx="755">
                  <c:v>678.53524446899166</c:v>
                </c:pt>
                <c:pt idx="756">
                  <c:v>678.53524446899166</c:v>
                </c:pt>
                <c:pt idx="757">
                  <c:v>678.53524446899166</c:v>
                </c:pt>
                <c:pt idx="758">
                  <c:v>678.53524446899166</c:v>
                </c:pt>
                <c:pt idx="759">
                  <c:v>678.53524446899166</c:v>
                </c:pt>
                <c:pt idx="760">
                  <c:v>678.53524446899166</c:v>
                </c:pt>
                <c:pt idx="761">
                  <c:v>678.53524446899166</c:v>
                </c:pt>
                <c:pt idx="762">
                  <c:v>678.53524446899166</c:v>
                </c:pt>
                <c:pt idx="763">
                  <c:v>678.53524446899166</c:v>
                </c:pt>
                <c:pt idx="764">
                  <c:v>678.53524446899166</c:v>
                </c:pt>
                <c:pt idx="765">
                  <c:v>678.53524446899166</c:v>
                </c:pt>
                <c:pt idx="766">
                  <c:v>678.53524446899166</c:v>
                </c:pt>
                <c:pt idx="767">
                  <c:v>678.53524446899166</c:v>
                </c:pt>
                <c:pt idx="768">
                  <c:v>678.53524446899166</c:v>
                </c:pt>
                <c:pt idx="769">
                  <c:v>678.53524446899166</c:v>
                </c:pt>
                <c:pt idx="770">
                  <c:v>678.53524446899166</c:v>
                </c:pt>
                <c:pt idx="771">
                  <c:v>678.53524446899166</c:v>
                </c:pt>
                <c:pt idx="772">
                  <c:v>678.53524446899166</c:v>
                </c:pt>
                <c:pt idx="773">
                  <c:v>678.53524446899166</c:v>
                </c:pt>
                <c:pt idx="774">
                  <c:v>678.53524446899166</c:v>
                </c:pt>
                <c:pt idx="775">
                  <c:v>678.53524446899166</c:v>
                </c:pt>
                <c:pt idx="776">
                  <c:v>678.53524446899166</c:v>
                </c:pt>
                <c:pt idx="777">
                  <c:v>678.53524446899166</c:v>
                </c:pt>
                <c:pt idx="778">
                  <c:v>678.53524446899166</c:v>
                </c:pt>
                <c:pt idx="779">
                  <c:v>678.53524446899166</c:v>
                </c:pt>
                <c:pt idx="780">
                  <c:v>678.53524446899166</c:v>
                </c:pt>
                <c:pt idx="781">
                  <c:v>678.53524446899166</c:v>
                </c:pt>
                <c:pt idx="782">
                  <c:v>678.53524446899166</c:v>
                </c:pt>
                <c:pt idx="783">
                  <c:v>678.53524446899166</c:v>
                </c:pt>
                <c:pt idx="784">
                  <c:v>678.53524446899166</c:v>
                </c:pt>
                <c:pt idx="785">
                  <c:v>678.53524446899166</c:v>
                </c:pt>
                <c:pt idx="786">
                  <c:v>678.53524446899166</c:v>
                </c:pt>
                <c:pt idx="787">
                  <c:v>678.53524446899166</c:v>
                </c:pt>
                <c:pt idx="788">
                  <c:v>678.53524446899166</c:v>
                </c:pt>
                <c:pt idx="789">
                  <c:v>678.53524446899166</c:v>
                </c:pt>
                <c:pt idx="790">
                  <c:v>678.53524446899166</c:v>
                </c:pt>
                <c:pt idx="791">
                  <c:v>678.53524446899166</c:v>
                </c:pt>
                <c:pt idx="792">
                  <c:v>678.53524446899166</c:v>
                </c:pt>
                <c:pt idx="793">
                  <c:v>678.53524446899166</c:v>
                </c:pt>
                <c:pt idx="794">
                  <c:v>678.53524446899166</c:v>
                </c:pt>
                <c:pt idx="795">
                  <c:v>678.53524446899166</c:v>
                </c:pt>
                <c:pt idx="796">
                  <c:v>678.53524446899166</c:v>
                </c:pt>
                <c:pt idx="797">
                  <c:v>678.53524446899166</c:v>
                </c:pt>
                <c:pt idx="798">
                  <c:v>678.53524446899166</c:v>
                </c:pt>
                <c:pt idx="799">
                  <c:v>678.53524446899166</c:v>
                </c:pt>
                <c:pt idx="800">
                  <c:v>678.53524446899166</c:v>
                </c:pt>
                <c:pt idx="801">
                  <c:v>678.53524446899166</c:v>
                </c:pt>
                <c:pt idx="802">
                  <c:v>678.53524446899166</c:v>
                </c:pt>
                <c:pt idx="803">
                  <c:v>678.53524446899166</c:v>
                </c:pt>
                <c:pt idx="804">
                  <c:v>678.53524446899166</c:v>
                </c:pt>
                <c:pt idx="805">
                  <c:v>678.53524446899166</c:v>
                </c:pt>
                <c:pt idx="806">
                  <c:v>678.53524446899166</c:v>
                </c:pt>
                <c:pt idx="807">
                  <c:v>678.53524446899166</c:v>
                </c:pt>
                <c:pt idx="808">
                  <c:v>678.53524446899166</c:v>
                </c:pt>
                <c:pt idx="809">
                  <c:v>678.53524446899166</c:v>
                </c:pt>
                <c:pt idx="810">
                  <c:v>678.53524446899166</c:v>
                </c:pt>
                <c:pt idx="811">
                  <c:v>678.53524446899166</c:v>
                </c:pt>
                <c:pt idx="812">
                  <c:v>678.53524446899166</c:v>
                </c:pt>
                <c:pt idx="813">
                  <c:v>678.53524446899166</c:v>
                </c:pt>
                <c:pt idx="814">
                  <c:v>678.53524446899166</c:v>
                </c:pt>
                <c:pt idx="815">
                  <c:v>678.53524446899166</c:v>
                </c:pt>
                <c:pt idx="816">
                  <c:v>678.53524446899166</c:v>
                </c:pt>
                <c:pt idx="817">
                  <c:v>678.53524446899166</c:v>
                </c:pt>
                <c:pt idx="818">
                  <c:v>678.53524446899166</c:v>
                </c:pt>
                <c:pt idx="819">
                  <c:v>678.53524446899166</c:v>
                </c:pt>
                <c:pt idx="820">
                  <c:v>678.53524446899166</c:v>
                </c:pt>
                <c:pt idx="821">
                  <c:v>678.53524446899166</c:v>
                </c:pt>
                <c:pt idx="822">
                  <c:v>678.53524446899166</c:v>
                </c:pt>
                <c:pt idx="823">
                  <c:v>678.53524446899166</c:v>
                </c:pt>
                <c:pt idx="824">
                  <c:v>678.53524446899166</c:v>
                </c:pt>
                <c:pt idx="825">
                  <c:v>678.53524446899166</c:v>
                </c:pt>
                <c:pt idx="826">
                  <c:v>678.53524446899166</c:v>
                </c:pt>
                <c:pt idx="827">
                  <c:v>678.53524446899166</c:v>
                </c:pt>
                <c:pt idx="828">
                  <c:v>678.53524446899166</c:v>
                </c:pt>
                <c:pt idx="829">
                  <c:v>678.53524446899166</c:v>
                </c:pt>
                <c:pt idx="830">
                  <c:v>678.53524446899166</c:v>
                </c:pt>
                <c:pt idx="831">
                  <c:v>678.53524446899166</c:v>
                </c:pt>
                <c:pt idx="832">
                  <c:v>678.53524446899166</c:v>
                </c:pt>
                <c:pt idx="833">
                  <c:v>678.53524446899166</c:v>
                </c:pt>
                <c:pt idx="834">
                  <c:v>678.53524446899166</c:v>
                </c:pt>
                <c:pt idx="835">
                  <c:v>678.53524446899166</c:v>
                </c:pt>
                <c:pt idx="836">
                  <c:v>678.53524446899166</c:v>
                </c:pt>
                <c:pt idx="837">
                  <c:v>678.53524446899166</c:v>
                </c:pt>
                <c:pt idx="838">
                  <c:v>678.53524446899166</c:v>
                </c:pt>
                <c:pt idx="839">
                  <c:v>678.53524446899166</c:v>
                </c:pt>
                <c:pt idx="840">
                  <c:v>678.53524446899166</c:v>
                </c:pt>
                <c:pt idx="841">
                  <c:v>678.53524446899166</c:v>
                </c:pt>
                <c:pt idx="842">
                  <c:v>678.53524446899166</c:v>
                </c:pt>
                <c:pt idx="843">
                  <c:v>678.53524446899166</c:v>
                </c:pt>
                <c:pt idx="844">
                  <c:v>678.53524446899166</c:v>
                </c:pt>
                <c:pt idx="845">
                  <c:v>678.53524446899166</c:v>
                </c:pt>
                <c:pt idx="846">
                  <c:v>678.53524446899166</c:v>
                </c:pt>
                <c:pt idx="847">
                  <c:v>678.53524446899166</c:v>
                </c:pt>
                <c:pt idx="848">
                  <c:v>678.53524446899166</c:v>
                </c:pt>
                <c:pt idx="849">
                  <c:v>678.53524446899166</c:v>
                </c:pt>
                <c:pt idx="850">
                  <c:v>678.53524446899166</c:v>
                </c:pt>
                <c:pt idx="851">
                  <c:v>678.53524446899166</c:v>
                </c:pt>
                <c:pt idx="852">
                  <c:v>678.53524446899166</c:v>
                </c:pt>
                <c:pt idx="853">
                  <c:v>678.53524446899166</c:v>
                </c:pt>
                <c:pt idx="854">
                  <c:v>678.53524446899166</c:v>
                </c:pt>
                <c:pt idx="855">
                  <c:v>678.53524446899166</c:v>
                </c:pt>
                <c:pt idx="856">
                  <c:v>678.53524446899166</c:v>
                </c:pt>
                <c:pt idx="857">
                  <c:v>678.53524446899166</c:v>
                </c:pt>
                <c:pt idx="858">
                  <c:v>678.53524446899166</c:v>
                </c:pt>
                <c:pt idx="859">
                  <c:v>678.53524446899166</c:v>
                </c:pt>
                <c:pt idx="860">
                  <c:v>678.53524446899166</c:v>
                </c:pt>
                <c:pt idx="861">
                  <c:v>678.53524446899166</c:v>
                </c:pt>
                <c:pt idx="862">
                  <c:v>678.53524446899166</c:v>
                </c:pt>
                <c:pt idx="863">
                  <c:v>678.53524446899166</c:v>
                </c:pt>
                <c:pt idx="864">
                  <c:v>678.53524446899166</c:v>
                </c:pt>
                <c:pt idx="865">
                  <c:v>678.53524446899166</c:v>
                </c:pt>
                <c:pt idx="866">
                  <c:v>678.53524446899166</c:v>
                </c:pt>
                <c:pt idx="867">
                  <c:v>678.53524446899166</c:v>
                </c:pt>
                <c:pt idx="868">
                  <c:v>678.53524446899166</c:v>
                </c:pt>
                <c:pt idx="869">
                  <c:v>678.53524446899166</c:v>
                </c:pt>
                <c:pt idx="870">
                  <c:v>678.53524446899166</c:v>
                </c:pt>
                <c:pt idx="871">
                  <c:v>678.53524446899166</c:v>
                </c:pt>
                <c:pt idx="872">
                  <c:v>678.53524446899166</c:v>
                </c:pt>
                <c:pt idx="873">
                  <c:v>678.53524446899166</c:v>
                </c:pt>
                <c:pt idx="874">
                  <c:v>678.53524446899166</c:v>
                </c:pt>
                <c:pt idx="875">
                  <c:v>678.53524446899166</c:v>
                </c:pt>
                <c:pt idx="876">
                  <c:v>678.53524446899166</c:v>
                </c:pt>
                <c:pt idx="877">
                  <c:v>678.53524446899166</c:v>
                </c:pt>
                <c:pt idx="878">
                  <c:v>678.53524446899166</c:v>
                </c:pt>
                <c:pt idx="879">
                  <c:v>678.53524446899166</c:v>
                </c:pt>
                <c:pt idx="880">
                  <c:v>678.53524446899166</c:v>
                </c:pt>
                <c:pt idx="881">
                  <c:v>678.53524446899166</c:v>
                </c:pt>
                <c:pt idx="882">
                  <c:v>678.53524446899166</c:v>
                </c:pt>
                <c:pt idx="883">
                  <c:v>678.53524446899166</c:v>
                </c:pt>
                <c:pt idx="884">
                  <c:v>678.53524446899166</c:v>
                </c:pt>
                <c:pt idx="885">
                  <c:v>678.53524446899166</c:v>
                </c:pt>
                <c:pt idx="886">
                  <c:v>678.53524446899166</c:v>
                </c:pt>
                <c:pt idx="887">
                  <c:v>678.53524446899166</c:v>
                </c:pt>
                <c:pt idx="888">
                  <c:v>678.53524446899166</c:v>
                </c:pt>
                <c:pt idx="889">
                  <c:v>678.53524446899166</c:v>
                </c:pt>
                <c:pt idx="890">
                  <c:v>678.53524446899166</c:v>
                </c:pt>
                <c:pt idx="891">
                  <c:v>678.53524446899166</c:v>
                </c:pt>
                <c:pt idx="892">
                  <c:v>678.53524446899166</c:v>
                </c:pt>
                <c:pt idx="893">
                  <c:v>678.53524446899166</c:v>
                </c:pt>
                <c:pt idx="894">
                  <c:v>678.53524446899166</c:v>
                </c:pt>
                <c:pt idx="895">
                  <c:v>678.53524446899166</c:v>
                </c:pt>
                <c:pt idx="896">
                  <c:v>678.53524446899166</c:v>
                </c:pt>
                <c:pt idx="897">
                  <c:v>678.53524446899166</c:v>
                </c:pt>
                <c:pt idx="898">
                  <c:v>678.53524446899166</c:v>
                </c:pt>
                <c:pt idx="899">
                  <c:v>678.53524446899166</c:v>
                </c:pt>
                <c:pt idx="900">
                  <c:v>678.53524446899166</c:v>
                </c:pt>
                <c:pt idx="901">
                  <c:v>678.53524446899166</c:v>
                </c:pt>
                <c:pt idx="902">
                  <c:v>678.53524446899166</c:v>
                </c:pt>
                <c:pt idx="903">
                  <c:v>678.53524446899166</c:v>
                </c:pt>
                <c:pt idx="904">
                  <c:v>678.53524446899166</c:v>
                </c:pt>
                <c:pt idx="905">
                  <c:v>678.53524446899166</c:v>
                </c:pt>
                <c:pt idx="906">
                  <c:v>678.53524446899166</c:v>
                </c:pt>
                <c:pt idx="907">
                  <c:v>678.53524446899166</c:v>
                </c:pt>
                <c:pt idx="908">
                  <c:v>678.53524446899166</c:v>
                </c:pt>
                <c:pt idx="909">
                  <c:v>678.53524446899166</c:v>
                </c:pt>
                <c:pt idx="910">
                  <c:v>678.53524446899166</c:v>
                </c:pt>
                <c:pt idx="911">
                  <c:v>678.53524446899166</c:v>
                </c:pt>
                <c:pt idx="912">
                  <c:v>678.53524446899166</c:v>
                </c:pt>
                <c:pt idx="913">
                  <c:v>678.53524446899166</c:v>
                </c:pt>
                <c:pt idx="914">
                  <c:v>678.53524446899166</c:v>
                </c:pt>
                <c:pt idx="915">
                  <c:v>678.53524446899166</c:v>
                </c:pt>
                <c:pt idx="916">
                  <c:v>678.53524446899166</c:v>
                </c:pt>
                <c:pt idx="917">
                  <c:v>678.53524446899166</c:v>
                </c:pt>
                <c:pt idx="918">
                  <c:v>678.53524446899166</c:v>
                </c:pt>
                <c:pt idx="919">
                  <c:v>678.53524446899166</c:v>
                </c:pt>
                <c:pt idx="920">
                  <c:v>678.53524446899166</c:v>
                </c:pt>
                <c:pt idx="921">
                  <c:v>678.53524446899166</c:v>
                </c:pt>
                <c:pt idx="922">
                  <c:v>678.53524446899166</c:v>
                </c:pt>
                <c:pt idx="923">
                  <c:v>678.53524446899166</c:v>
                </c:pt>
                <c:pt idx="924">
                  <c:v>678.53524446899166</c:v>
                </c:pt>
                <c:pt idx="925">
                  <c:v>678.53524446899166</c:v>
                </c:pt>
                <c:pt idx="926">
                  <c:v>678.53524446899166</c:v>
                </c:pt>
                <c:pt idx="927">
                  <c:v>678.53524446899166</c:v>
                </c:pt>
                <c:pt idx="928">
                  <c:v>678.53524446899166</c:v>
                </c:pt>
                <c:pt idx="929">
                  <c:v>678.53524446899166</c:v>
                </c:pt>
                <c:pt idx="930">
                  <c:v>678.53524446899166</c:v>
                </c:pt>
                <c:pt idx="931">
                  <c:v>678.53524446899166</c:v>
                </c:pt>
                <c:pt idx="932">
                  <c:v>678.53524446899166</c:v>
                </c:pt>
                <c:pt idx="933">
                  <c:v>678.53524446899166</c:v>
                </c:pt>
                <c:pt idx="934">
                  <c:v>678.53524446899166</c:v>
                </c:pt>
                <c:pt idx="935">
                  <c:v>678.53524446899166</c:v>
                </c:pt>
                <c:pt idx="936">
                  <c:v>678.53524446899166</c:v>
                </c:pt>
                <c:pt idx="937">
                  <c:v>678.53524446899166</c:v>
                </c:pt>
                <c:pt idx="938">
                  <c:v>678.53524446899166</c:v>
                </c:pt>
                <c:pt idx="939">
                  <c:v>678.53524446899166</c:v>
                </c:pt>
                <c:pt idx="940">
                  <c:v>678.53524446899166</c:v>
                </c:pt>
                <c:pt idx="941">
                  <c:v>678.53524446899166</c:v>
                </c:pt>
                <c:pt idx="942">
                  <c:v>678.53524446899166</c:v>
                </c:pt>
                <c:pt idx="943">
                  <c:v>678.53524446899166</c:v>
                </c:pt>
                <c:pt idx="944">
                  <c:v>678.53524446899166</c:v>
                </c:pt>
                <c:pt idx="945">
                  <c:v>678.53524446899166</c:v>
                </c:pt>
                <c:pt idx="946">
                  <c:v>678.53524446899166</c:v>
                </c:pt>
                <c:pt idx="947">
                  <c:v>678.53524446899166</c:v>
                </c:pt>
                <c:pt idx="948">
                  <c:v>678.53524446899166</c:v>
                </c:pt>
                <c:pt idx="949">
                  <c:v>678.53524446899166</c:v>
                </c:pt>
                <c:pt idx="950">
                  <c:v>678.53524446899166</c:v>
                </c:pt>
                <c:pt idx="951">
                  <c:v>678.53524446899166</c:v>
                </c:pt>
                <c:pt idx="952">
                  <c:v>678.53524446899166</c:v>
                </c:pt>
                <c:pt idx="953">
                  <c:v>678.53524446899166</c:v>
                </c:pt>
                <c:pt idx="954">
                  <c:v>678.53524446899166</c:v>
                </c:pt>
                <c:pt idx="955">
                  <c:v>678.53524446899166</c:v>
                </c:pt>
                <c:pt idx="956">
                  <c:v>678.53524446899166</c:v>
                </c:pt>
                <c:pt idx="957">
                  <c:v>678.53524446899166</c:v>
                </c:pt>
                <c:pt idx="958">
                  <c:v>678.53524446899166</c:v>
                </c:pt>
                <c:pt idx="959">
                  <c:v>678.53524446899166</c:v>
                </c:pt>
                <c:pt idx="960">
                  <c:v>678.53524446899166</c:v>
                </c:pt>
                <c:pt idx="961">
                  <c:v>678.53524446899166</c:v>
                </c:pt>
                <c:pt idx="962">
                  <c:v>678.53524446899166</c:v>
                </c:pt>
                <c:pt idx="963">
                  <c:v>678.53524446899166</c:v>
                </c:pt>
                <c:pt idx="964">
                  <c:v>678.53524446899166</c:v>
                </c:pt>
                <c:pt idx="965">
                  <c:v>678.53524446899166</c:v>
                </c:pt>
                <c:pt idx="966">
                  <c:v>678.53524446899166</c:v>
                </c:pt>
                <c:pt idx="967">
                  <c:v>678.53524446899166</c:v>
                </c:pt>
                <c:pt idx="968">
                  <c:v>678.53524446899166</c:v>
                </c:pt>
                <c:pt idx="969">
                  <c:v>678.53524446899166</c:v>
                </c:pt>
                <c:pt idx="970">
                  <c:v>678.53524446899166</c:v>
                </c:pt>
                <c:pt idx="971">
                  <c:v>678.53524446899166</c:v>
                </c:pt>
                <c:pt idx="972">
                  <c:v>678.53524446899166</c:v>
                </c:pt>
                <c:pt idx="973">
                  <c:v>678.53524446899166</c:v>
                </c:pt>
                <c:pt idx="974">
                  <c:v>678.53524446899166</c:v>
                </c:pt>
                <c:pt idx="975">
                  <c:v>678.53524446899166</c:v>
                </c:pt>
                <c:pt idx="976">
                  <c:v>678.53524446899166</c:v>
                </c:pt>
                <c:pt idx="977">
                  <c:v>678.53524446899166</c:v>
                </c:pt>
                <c:pt idx="978">
                  <c:v>678.53524446899166</c:v>
                </c:pt>
                <c:pt idx="979">
                  <c:v>678.53524446899166</c:v>
                </c:pt>
                <c:pt idx="980">
                  <c:v>678.53524446899166</c:v>
                </c:pt>
                <c:pt idx="981">
                  <c:v>678.53524446899166</c:v>
                </c:pt>
                <c:pt idx="982">
                  <c:v>678.53524446899166</c:v>
                </c:pt>
                <c:pt idx="983">
                  <c:v>678.53524446899166</c:v>
                </c:pt>
                <c:pt idx="984">
                  <c:v>678.53524446899166</c:v>
                </c:pt>
                <c:pt idx="985">
                  <c:v>678.53524446899166</c:v>
                </c:pt>
                <c:pt idx="986">
                  <c:v>678.53524446899166</c:v>
                </c:pt>
                <c:pt idx="987">
                  <c:v>678.53524446899166</c:v>
                </c:pt>
                <c:pt idx="988">
                  <c:v>678.53524446899166</c:v>
                </c:pt>
                <c:pt idx="989">
                  <c:v>678.53524446899166</c:v>
                </c:pt>
                <c:pt idx="990">
                  <c:v>678.53524446899166</c:v>
                </c:pt>
                <c:pt idx="991">
                  <c:v>678.53524446899166</c:v>
                </c:pt>
                <c:pt idx="992">
                  <c:v>678.53524446899166</c:v>
                </c:pt>
                <c:pt idx="993">
                  <c:v>678.53524446899166</c:v>
                </c:pt>
                <c:pt idx="994">
                  <c:v>678.53524446899166</c:v>
                </c:pt>
                <c:pt idx="995">
                  <c:v>678.53524446899166</c:v>
                </c:pt>
                <c:pt idx="996">
                  <c:v>678.53524446899166</c:v>
                </c:pt>
                <c:pt idx="997">
                  <c:v>678.53524446899166</c:v>
                </c:pt>
                <c:pt idx="998">
                  <c:v>678.53524446899166</c:v>
                </c:pt>
                <c:pt idx="999">
                  <c:v>678.53524446899166</c:v>
                </c:pt>
                <c:pt idx="1000">
                  <c:v>678.53524446899166</c:v>
                </c:pt>
              </c:numCache>
            </c:numRef>
          </c:xVal>
          <c:yVal>
            <c:numRef>
              <c:f>Calculs!$AE$4:$AE$1004</c:f>
              <c:numCache>
                <c:formatCode>0</c:formatCode>
                <c:ptCount val="1001"/>
                <c:pt idx="0">
                  <c:v>570.20506866099674</c:v>
                </c:pt>
                <c:pt idx="1">
                  <c:v>571.70180485420815</c:v>
                </c:pt>
                <c:pt idx="2">
                  <c:v>573.19555889131561</c:v>
                </c:pt>
                <c:pt idx="3">
                  <c:v>574.6863389760498</c:v>
                </c:pt>
                <c:pt idx="4">
                  <c:v>576.17415327135552</c:v>
                </c:pt>
                <c:pt idx="5">
                  <c:v>577.65900989965996</c:v>
                </c:pt>
                <c:pt idx="6">
                  <c:v>579.14091694313913</c:v>
                </c:pt>
                <c:pt idx="7">
                  <c:v>580.6198824439814</c:v>
                </c:pt>
                <c:pt idx="8">
                  <c:v>582.09591440464942</c:v>
                </c:pt>
                <c:pt idx="9">
                  <c:v>583.56902078813982</c:v>
                </c:pt>
                <c:pt idx="10">
                  <c:v>585.03920951824068</c:v>
                </c:pt>
                <c:pt idx="11">
                  <c:v>586.50648846886315</c:v>
                </c:pt>
                <c:pt idx="12">
                  <c:v>587.97086545361992</c:v>
                </c:pt>
                <c:pt idx="13">
                  <c:v>589.43234823749185</c:v>
                </c:pt>
                <c:pt idx="14">
                  <c:v>590.89094454823828</c:v>
                </c:pt>
                <c:pt idx="15">
                  <c:v>592.34666207663042</c:v>
                </c:pt>
                <c:pt idx="16">
                  <c:v>593.7995084766826</c:v>
                </c:pt>
                <c:pt idx="17">
                  <c:v>595.24949136588236</c:v>
                </c:pt>
                <c:pt idx="18">
                  <c:v>596.69661832541772</c:v>
                </c:pt>
                <c:pt idx="19">
                  <c:v>598.14089690040373</c:v>
                </c:pt>
                <c:pt idx="20">
                  <c:v>599.58233460010649</c:v>
                </c:pt>
                <c:pt idx="21">
                  <c:v>601.02093890362949</c:v>
                </c:pt>
                <c:pt idx="22">
                  <c:v>602.45671726547835</c:v>
                </c:pt>
                <c:pt idx="23">
                  <c:v>603.88967711007933</c:v>
                </c:pt>
                <c:pt idx="24">
                  <c:v>605.31982582641808</c:v>
                </c:pt>
                <c:pt idx="25">
                  <c:v>606.74717076826209</c:v>
                </c:pt>
                <c:pt idx="26">
                  <c:v>608.17171925438083</c:v>
                </c:pt>
                <c:pt idx="27">
                  <c:v>609.59347856876457</c:v>
                </c:pt>
                <c:pt idx="28">
                  <c:v>611.01245596084152</c:v>
                </c:pt>
                <c:pt idx="29">
                  <c:v>612.42865864569285</c:v>
                </c:pt>
                <c:pt idx="30">
                  <c:v>613.84209380426614</c:v>
                </c:pt>
                <c:pt idx="31">
                  <c:v>615.25276858358757</c:v>
                </c:pt>
                <c:pt idx="32">
                  <c:v>616.66069009697196</c:v>
                </c:pt>
                <c:pt idx="33">
                  <c:v>618.06586542423133</c:v>
                </c:pt>
                <c:pt idx="34">
                  <c:v>619.468301611882</c:v>
                </c:pt>
                <c:pt idx="35">
                  <c:v>620.86800567334967</c:v>
                </c:pt>
                <c:pt idx="36">
                  <c:v>622.26498458917342</c:v>
                </c:pt>
                <c:pt idx="37">
                  <c:v>623.6592453072077</c:v>
                </c:pt>
                <c:pt idx="38">
                  <c:v>625.05079474282297</c:v>
                </c:pt>
                <c:pt idx="39">
                  <c:v>626.43963977910482</c:v>
                </c:pt>
                <c:pt idx="40">
                  <c:v>627.82578726705128</c:v>
                </c:pt>
                <c:pt idx="41">
                  <c:v>629.20924402576895</c:v>
                </c:pt>
                <c:pt idx="42">
                  <c:v>630.5900168426673</c:v>
                </c:pt>
                <c:pt idx="43">
                  <c:v>631.96811247365179</c:v>
                </c:pt>
                <c:pt idx="44">
                  <c:v>633.34353764331524</c:v>
                </c:pt>
                <c:pt idx="45">
                  <c:v>634.71629904512793</c:v>
                </c:pt>
                <c:pt idx="46">
                  <c:v>636.08640334162612</c:v>
                </c:pt>
                <c:pt idx="47">
                  <c:v>637.45385716459896</c:v>
                </c:pt>
                <c:pt idx="48">
                  <c:v>638.81866711527448</c:v>
                </c:pt>
                <c:pt idx="49">
                  <c:v>640.18083976450373</c:v>
                </c:pt>
                <c:pt idx="50">
                  <c:v>641.54038165294355</c:v>
                </c:pt>
                <c:pt idx="51">
                  <c:v>642.89729929123826</c:v>
                </c:pt>
                <c:pt idx="52">
                  <c:v>644.25159916019936</c:v>
                </c:pt>
                <c:pt idx="53">
                  <c:v>645.60328771098477</c:v>
                </c:pt>
                <c:pt idx="54">
                  <c:v>646.95237136527589</c:v>
                </c:pt>
                <c:pt idx="55">
                  <c:v>648.29885651545351</c:v>
                </c:pt>
                <c:pt idx="56">
                  <c:v>649.64274952477285</c:v>
                </c:pt>
                <c:pt idx="57">
                  <c:v>650.98405672753677</c:v>
                </c:pt>
                <c:pt idx="58">
                  <c:v>652.32278442926781</c:v>
                </c:pt>
                <c:pt idx="59">
                  <c:v>653.65893890687914</c:v>
                </c:pt>
                <c:pt idx="60">
                  <c:v>654.9925264088439</c:v>
                </c:pt>
                <c:pt idx="61">
                  <c:v>656.32355315536358</c:v>
                </c:pt>
                <c:pt idx="62">
                  <c:v>657.65202533853494</c:v>
                </c:pt>
                <c:pt idx="63">
                  <c:v>658.97794912251584</c:v>
                </c:pt>
                <c:pt idx="64">
                  <c:v>660.30133064368943</c:v>
                </c:pt>
                <c:pt idx="65">
                  <c:v>661.62217601082773</c:v>
                </c:pt>
                <c:pt idx="66">
                  <c:v>662.94049130525377</c:v>
                </c:pt>
                <c:pt idx="67">
                  <c:v>664.25628258100221</c:v>
                </c:pt>
                <c:pt idx="68">
                  <c:v>665.56955586497907</c:v>
                </c:pt>
                <c:pt idx="69">
                  <c:v>666.8803171571202</c:v>
                </c:pt>
                <c:pt idx="70">
                  <c:v>668.18857243054867</c:v>
                </c:pt>
                <c:pt idx="71">
                  <c:v>669.49432763173104</c:v>
                </c:pt>
                <c:pt idx="72">
                  <c:v>670.79758868063209</c:v>
                </c:pt>
                <c:pt idx="73">
                  <c:v>672.09836147086878</c:v>
                </c:pt>
                <c:pt idx="74">
                  <c:v>673.39665186986304</c:v>
                </c:pt>
                <c:pt idx="75">
                  <c:v>674.6924657189935</c:v>
                </c:pt>
                <c:pt idx="76">
                  <c:v>675.98580883374575</c:v>
                </c:pt>
                <c:pt idx="77">
                  <c:v>677.27668700386187</c:v>
                </c:pt>
                <c:pt idx="78">
                  <c:v>678.56510599348883</c:v>
                </c:pt>
                <c:pt idx="79">
                  <c:v>679.8510715413255</c:v>
                </c:pt>
                <c:pt idx="80">
                  <c:v>681.13458936076893</c:v>
                </c:pt>
                <c:pt idx="81">
                  <c:v>682.41566514005956</c:v>
                </c:pt>
                <c:pt idx="82">
                  <c:v>683.69430454242513</c:v>
                </c:pt>
                <c:pt idx="83">
                  <c:v>684.9705132062237</c:v>
                </c:pt>
                <c:pt idx="84">
                  <c:v>686.24429674508565</c:v>
                </c:pt>
                <c:pt idx="85">
                  <c:v>687.51566074805453</c:v>
                </c:pt>
                <c:pt idx="86">
                  <c:v>688.78461077972702</c:v>
                </c:pt>
                <c:pt idx="87">
                  <c:v>690.05115238039207</c:v>
                </c:pt>
                <c:pt idx="88">
                  <c:v>691.31529106616847</c:v>
                </c:pt>
                <c:pt idx="89">
                  <c:v>692.57703232914184</c:v>
                </c:pt>
                <c:pt idx="90">
                  <c:v>693.83638163750084</c:v>
                </c:pt>
                <c:pt idx="91">
                  <c:v>695.09334443567195</c:v>
                </c:pt>
                <c:pt idx="92">
                  <c:v>696.34792614445337</c:v>
                </c:pt>
                <c:pt idx="93">
                  <c:v>697.60013216114817</c:v>
                </c:pt>
                <c:pt idx="94">
                  <c:v>698.84996785969645</c:v>
                </c:pt>
                <c:pt idx="95">
                  <c:v>700.09743859080641</c:v>
                </c:pt>
                <c:pt idx="96">
                  <c:v>701.34254968208461</c:v>
                </c:pt>
                <c:pt idx="97">
                  <c:v>702.58530643816516</c:v>
                </c:pt>
                <c:pt idx="98">
                  <c:v>703.82571414083839</c:v>
                </c:pt>
                <c:pt idx="99">
                  <c:v>705.06377804917781</c:v>
                </c:pt>
                <c:pt idx="100">
                  <c:v>706.29950339966729</c:v>
                </c:pt>
                <c:pt idx="101">
                  <c:v>718.52854005730728</c:v>
                </c:pt>
                <c:pt idx="102">
                  <c:v>730.52706813776001</c:v>
                </c:pt>
                <c:pt idx="103">
                  <c:v>742.30011104420862</c:v>
                </c:pt>
                <c:pt idx="104">
                  <c:v>753.85248213761804</c:v>
                </c:pt>
                <c:pt idx="105">
                  <c:v>765.18879596593888</c:v>
                </c:pt>
                <c:pt idx="106">
                  <c:v>776.31347873877621</c:v>
                </c:pt>
                <c:pt idx="107">
                  <c:v>787.23077810765699</c:v>
                </c:pt>
                <c:pt idx="108">
                  <c:v>797.94477230648795</c:v>
                </c:pt>
                <c:pt idx="109">
                  <c:v>808.45937870183184</c:v>
                </c:pt>
                <c:pt idx="110">
                  <c:v>818.77836179817598</c:v>
                </c:pt>
                <c:pt idx="111">
                  <c:v>828.9053407393659</c:v>
                </c:pt>
                <c:pt idx="112">
                  <c:v>838.84379634377626</c:v>
                </c:pt>
                <c:pt idx="113">
                  <c:v>848.59707770754767</c:v>
                </c:pt>
                <c:pt idx="114">
                  <c:v>858.16840840729094</c:v>
                </c:pt>
                <c:pt idx="115">
                  <c:v>867.56089233101488</c:v>
                </c:pt>
                <c:pt idx="116">
                  <c:v>876.77751916364275</c:v>
                </c:pt>
                <c:pt idx="117">
                  <c:v>885.82116955131448</c:v>
                </c:pt>
                <c:pt idx="118">
                  <c:v>894.69461996670725</c:v>
                </c:pt>
                <c:pt idx="119">
                  <c:v>903.40054729582175</c:v>
                </c:pt>
                <c:pt idx="120">
                  <c:v>911.94153316506015</c:v>
                </c:pt>
                <c:pt idx="121">
                  <c:v>920.32006802594503</c:v>
                </c:pt>
                <c:pt idx="122">
                  <c:v>928.53855501348335</c:v>
                </c:pt>
                <c:pt idx="123">
                  <c:v>936.59931359295331</c:v>
                </c:pt>
                <c:pt idx="124">
                  <c:v>944.50458300877074</c:v>
                </c:pt>
                <c:pt idx="125">
                  <c:v>952.25652554806913</c:v>
                </c:pt>
                <c:pt idx="126">
                  <c:v>959.85722963069009</c:v>
                </c:pt>
                <c:pt idx="127">
                  <c:v>967.30871273642288</c:v>
                </c:pt>
                <c:pt idx="128">
                  <c:v>974.61292417954712</c:v>
                </c:pt>
                <c:pt idx="129">
                  <c:v>981.77174774000912</c:v>
                </c:pt>
                <c:pt idx="130">
                  <c:v>988.7870041599017</c:v>
                </c:pt>
                <c:pt idx="131">
                  <c:v>995.66045351330865</c:v>
                </c:pt>
                <c:pt idx="132">
                  <c:v>1002.3937974570134</c:v>
                </c:pt>
                <c:pt idx="133">
                  <c:v>1008.9886813690589</c:v>
                </c:pt>
                <c:pt idx="134">
                  <c:v>1015.4466963816684</c:v>
                </c:pt>
                <c:pt idx="135">
                  <c:v>1021.7693813146013</c:v>
                </c:pt>
                <c:pt idx="136">
                  <c:v>1027.9582245146139</c:v>
                </c:pt>
                <c:pt idx="137">
                  <c:v>1034.0146656063216</c:v>
                </c:pt>
                <c:pt idx="138">
                  <c:v>1039.9400971594187</c:v>
                </c:pt>
                <c:pt idx="139">
                  <c:v>1045.7358662768895</c:v>
                </c:pt>
                <c:pt idx="140">
                  <c:v>1051.4032761085566</c:v>
                </c:pt>
                <c:pt idx="141">
                  <c:v>1056.9435872940346</c:v>
                </c:pt>
                <c:pt idx="142">
                  <c:v>1062.358019338915</c:v>
                </c:pt>
                <c:pt idx="143">
                  <c:v>1067.6477519277705</c:v>
                </c:pt>
                <c:pt idx="144">
                  <c:v>1072.8139261773536</c:v>
                </c:pt>
                <c:pt idx="145">
                  <c:v>1077.8576458331722</c:v>
                </c:pt>
                <c:pt idx="146">
                  <c:v>1082.7799784124368</c:v>
                </c:pt>
                <c:pt idx="147">
                  <c:v>1087.581956296209</c:v>
                </c:pt>
                <c:pt idx="148">
                  <c:v>1092.2645777734297</c:v>
                </c:pt>
                <c:pt idx="149">
                  <c:v>1096.8288080393572</c:v>
                </c:pt>
                <c:pt idx="150">
                  <c:v>1101.2755801508254</c:v>
                </c:pt>
                <c:pt idx="151">
                  <c:v>1105.6057959406037</c:v>
                </c:pt>
                <c:pt idx="152">
                  <c:v>1109.8203268930467</c:v>
                </c:pt>
                <c:pt idx="153">
                  <c:v>1113.9200149831147</c:v>
                </c:pt>
                <c:pt idx="154">
                  <c:v>1117.9056734807662</c:v>
                </c:pt>
                <c:pt idx="155">
                  <c:v>1121.778087722651</c:v>
                </c:pt>
                <c:pt idx="156">
                  <c:v>1125.538015852964</c:v>
                </c:pt>
                <c:pt idx="157">
                  <c:v>1129.1861895352679</c:v>
                </c:pt>
                <c:pt idx="158">
                  <c:v>1132.7233146370497</c:v>
                </c:pt>
                <c:pt idx="159">
                  <c:v>1136.1500718887457</c:v>
                </c:pt>
                <c:pt idx="160">
                  <c:v>1139.4671175189433</c:v>
                </c:pt>
                <c:pt idx="161">
                  <c:v>1142.675083867465</c:v>
                </c:pt>
                <c:pt idx="162">
                  <c:v>1145.7745799780389</c:v>
                </c:pt>
                <c:pt idx="163">
                  <c:v>1148.7661921722759</c:v>
                </c:pt>
                <c:pt idx="164">
                  <c:v>1151.6504846067069</c:v>
                </c:pt>
                <c:pt idx="165">
                  <c:v>1154.427999814674</c:v>
                </c:pt>
                <c:pt idx="166">
                  <c:v>1157.099259234931</c:v>
                </c:pt>
                <c:pt idx="167">
                  <c:v>1159.6647637288859</c:v>
                </c:pt>
                <c:pt idx="168">
                  <c:v>1162.1249940885091</c:v>
                </c:pt>
                <c:pt idx="169">
                  <c:v>1164.4804115370439</c:v>
                </c:pt>
                <c:pt idx="170">
                  <c:v>1166.7314582247839</c:v>
                </c:pt>
                <c:pt idx="171">
                  <c:v>1168.8785577223289</c:v>
                </c:pt>
                <c:pt idx="172">
                  <c:v>1170.9221155138948</c:v>
                </c:pt>
                <c:pt idx="173">
                  <c:v>1172.8625194934305</c:v>
                </c:pt>
                <c:pt idx="174">
                  <c:v>1174.7001404664852</c:v>
                </c:pt>
                <c:pt idx="175">
                  <c:v>1176.435332660968</c:v>
                </c:pt>
                <c:pt idx="176">
                  <c:v>1178.068434250132</c:v>
                </c:pt>
                <c:pt idx="177">
                  <c:v>1179.5997678913063</c:v>
                </c:pt>
                <c:pt idx="178">
                  <c:v>1181.0296412840548</c:v>
                </c:pt>
                <c:pt idx="179">
                  <c:v>1182.3583477515606</c:v>
                </c:pt>
                <c:pt idx="180">
                  <c:v>1183.5861668490923</c:v>
                </c:pt>
                <c:pt idx="181">
                  <c:v>1184.7133650033788</c:v>
                </c:pt>
                <c:pt idx="182">
                  <c:v>1185.7401961865703</c:v>
                </c:pt>
                <c:pt idx="183">
                  <c:v>1186.6669026281779</c:v>
                </c:pt>
                <c:pt idx="184">
                  <c:v>1187.4937155679215</c:v>
                </c:pt>
                <c:pt idx="185">
                  <c:v>1188.2208560517511</c:v>
                </c:pt>
                <c:pt idx="186">
                  <c:v>1188.8485357724333</c:v>
                </c:pt>
                <c:pt idx="187">
                  <c:v>1189.3769579549987</c:v>
                </c:pt>
                <c:pt idx="188">
                  <c:v>1189.806318286036</c:v>
                </c:pt>
                <c:pt idx="189">
                  <c:v>1190.1368058843445</c:v>
                </c:pt>
                <c:pt idx="190">
                  <c:v>1190.3686043088651</c:v>
                </c:pt>
                <c:pt idx="191">
                  <c:v>1190.5018925981813</c:v>
                </c:pt>
                <c:pt idx="192">
                  <c:v>1190.5368463343266</c:v>
                </c:pt>
                <c:pt idx="193">
                  <c:v>1190.4736387222511</c:v>
                </c:pt>
                <c:pt idx="194">
                  <c:v>1190.312441675205</c:v>
                </c:pt>
                <c:pt idx="195">
                  <c:v>1190.0534268955776</c:v>
                </c:pt>
                <c:pt idx="196">
                  <c:v>1189.6967669404496</c:v>
                </c:pt>
                <c:pt idx="197">
                  <c:v>1189.2426362613078</c:v>
                </c:pt>
                <c:pt idx="198">
                  <c:v>1188.6912122080053</c:v>
                </c:pt>
                <c:pt idx="199">
                  <c:v>1188.0426759880879</c:v>
                </c:pt>
                <c:pt idx="200">
                  <c:v>1187.2972135739467</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pt idx="445">
                  <c:v>#N/A</c:v>
                </c:pt>
                <c:pt idx="446">
                  <c:v>#N/A</c:v>
                </c:pt>
                <c:pt idx="447">
                  <c:v>#N/A</c:v>
                </c:pt>
                <c:pt idx="448">
                  <c:v>#N/A</c:v>
                </c:pt>
                <c:pt idx="449">
                  <c:v>#N/A</c:v>
                </c:pt>
                <c:pt idx="450">
                  <c:v>#N/A</c:v>
                </c:pt>
                <c:pt idx="451">
                  <c:v>#N/A</c:v>
                </c:pt>
                <c:pt idx="452">
                  <c:v>#N/A</c:v>
                </c:pt>
                <c:pt idx="453">
                  <c:v>#N/A</c:v>
                </c:pt>
                <c:pt idx="454">
                  <c:v>#N/A</c:v>
                </c:pt>
                <c:pt idx="455">
                  <c:v>#N/A</c:v>
                </c:pt>
                <c:pt idx="456">
                  <c:v>#N/A</c:v>
                </c:pt>
                <c:pt idx="457">
                  <c:v>#N/A</c:v>
                </c:pt>
                <c:pt idx="458">
                  <c:v>#N/A</c:v>
                </c:pt>
                <c:pt idx="459">
                  <c:v>#N/A</c:v>
                </c:pt>
                <c:pt idx="460">
                  <c:v>#N/A</c:v>
                </c:pt>
                <c:pt idx="461">
                  <c:v>#N/A</c:v>
                </c:pt>
                <c:pt idx="462">
                  <c:v>#N/A</c:v>
                </c:pt>
                <c:pt idx="463">
                  <c:v>#N/A</c:v>
                </c:pt>
                <c:pt idx="464">
                  <c:v>#N/A</c:v>
                </c:pt>
                <c:pt idx="465">
                  <c:v>#N/A</c:v>
                </c:pt>
                <c:pt idx="466">
                  <c:v>#N/A</c:v>
                </c:pt>
                <c:pt idx="467">
                  <c:v>#N/A</c:v>
                </c:pt>
                <c:pt idx="468">
                  <c:v>#N/A</c:v>
                </c:pt>
                <c:pt idx="469">
                  <c:v>#N/A</c:v>
                </c:pt>
                <c:pt idx="470">
                  <c:v>#N/A</c:v>
                </c:pt>
                <c:pt idx="471">
                  <c:v>#N/A</c:v>
                </c:pt>
                <c:pt idx="472">
                  <c:v>#N/A</c:v>
                </c:pt>
                <c:pt idx="473">
                  <c:v>#N/A</c:v>
                </c:pt>
                <c:pt idx="474">
                  <c:v>#N/A</c:v>
                </c:pt>
                <c:pt idx="475">
                  <c:v>#N/A</c:v>
                </c:pt>
                <c:pt idx="476">
                  <c:v>#N/A</c:v>
                </c:pt>
                <c:pt idx="477">
                  <c:v>#N/A</c:v>
                </c:pt>
                <c:pt idx="478">
                  <c:v>#N/A</c:v>
                </c:pt>
                <c:pt idx="479">
                  <c:v>#N/A</c:v>
                </c:pt>
                <c:pt idx="480">
                  <c:v>#N/A</c:v>
                </c:pt>
                <c:pt idx="481">
                  <c:v>#N/A</c:v>
                </c:pt>
                <c:pt idx="482">
                  <c:v>#N/A</c:v>
                </c:pt>
                <c:pt idx="483">
                  <c:v>#N/A</c:v>
                </c:pt>
                <c:pt idx="484">
                  <c:v>#N/A</c:v>
                </c:pt>
                <c:pt idx="485">
                  <c:v>#N/A</c:v>
                </c:pt>
                <c:pt idx="486">
                  <c:v>#N/A</c:v>
                </c:pt>
                <c:pt idx="487">
                  <c:v>#N/A</c:v>
                </c:pt>
                <c:pt idx="488">
                  <c:v>#N/A</c:v>
                </c:pt>
                <c:pt idx="489">
                  <c:v>#N/A</c:v>
                </c:pt>
                <c:pt idx="490">
                  <c:v>#N/A</c:v>
                </c:pt>
                <c:pt idx="491">
                  <c:v>#N/A</c:v>
                </c:pt>
                <c:pt idx="492">
                  <c:v>#N/A</c:v>
                </c:pt>
                <c:pt idx="493">
                  <c:v>#N/A</c:v>
                </c:pt>
                <c:pt idx="494">
                  <c:v>#N/A</c:v>
                </c:pt>
                <c:pt idx="495">
                  <c:v>#N/A</c:v>
                </c:pt>
                <c:pt idx="496">
                  <c:v>#N/A</c:v>
                </c:pt>
                <c:pt idx="497">
                  <c:v>#N/A</c:v>
                </c:pt>
                <c:pt idx="498">
                  <c:v>#N/A</c:v>
                </c:pt>
                <c:pt idx="499">
                  <c:v>#N/A</c:v>
                </c:pt>
                <c:pt idx="500">
                  <c:v>#N/A</c:v>
                </c:pt>
                <c:pt idx="501">
                  <c:v>#N/A</c:v>
                </c:pt>
                <c:pt idx="502">
                  <c:v>#N/A</c:v>
                </c:pt>
                <c:pt idx="503">
                  <c:v>#N/A</c:v>
                </c:pt>
                <c:pt idx="504">
                  <c:v>#N/A</c:v>
                </c:pt>
                <c:pt idx="505">
                  <c:v>#N/A</c:v>
                </c:pt>
                <c:pt idx="506">
                  <c:v>#N/A</c:v>
                </c:pt>
                <c:pt idx="507">
                  <c:v>#N/A</c:v>
                </c:pt>
                <c:pt idx="508">
                  <c:v>#N/A</c:v>
                </c:pt>
                <c:pt idx="509">
                  <c:v>#N/A</c:v>
                </c:pt>
                <c:pt idx="510">
                  <c:v>#N/A</c:v>
                </c:pt>
                <c:pt idx="511">
                  <c:v>#N/A</c:v>
                </c:pt>
                <c:pt idx="512">
                  <c:v>#N/A</c:v>
                </c:pt>
                <c:pt idx="513">
                  <c:v>#N/A</c:v>
                </c:pt>
                <c:pt idx="514">
                  <c:v>#N/A</c:v>
                </c:pt>
                <c:pt idx="515">
                  <c:v>#N/A</c:v>
                </c:pt>
                <c:pt idx="516">
                  <c:v>#N/A</c:v>
                </c:pt>
                <c:pt idx="517">
                  <c:v>#N/A</c:v>
                </c:pt>
                <c:pt idx="518">
                  <c:v>#N/A</c:v>
                </c:pt>
                <c:pt idx="519">
                  <c:v>#N/A</c:v>
                </c:pt>
                <c:pt idx="520">
                  <c:v>#N/A</c:v>
                </c:pt>
                <c:pt idx="521">
                  <c:v>#N/A</c:v>
                </c:pt>
                <c:pt idx="522">
                  <c:v>#N/A</c:v>
                </c:pt>
                <c:pt idx="523">
                  <c:v>#N/A</c:v>
                </c:pt>
                <c:pt idx="524">
                  <c:v>#N/A</c:v>
                </c:pt>
                <c:pt idx="525">
                  <c:v>#N/A</c:v>
                </c:pt>
                <c:pt idx="526">
                  <c:v>#N/A</c:v>
                </c:pt>
                <c:pt idx="527">
                  <c:v>#N/A</c:v>
                </c:pt>
                <c:pt idx="528">
                  <c:v>#N/A</c:v>
                </c:pt>
                <c:pt idx="529">
                  <c:v>#N/A</c:v>
                </c:pt>
                <c:pt idx="530">
                  <c:v>#N/A</c:v>
                </c:pt>
                <c:pt idx="531">
                  <c:v>#N/A</c:v>
                </c:pt>
                <c:pt idx="532">
                  <c:v>#N/A</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c:v>#N/A</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c:v>#N/A</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c:v>#N/A</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c:v>#N/A</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c:v>#N/A</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c:v>#N/A</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c:v>#N/A</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#N/A</c:v>
                </c:pt>
                <c:pt idx="783">
                  <c:v>#N/A</c:v>
                </c:pt>
                <c:pt idx="784">
                  <c:v>#N/A</c:v>
                </c:pt>
                <c:pt idx="785">
                  <c:v>#N/A</c:v>
                </c:pt>
                <c:pt idx="786">
                  <c:v>#N/A</c:v>
                </c:pt>
                <c:pt idx="787">
                  <c:v>#N/A</c:v>
                </c:pt>
                <c:pt idx="788">
                  <c:v>#N/A</c:v>
                </c:pt>
                <c:pt idx="789">
                  <c:v>#N/A</c:v>
                </c:pt>
                <c:pt idx="790">
                  <c:v>#N/A</c:v>
                </c:pt>
                <c:pt idx="791">
                  <c:v>#N/A</c:v>
                </c:pt>
                <c:pt idx="792">
                  <c:v>#N/A</c:v>
                </c:pt>
                <c:pt idx="793">
                  <c:v>#N/A</c:v>
                </c:pt>
                <c:pt idx="794">
                  <c:v>#N/A</c:v>
                </c:pt>
                <c:pt idx="795">
                  <c:v>#N/A</c:v>
                </c:pt>
                <c:pt idx="796">
                  <c:v>#N/A</c:v>
                </c:pt>
                <c:pt idx="797">
                  <c:v>#N/A</c:v>
                </c:pt>
                <c:pt idx="798">
                  <c:v>#N/A</c:v>
                </c:pt>
                <c:pt idx="799">
                  <c:v>#N/A</c:v>
                </c:pt>
                <c:pt idx="800">
                  <c:v>#N/A</c:v>
                </c:pt>
                <c:pt idx="801">
                  <c:v>#N/A</c:v>
                </c:pt>
                <c:pt idx="802">
                  <c:v>#N/A</c:v>
                </c:pt>
                <c:pt idx="803">
                  <c:v>#N/A</c:v>
                </c:pt>
                <c:pt idx="804">
                  <c:v>#N/A</c:v>
                </c:pt>
                <c:pt idx="805">
                  <c:v>#N/A</c:v>
                </c:pt>
                <c:pt idx="806">
                  <c:v>#N/A</c:v>
                </c:pt>
                <c:pt idx="807">
                  <c:v>#N/A</c:v>
                </c:pt>
                <c:pt idx="808">
                  <c:v>#N/A</c:v>
                </c:pt>
                <c:pt idx="809">
                  <c:v>#N/A</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pt idx="1000">
                  <c:v>#N/A</c:v>
                </c:pt>
              </c:numCache>
            </c:numRef>
          </c:yVal>
          <c:smooth val="0"/>
          <c:extLst>
            <c:ext xmlns:c16="http://schemas.microsoft.com/office/drawing/2014/chart" uri="{C3380CC4-5D6E-409C-BE32-E72D297353CC}">
              <c16:uniqueId val="{00000005-432A-49A9-9499-7ED3E32DDB07}"/>
            </c:ext>
          </c:extLst>
        </c:ser>
        <c:ser>
          <c:idx val="6"/>
          <c:order val="5"/>
          <c:tx>
            <c:strRef>
              <c:f>Trajecto!$B$107</c:f>
              <c:strCache>
                <c:ptCount val="1"/>
                <c:pt idx="0">
                  <c:v>Phase ascendante</c:v>
                </c:pt>
              </c:strCache>
            </c:strRef>
          </c:tx>
          <c:spPr>
            <a:ln w="28575">
              <a:noFill/>
            </a:ln>
          </c:spPr>
          <c:marker>
            <c:symbol val="none"/>
          </c:marker>
          <c:dLbls>
            <c:spPr>
              <a:noFill/>
              <a:ln w="25400">
                <a:noFill/>
              </a:ln>
            </c:spPr>
            <c:txPr>
              <a:bodyPr/>
              <a:lstStyle/>
              <a:p>
                <a:pPr>
                  <a:defRPr sz="700" b="1" i="0" u="none" strike="noStrike" baseline="0">
                    <a:solidFill>
                      <a:srgbClr val="000080"/>
                    </a:solidFill>
                    <a:latin typeface="Arial"/>
                    <a:ea typeface="Arial"/>
                    <a:cs typeface="Arial"/>
                  </a:defRPr>
                </a:pPr>
                <a:endParaRPr lang="fr-FR"/>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Trajecto!$D$158</c:f>
              <c:numCache>
                <c:formatCode>0</c:formatCode>
                <c:ptCount val="1"/>
                <c:pt idx="0">
                  <c:v>105.82249473836634</c:v>
                </c:pt>
              </c:numCache>
            </c:numRef>
          </c:xVal>
          <c:yVal>
            <c:numRef>
              <c:f>Trajecto!$C$158</c:f>
              <c:numCache>
                <c:formatCode>0</c:formatCode>
                <c:ptCount val="1"/>
                <c:pt idx="0">
                  <c:v>593.22750827589994</c:v>
                </c:pt>
              </c:numCache>
            </c:numRef>
          </c:yVal>
          <c:smooth val="0"/>
          <c:extLst>
            <c:ext xmlns:c16="http://schemas.microsoft.com/office/drawing/2014/chart" uri="{C3380CC4-5D6E-409C-BE32-E72D297353CC}">
              <c16:uniqueId val="{00000006-432A-49A9-9499-7ED3E32DDB07}"/>
            </c:ext>
          </c:extLst>
        </c:ser>
        <c:ser>
          <c:idx val="7"/>
          <c:order val="6"/>
          <c:tx>
            <c:strRef>
              <c:f>Trajecto!$B$108</c:f>
              <c:strCache>
                <c:ptCount val="1"/>
                <c:pt idx="0">
                  <c:v>Descente balistique</c:v>
                </c:pt>
              </c:strCache>
            </c:strRef>
          </c:tx>
          <c:spPr>
            <a:ln w="28575">
              <a:noFill/>
            </a:ln>
          </c:spPr>
          <c:marker>
            <c:symbol val="none"/>
          </c:marker>
          <c:dLbls>
            <c:spPr>
              <a:noFill/>
              <a:ln w="25400">
                <a:noFill/>
              </a:ln>
            </c:spPr>
            <c:txPr>
              <a:bodyPr/>
              <a:lstStyle/>
              <a:p>
                <a:pPr>
                  <a:defRPr sz="700" b="1" i="0" u="none" strike="noStrike" baseline="0">
                    <a:solidFill>
                      <a:srgbClr val="808080"/>
                    </a:solidFill>
                    <a:latin typeface="Arial"/>
                    <a:ea typeface="Arial"/>
                    <a:cs typeface="Arial"/>
                  </a:defRPr>
                </a:pPr>
                <a:endParaRPr lang="fr-FR"/>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Trajecto!$D$159</c:f>
              <c:numCache>
                <c:formatCode>0</c:formatCode>
                <c:ptCount val="1"/>
                <c:pt idx="0">
                  <c:v>586.32674558482279</c:v>
                </c:pt>
              </c:numCache>
            </c:numRef>
          </c:xVal>
          <c:yVal>
            <c:numRef>
              <c:f>Trajecto!$C$159</c:f>
              <c:numCache>
                <c:formatCode>0</c:formatCode>
                <c:ptCount val="1"/>
                <c:pt idx="0">
                  <c:v>595.25094629909063</c:v>
                </c:pt>
              </c:numCache>
            </c:numRef>
          </c:yVal>
          <c:smooth val="0"/>
          <c:extLst>
            <c:ext xmlns:c16="http://schemas.microsoft.com/office/drawing/2014/chart" uri="{C3380CC4-5D6E-409C-BE32-E72D297353CC}">
              <c16:uniqueId val="{00000007-432A-49A9-9499-7ED3E32DDB07}"/>
            </c:ext>
          </c:extLst>
        </c:ser>
        <c:ser>
          <c:idx val="8"/>
          <c:order val="7"/>
          <c:tx>
            <c:strRef>
              <c:f>Trajecto!$D$161</c:f>
              <c:strCache>
                <c:ptCount val="1"/>
                <c:pt idx="0">
                  <c:v>Arc de triomphe</c:v>
                </c:pt>
              </c:strCache>
            </c:strRef>
          </c:tx>
          <c:spPr>
            <a:ln>
              <a:solidFill>
                <a:srgbClr val="C0C0C0"/>
              </a:solidFill>
            </a:ln>
          </c:spPr>
          <c:marker>
            <c:symbol val="none"/>
          </c:marker>
          <c:dLbls>
            <c:dLbl>
              <c:idx val="8"/>
              <c:tx>
                <c:strRef>
                  <c:f>Trajecto!$D$161</c:f>
                  <c:strCache>
                    <c:ptCount val="1"/>
                    <c:pt idx="0">
                      <c:v>Arc de triomphe</c:v>
                    </c:pt>
                  </c:strCache>
                </c:strRef>
              </c:tx>
              <c:spPr/>
              <c:txPr>
                <a:bodyPr/>
                <a:lstStyle/>
                <a:p>
                  <a:pPr>
                    <a:defRPr sz="700" b="0" i="0" u="none" strike="noStrike" baseline="0">
                      <a:solidFill>
                        <a:srgbClr val="C0C0C0"/>
                      </a:solidFill>
                      <a:latin typeface="Arial"/>
                      <a:ea typeface="Arial"/>
                      <a:cs typeface="Arial"/>
                    </a:defRPr>
                  </a:pPr>
                  <a:endParaRPr lang="fr-FR"/>
                </a:p>
              </c:txPr>
              <c:showLegendKey val="0"/>
              <c:showVal val="0"/>
              <c:showCatName val="0"/>
              <c:showSerName val="0"/>
              <c:showPercent val="0"/>
              <c:showBubbleSize val="0"/>
              <c:extLst>
                <c:ext xmlns:c15="http://schemas.microsoft.com/office/drawing/2012/chart" uri="{CE6537A1-D6FC-4f65-9D91-7224C49458BB}">
                  <c15:dlblFieldTable>
                    <c15:dlblFTEntry>
                      <c15:txfldGUID>{EB1D0152-FB41-4089-A993-863203A5A30D}</c15:txfldGUID>
                      <c15:f>Trajecto!$D$161</c15:f>
                      <c15:dlblFieldTableCache>
                        <c:ptCount val="1"/>
                        <c:pt idx="0">
                          <c:v>Arc de triomphe</c:v>
                        </c:pt>
                      </c15:dlblFieldTableCache>
                    </c15:dlblFTEntry>
                  </c15:dlblFieldTable>
                  <c15:showDataLabelsRange val="0"/>
                </c:ext>
                <c:ext xmlns:c16="http://schemas.microsoft.com/office/drawing/2014/chart" uri="{C3380CC4-5D6E-409C-BE32-E72D297353CC}">
                  <c16:uniqueId val="{00000008-432A-49A9-9499-7ED3E32DDB07}"/>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Trajecto!$D$162:$D$177</c:f>
              <c:numCache>
                <c:formatCode>0</c:formatCode>
                <c:ptCount val="16"/>
                <c:pt idx="0">
                  <c:v>401.90974781648515</c:v>
                </c:pt>
                <c:pt idx="1">
                  <c:v>424.90974781648515</c:v>
                </c:pt>
                <c:pt idx="2">
                  <c:v>424.90974781648515</c:v>
                </c:pt>
                <c:pt idx="3">
                  <c:v>401.90974781648515</c:v>
                </c:pt>
                <c:pt idx="4">
                  <c:v>424.90974781648515</c:v>
                </c:pt>
                <c:pt idx="5">
                  <c:v>424.90974781648515</c:v>
                </c:pt>
                <c:pt idx="6">
                  <c:v>409.90974781648515</c:v>
                </c:pt>
                <c:pt idx="7">
                  <c:v>409.90974781648515</c:v>
                </c:pt>
                <c:pt idx="8">
                  <c:v>424.90974781648515</c:v>
                </c:pt>
                <c:pt idx="9">
                  <c:v>409.90974781648515</c:v>
                </c:pt>
                <c:pt idx="10">
                  <c:v>409.50974781648517</c:v>
                </c:pt>
                <c:pt idx="11">
                  <c:v>408.70974781648516</c:v>
                </c:pt>
                <c:pt idx="12">
                  <c:v>407.90974781648515</c:v>
                </c:pt>
                <c:pt idx="13">
                  <c:v>406.90974781648515</c:v>
                </c:pt>
                <c:pt idx="14">
                  <c:v>405.70974781648516</c:v>
                </c:pt>
                <c:pt idx="15">
                  <c:v>401.90974781648515</c:v>
                </c:pt>
              </c:numCache>
            </c:numRef>
          </c:xVal>
          <c:yVal>
            <c:numRef>
              <c:f>Trajecto!$B$162:$B$177</c:f>
              <c:numCache>
                <c:formatCode>General</c:formatCode>
                <c:ptCount val="16"/>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numCache>
            </c:numRef>
          </c:yVal>
          <c:smooth val="0"/>
          <c:extLst>
            <c:ext xmlns:c16="http://schemas.microsoft.com/office/drawing/2014/chart" uri="{C3380CC4-5D6E-409C-BE32-E72D297353CC}">
              <c16:uniqueId val="{00000009-432A-49A9-9499-7ED3E32DDB07}"/>
            </c:ext>
          </c:extLst>
        </c:ser>
        <c:ser>
          <c:idx val="9"/>
          <c:order val="8"/>
          <c:tx>
            <c:strRef>
              <c:f>Trajecto!$F$162</c:f>
              <c:strCache>
                <c:ptCount val="1"/>
                <c:pt idx="0">
                  <c:v>Arc de triomphe</c:v>
                </c:pt>
              </c:strCache>
            </c:strRef>
          </c:tx>
          <c:spPr>
            <a:ln>
              <a:solidFill>
                <a:srgbClr val="C0C0C0"/>
              </a:solidFill>
            </a:ln>
          </c:spPr>
          <c:marker>
            <c:symbol val="none"/>
          </c:marker>
          <c:xVal>
            <c:numRef>
              <c:f>Trajecto!$F$163:$F$178</c:f>
              <c:numCache>
                <c:formatCode>0</c:formatCode>
                <c:ptCount val="16"/>
                <c:pt idx="0">
                  <c:v>401.90974781648515</c:v>
                </c:pt>
                <c:pt idx="1">
                  <c:v>378.90974781648515</c:v>
                </c:pt>
                <c:pt idx="2">
                  <c:v>378.90974781648515</c:v>
                </c:pt>
                <c:pt idx="3">
                  <c:v>401.90974781648515</c:v>
                </c:pt>
                <c:pt idx="4">
                  <c:v>378.90974781648515</c:v>
                </c:pt>
                <c:pt idx="5">
                  <c:v>378.90974781648515</c:v>
                </c:pt>
                <c:pt idx="6">
                  <c:v>393.90974781648515</c:v>
                </c:pt>
                <c:pt idx="7">
                  <c:v>393.90974781648515</c:v>
                </c:pt>
                <c:pt idx="8">
                  <c:v>378.90974781648515</c:v>
                </c:pt>
                <c:pt idx="9">
                  <c:v>393.90974781648515</c:v>
                </c:pt>
                <c:pt idx="10">
                  <c:v>394.30974781648513</c:v>
                </c:pt>
                <c:pt idx="11">
                  <c:v>395.10974781648514</c:v>
                </c:pt>
                <c:pt idx="12">
                  <c:v>395.90974781648515</c:v>
                </c:pt>
                <c:pt idx="13">
                  <c:v>396.90974781648515</c:v>
                </c:pt>
                <c:pt idx="14">
                  <c:v>398.10974781648514</c:v>
                </c:pt>
                <c:pt idx="15">
                  <c:v>401.90974781648515</c:v>
                </c:pt>
              </c:numCache>
            </c:numRef>
          </c:xVal>
          <c:yVal>
            <c:numRef>
              <c:f>Trajecto!$B$162:$B$177</c:f>
              <c:numCache>
                <c:formatCode>General</c:formatCode>
                <c:ptCount val="16"/>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numCache>
            </c:numRef>
          </c:yVal>
          <c:smooth val="0"/>
          <c:extLst>
            <c:ext xmlns:c16="http://schemas.microsoft.com/office/drawing/2014/chart" uri="{C3380CC4-5D6E-409C-BE32-E72D297353CC}">
              <c16:uniqueId val="{0000000A-432A-49A9-9499-7ED3E32DDB07}"/>
            </c:ext>
          </c:extLst>
        </c:ser>
        <c:ser>
          <c:idx val="10"/>
          <c:order val="9"/>
          <c:tx>
            <c:strRef>
              <c:f>Trajecto!$D$179</c:f>
              <c:strCache>
                <c:ptCount val="1"/>
                <c:pt idx="0">
                  <c:v>Tour Eiffel</c:v>
                </c:pt>
              </c:strCache>
            </c:strRef>
          </c:tx>
          <c:spPr>
            <a:ln>
              <a:solidFill>
                <a:srgbClr val="C0C0C0"/>
              </a:solidFill>
            </a:ln>
          </c:spPr>
          <c:marker>
            <c:symbol val="none"/>
          </c:marker>
          <c:dLbls>
            <c:dLbl>
              <c:idx val="6"/>
              <c:tx>
                <c:strRef>
                  <c:f>Trajecto!$D$179</c:f>
                  <c:strCache>
                    <c:ptCount val="1"/>
                    <c:pt idx="0">
                      <c:v>Tour Eiffel</c:v>
                    </c:pt>
                  </c:strCache>
                </c:strRef>
              </c:tx>
              <c:spPr/>
              <c:txPr>
                <a:bodyPr/>
                <a:lstStyle/>
                <a:p>
                  <a:pPr>
                    <a:defRPr sz="700" b="0" i="0" u="none" strike="noStrike" baseline="0">
                      <a:solidFill>
                        <a:srgbClr val="C0C0C0"/>
                      </a:solidFill>
                      <a:latin typeface="Arial"/>
                      <a:ea typeface="Arial"/>
                      <a:cs typeface="Arial"/>
                    </a:defRPr>
                  </a:pPr>
                  <a:endParaRPr lang="fr-FR"/>
                </a:p>
              </c:txPr>
              <c:showLegendKey val="0"/>
              <c:showVal val="0"/>
              <c:showCatName val="0"/>
              <c:showSerName val="0"/>
              <c:showPercent val="0"/>
              <c:showBubbleSize val="0"/>
              <c:extLst>
                <c:ext xmlns:c15="http://schemas.microsoft.com/office/drawing/2012/chart" uri="{CE6537A1-D6FC-4f65-9D91-7224C49458BB}">
                  <c15:dlblFieldTable>
                    <c15:dlblFTEntry>
                      <c15:txfldGUID>{4B774798-5DF7-4815-B572-EBD60CF10CC1}</c15:txfldGUID>
                      <c15:f>Trajecto!$D$179</c15:f>
                      <c15:dlblFieldTableCache>
                        <c:ptCount val="1"/>
                        <c:pt idx="0">
                          <c:v>Tour Eiffel</c:v>
                        </c:pt>
                      </c15:dlblFieldTableCache>
                    </c15:dlblFTEntry>
                  </c15:dlblFieldTable>
                  <c15:showDataLabelsRange val="0"/>
                </c:ext>
                <c:ext xmlns:c16="http://schemas.microsoft.com/office/drawing/2014/chart" uri="{C3380CC4-5D6E-409C-BE32-E72D297353CC}">
                  <c16:uniqueId val="{0000000B-432A-49A9-9499-7ED3E32DDB07}"/>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Trajecto!$D$180:$D$196</c:f>
              <c:numCache>
                <c:formatCode>0</c:formatCode>
                <c:ptCount val="17"/>
                <c:pt idx="0">
                  <c:v>401.90974781648515</c:v>
                </c:pt>
                <c:pt idx="1">
                  <c:v>401.90974781648515</c:v>
                </c:pt>
                <c:pt idx="2">
                  <c:v>411.90974781648515</c:v>
                </c:pt>
                <c:pt idx="3">
                  <c:v>401.90974781648515</c:v>
                </c:pt>
                <c:pt idx="4">
                  <c:v>411.90974781648515</c:v>
                </c:pt>
                <c:pt idx="5">
                  <c:v>414.90974781648515</c:v>
                </c:pt>
                <c:pt idx="6">
                  <c:v>418.90974781648515</c:v>
                </c:pt>
                <c:pt idx="7">
                  <c:v>421.90974781648515</c:v>
                </c:pt>
                <c:pt idx="8">
                  <c:v>426.90974781648515</c:v>
                </c:pt>
                <c:pt idx="9">
                  <c:v>431.90974781648515</c:v>
                </c:pt>
                <c:pt idx="10">
                  <c:v>437.90974781648515</c:v>
                </c:pt>
                <c:pt idx="11">
                  <c:v>449.90974781648515</c:v>
                </c:pt>
                <c:pt idx="12">
                  <c:v>463.90974781648515</c:v>
                </c:pt>
                <c:pt idx="13">
                  <c:v>438.90974781648515</c:v>
                </c:pt>
                <c:pt idx="14">
                  <c:v>431.90974781648515</c:v>
                </c:pt>
                <c:pt idx="15">
                  <c:v>416.90974781648515</c:v>
                </c:pt>
                <c:pt idx="16">
                  <c:v>401.90974781648515</c:v>
                </c:pt>
              </c:numCache>
            </c:numRef>
          </c:xVal>
          <c:yVal>
            <c:numRef>
              <c:f>Trajecto!$B$180:$B$196</c:f>
              <c:numCache>
                <c:formatCode>General</c:formatCode>
                <c:ptCount val="17"/>
                <c:pt idx="0">
                  <c:v>324</c:v>
                </c:pt>
                <c:pt idx="1">
                  <c:v>300</c:v>
                </c:pt>
                <c:pt idx="2">
                  <c:v>280</c:v>
                </c:pt>
                <c:pt idx="3">
                  <c:v>280</c:v>
                </c:pt>
                <c:pt idx="4">
                  <c:v>280</c:v>
                </c:pt>
                <c:pt idx="5">
                  <c:v>200</c:v>
                </c:pt>
                <c:pt idx="6">
                  <c:v>160</c:v>
                </c:pt>
                <c:pt idx="7">
                  <c:v>115</c:v>
                </c:pt>
                <c:pt idx="8">
                  <c:v>90</c:v>
                </c:pt>
                <c:pt idx="9">
                  <c:v>57</c:v>
                </c:pt>
                <c:pt idx="10">
                  <c:v>40</c:v>
                </c:pt>
                <c:pt idx="11">
                  <c:v>20</c:v>
                </c:pt>
                <c:pt idx="12">
                  <c:v>0.5</c:v>
                </c:pt>
                <c:pt idx="13">
                  <c:v>0.5</c:v>
                </c:pt>
                <c:pt idx="14">
                  <c:v>15</c:v>
                </c:pt>
                <c:pt idx="15">
                  <c:v>30</c:v>
                </c:pt>
                <c:pt idx="16">
                  <c:v>37</c:v>
                </c:pt>
              </c:numCache>
            </c:numRef>
          </c:yVal>
          <c:smooth val="0"/>
          <c:extLst>
            <c:ext xmlns:c16="http://schemas.microsoft.com/office/drawing/2014/chart" uri="{C3380CC4-5D6E-409C-BE32-E72D297353CC}">
              <c16:uniqueId val="{0000000C-432A-49A9-9499-7ED3E32DDB07}"/>
            </c:ext>
          </c:extLst>
        </c:ser>
        <c:ser>
          <c:idx val="11"/>
          <c:order val="10"/>
          <c:tx>
            <c:strRef>
              <c:f>Trajecto!$F$180</c:f>
              <c:strCache>
                <c:ptCount val="1"/>
                <c:pt idx="0">
                  <c:v>Tour Eiffel</c:v>
                </c:pt>
              </c:strCache>
            </c:strRef>
          </c:tx>
          <c:spPr>
            <a:ln>
              <a:solidFill>
                <a:srgbClr val="C0C0C0"/>
              </a:solidFill>
            </a:ln>
          </c:spPr>
          <c:marker>
            <c:symbol val="none"/>
          </c:marker>
          <c:xVal>
            <c:numRef>
              <c:f>Trajecto!$F$181:$F$197</c:f>
              <c:numCache>
                <c:formatCode>0</c:formatCode>
                <c:ptCount val="17"/>
                <c:pt idx="0">
                  <c:v>401.90974781648515</c:v>
                </c:pt>
                <c:pt idx="1">
                  <c:v>401.90974781648515</c:v>
                </c:pt>
                <c:pt idx="2">
                  <c:v>391.90974781648515</c:v>
                </c:pt>
                <c:pt idx="3">
                  <c:v>401.90974781648515</c:v>
                </c:pt>
                <c:pt idx="4">
                  <c:v>391.90974781648515</c:v>
                </c:pt>
                <c:pt idx="5">
                  <c:v>388.90974781648515</c:v>
                </c:pt>
                <c:pt idx="6">
                  <c:v>384.90974781648515</c:v>
                </c:pt>
                <c:pt idx="7">
                  <c:v>381.90974781648515</c:v>
                </c:pt>
                <c:pt idx="8">
                  <c:v>376.90974781648515</c:v>
                </c:pt>
                <c:pt idx="9">
                  <c:v>371.90974781648515</c:v>
                </c:pt>
                <c:pt idx="10">
                  <c:v>365.90974781648515</c:v>
                </c:pt>
                <c:pt idx="11">
                  <c:v>353.90974781648515</c:v>
                </c:pt>
                <c:pt idx="12">
                  <c:v>339.90974781648515</c:v>
                </c:pt>
                <c:pt idx="13">
                  <c:v>364.90974781648515</c:v>
                </c:pt>
                <c:pt idx="14">
                  <c:v>371.90974781648515</c:v>
                </c:pt>
                <c:pt idx="15">
                  <c:v>386.90974781648515</c:v>
                </c:pt>
                <c:pt idx="16">
                  <c:v>401.90974781648515</c:v>
                </c:pt>
              </c:numCache>
            </c:numRef>
          </c:xVal>
          <c:yVal>
            <c:numRef>
              <c:f>Trajecto!$B$180:$B$196</c:f>
              <c:numCache>
                <c:formatCode>General</c:formatCode>
                <c:ptCount val="17"/>
                <c:pt idx="0">
                  <c:v>324</c:v>
                </c:pt>
                <c:pt idx="1">
                  <c:v>300</c:v>
                </c:pt>
                <c:pt idx="2">
                  <c:v>280</c:v>
                </c:pt>
                <c:pt idx="3">
                  <c:v>280</c:v>
                </c:pt>
                <c:pt idx="4">
                  <c:v>280</c:v>
                </c:pt>
                <c:pt idx="5">
                  <c:v>200</c:v>
                </c:pt>
                <c:pt idx="6">
                  <c:v>160</c:v>
                </c:pt>
                <c:pt idx="7">
                  <c:v>115</c:v>
                </c:pt>
                <c:pt idx="8">
                  <c:v>90</c:v>
                </c:pt>
                <c:pt idx="9">
                  <c:v>57</c:v>
                </c:pt>
                <c:pt idx="10">
                  <c:v>40</c:v>
                </c:pt>
                <c:pt idx="11">
                  <c:v>20</c:v>
                </c:pt>
                <c:pt idx="12">
                  <c:v>0.5</c:v>
                </c:pt>
                <c:pt idx="13">
                  <c:v>0.5</c:v>
                </c:pt>
                <c:pt idx="14">
                  <c:v>15</c:v>
                </c:pt>
                <c:pt idx="15">
                  <c:v>30</c:v>
                </c:pt>
                <c:pt idx="16">
                  <c:v>37</c:v>
                </c:pt>
              </c:numCache>
            </c:numRef>
          </c:yVal>
          <c:smooth val="0"/>
          <c:extLst>
            <c:ext xmlns:c16="http://schemas.microsoft.com/office/drawing/2014/chart" uri="{C3380CC4-5D6E-409C-BE32-E72D297353CC}">
              <c16:uniqueId val="{0000000D-432A-49A9-9499-7ED3E32DDB07}"/>
            </c:ext>
          </c:extLst>
        </c:ser>
        <c:ser>
          <c:idx val="12"/>
          <c:order val="11"/>
          <c:tx>
            <c:strRef>
              <c:f>Trajecto!$D$179</c:f>
              <c:strCache>
                <c:ptCount val="1"/>
                <c:pt idx="0">
                  <c:v>Tour Eiffel</c:v>
                </c:pt>
              </c:strCache>
            </c:strRef>
          </c:tx>
          <c:spPr>
            <a:ln>
              <a:solidFill>
                <a:srgbClr val="C0C0C0"/>
              </a:solidFill>
            </a:ln>
          </c:spPr>
          <c:marker>
            <c:symbol val="none"/>
          </c:marker>
          <c:xVal>
            <c:numRef>
              <c:f>Trajecto!$D$197:$D$200</c:f>
              <c:numCache>
                <c:formatCode>0</c:formatCode>
                <c:ptCount val="4"/>
                <c:pt idx="0">
                  <c:v>401.90974781648515</c:v>
                </c:pt>
                <c:pt idx="1">
                  <c:v>418.90974781648515</c:v>
                </c:pt>
                <c:pt idx="2">
                  <c:v>412.90974781648515</c:v>
                </c:pt>
                <c:pt idx="3">
                  <c:v>401.90974781648515</c:v>
                </c:pt>
              </c:numCache>
            </c:numRef>
          </c:xVal>
          <c:yVal>
            <c:numRef>
              <c:f>Trajecto!$B$197:$B$200</c:f>
              <c:numCache>
                <c:formatCode>General</c:formatCode>
                <c:ptCount val="4"/>
                <c:pt idx="0">
                  <c:v>67</c:v>
                </c:pt>
                <c:pt idx="1">
                  <c:v>67</c:v>
                </c:pt>
                <c:pt idx="2">
                  <c:v>100</c:v>
                </c:pt>
                <c:pt idx="3">
                  <c:v>100</c:v>
                </c:pt>
              </c:numCache>
            </c:numRef>
          </c:yVal>
          <c:smooth val="0"/>
          <c:extLst>
            <c:ext xmlns:c16="http://schemas.microsoft.com/office/drawing/2014/chart" uri="{C3380CC4-5D6E-409C-BE32-E72D297353CC}">
              <c16:uniqueId val="{0000000E-432A-49A9-9499-7ED3E32DDB07}"/>
            </c:ext>
          </c:extLst>
        </c:ser>
        <c:ser>
          <c:idx val="13"/>
          <c:order val="12"/>
          <c:tx>
            <c:strRef>
              <c:f>Trajecto!$F$180</c:f>
              <c:strCache>
                <c:ptCount val="1"/>
                <c:pt idx="0">
                  <c:v>Tour Eiffel</c:v>
                </c:pt>
              </c:strCache>
            </c:strRef>
          </c:tx>
          <c:spPr>
            <a:ln>
              <a:solidFill>
                <a:srgbClr val="C0C0C0"/>
              </a:solidFill>
            </a:ln>
          </c:spPr>
          <c:marker>
            <c:symbol val="none"/>
          </c:marker>
          <c:xVal>
            <c:numRef>
              <c:f>Trajecto!$F$198:$F$201</c:f>
              <c:numCache>
                <c:formatCode>0</c:formatCode>
                <c:ptCount val="4"/>
                <c:pt idx="0">
                  <c:v>401.90974781648515</c:v>
                </c:pt>
                <c:pt idx="1">
                  <c:v>384.90974781648515</c:v>
                </c:pt>
                <c:pt idx="2">
                  <c:v>390.90974781648515</c:v>
                </c:pt>
                <c:pt idx="3">
                  <c:v>401.90974781648515</c:v>
                </c:pt>
              </c:numCache>
            </c:numRef>
          </c:xVal>
          <c:yVal>
            <c:numRef>
              <c:f>Trajecto!$B$197:$B$200</c:f>
              <c:numCache>
                <c:formatCode>General</c:formatCode>
                <c:ptCount val="4"/>
                <c:pt idx="0">
                  <c:v>67</c:v>
                </c:pt>
                <c:pt idx="1">
                  <c:v>67</c:v>
                </c:pt>
                <c:pt idx="2">
                  <c:v>100</c:v>
                </c:pt>
                <c:pt idx="3">
                  <c:v>100</c:v>
                </c:pt>
              </c:numCache>
            </c:numRef>
          </c:yVal>
          <c:smooth val="0"/>
          <c:extLst>
            <c:ext xmlns:c16="http://schemas.microsoft.com/office/drawing/2014/chart" uri="{C3380CC4-5D6E-409C-BE32-E72D297353CC}">
              <c16:uniqueId val="{0000000F-432A-49A9-9499-7ED3E32DDB07}"/>
            </c:ext>
          </c:extLst>
        </c:ser>
        <c:ser>
          <c:idx val="3"/>
          <c:order val="13"/>
          <c:tx>
            <c:strRef>
              <c:f>Trajecto!$B$109</c:f>
              <c:strCache>
                <c:ptCount val="1"/>
                <c:pt idx="0">
                  <c:v>Fusée sous parachute</c:v>
                </c:pt>
              </c:strCache>
            </c:strRef>
          </c:tx>
          <c:spPr>
            <a:ln>
              <a:solidFill>
                <a:srgbClr val="008000"/>
              </a:solidFill>
            </a:ln>
          </c:spPr>
          <c:marker>
            <c:symbol val="none"/>
          </c:marker>
          <c:dLbls>
            <c:dLbl>
              <c:idx val="1"/>
              <c:tx>
                <c:strRef>
                  <c:f>Trajecto!$B$109</c:f>
                  <c:strCache>
                    <c:ptCount val="1"/>
                    <c:pt idx="0">
                      <c:v>Fusée sous parachute</c:v>
                    </c:pt>
                  </c:strCache>
                </c:strRef>
              </c:tx>
              <c:spPr/>
              <c:txPr>
                <a:bodyPr/>
                <a:lstStyle/>
                <a:p>
                  <a:pPr>
                    <a:defRPr sz="700" b="1" i="0" u="none" strike="noStrike" baseline="0">
                      <a:solidFill>
                        <a:srgbClr val="008000"/>
                      </a:solidFill>
                      <a:latin typeface="Arial"/>
                      <a:ea typeface="Arial"/>
                      <a:cs typeface="Arial"/>
                    </a:defRPr>
                  </a:pPr>
                  <a:endParaRPr lang="fr-FR"/>
                </a:p>
              </c:txPr>
              <c:showLegendKey val="0"/>
              <c:showVal val="0"/>
              <c:showCatName val="0"/>
              <c:showSerName val="0"/>
              <c:showPercent val="0"/>
              <c:showBubbleSize val="0"/>
              <c:extLst>
                <c:ext xmlns:c15="http://schemas.microsoft.com/office/drawing/2012/chart" uri="{CE6537A1-D6FC-4f65-9D91-7224C49458BB}">
                  <c15:dlblFieldTable>
                    <c15:dlblFTEntry>
                      <c15:txfldGUID>{35F8C43F-2BEF-4A5A-B99D-E4D897D53648}</c15:txfldGUID>
                      <c15:f>Trajecto!$B$109</c15:f>
                      <c15:dlblFieldTableCache>
                        <c:ptCount val="1"/>
                        <c:pt idx="0">
                          <c:v>Fusée sous parachute</c:v>
                        </c:pt>
                      </c15:dlblFieldTableCache>
                    </c15:dlblFTEntry>
                  </c15:dlblFieldTable>
                  <c15:showDataLabelsRange val="0"/>
                </c:ext>
                <c:ext xmlns:c16="http://schemas.microsoft.com/office/drawing/2014/chart" uri="{C3380CC4-5D6E-409C-BE32-E72D297353CC}">
                  <c16:uniqueId val="{00000010-432A-49A9-9499-7ED3E32DDB07}"/>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Trajecto!$B$124:$B$130</c:f>
              <c:numCache>
                <c:formatCode>0</c:formatCode>
                <c:ptCount val="7"/>
                <c:pt idx="0">
                  <c:v>423.28997895346538</c:v>
                </c:pt>
                <c:pt idx="1">
                  <c:v>423.28997895346538</c:v>
                </c:pt>
                <c:pt idx="2">
                  <c:v>423.28997895346538</c:v>
                </c:pt>
                <c:pt idx="3">
                  <c:v>452.95135436726036</c:v>
                </c:pt>
                <c:pt idx="4">
                  <c:v>423.28997895346538</c:v>
                </c:pt>
                <c:pt idx="5">
                  <c:v>393.62860353967039</c:v>
                </c:pt>
                <c:pt idx="6">
                  <c:v>423.28997895346538</c:v>
                </c:pt>
              </c:numCache>
            </c:numRef>
          </c:xVal>
          <c:yVal>
            <c:numRef>
              <c:f>Trajecto!$C$124:$C$130</c:f>
              <c:numCache>
                <c:formatCode>0</c:formatCode>
                <c:ptCount val="7"/>
                <c:pt idx="0">
                  <c:v>1186.4550165517999</c:v>
                </c:pt>
                <c:pt idx="1">
                  <c:v>593.22750827589994</c:v>
                </c:pt>
                <c:pt idx="2">
                  <c:v>0</c:v>
                </c:pt>
                <c:pt idx="3">
                  <c:v>59.322750827589992</c:v>
                </c:pt>
                <c:pt idx="4">
                  <c:v>0</c:v>
                </c:pt>
                <c:pt idx="5">
                  <c:v>59.322750827589992</c:v>
                </c:pt>
                <c:pt idx="6" formatCode="General">
                  <c:v>0</c:v>
                </c:pt>
              </c:numCache>
            </c:numRef>
          </c:yVal>
          <c:smooth val="0"/>
          <c:extLst>
            <c:ext xmlns:c16="http://schemas.microsoft.com/office/drawing/2014/chart" uri="{C3380CC4-5D6E-409C-BE32-E72D297353CC}">
              <c16:uniqueId val="{00000011-432A-49A9-9499-7ED3E32DDB07}"/>
            </c:ext>
          </c:extLst>
        </c:ser>
        <c:dLbls>
          <c:showLegendKey val="0"/>
          <c:showVal val="0"/>
          <c:showCatName val="0"/>
          <c:showSerName val="0"/>
          <c:showPercent val="0"/>
          <c:showBubbleSize val="0"/>
        </c:dLbls>
        <c:axId val="148241024"/>
        <c:axId val="149054208"/>
      </c:scatterChart>
      <c:valAx>
        <c:axId val="148241024"/>
        <c:scaling>
          <c:orientation val="minMax"/>
          <c:min val="0"/>
        </c:scaling>
        <c:delete val="0"/>
        <c:axPos val="b"/>
        <c:majorGridlines>
          <c:spPr>
            <a:ln w="3175">
              <a:solidFill>
                <a:srgbClr val="000000"/>
              </a:solidFill>
              <a:prstDash val="sysDash"/>
            </a:ln>
          </c:spPr>
        </c:majorGridlines>
        <c:title>
          <c:tx>
            <c:strRef>
              <c:f>Trajecto!$B$112</c:f>
              <c:strCache>
                <c:ptCount val="1"/>
                <c:pt idx="0">
                  <c:v>Portée x [m]</c:v>
                </c:pt>
              </c:strCache>
            </c:strRef>
          </c:tx>
          <c:layout>
            <c:manualLayout>
              <c:xMode val="edge"/>
              <c:yMode val="edge"/>
              <c:x val="0.56464627732344286"/>
              <c:y val="0.84829693458129063"/>
            </c:manualLayout>
          </c:layout>
          <c:overlay val="0"/>
          <c:spPr>
            <a:solidFill>
              <a:srgbClr val="FFFFFF"/>
            </a:solidFill>
            <a:ln w="25400">
              <a:noFill/>
            </a:ln>
          </c:spPr>
          <c:txPr>
            <a:bodyPr/>
            <a:lstStyle/>
            <a:p>
              <a:pPr>
                <a:defRPr sz="800" b="1" i="0" u="none" strike="noStrike" baseline="0">
                  <a:solidFill>
                    <a:srgbClr val="0000FF"/>
                  </a:solidFill>
                  <a:latin typeface="Arial"/>
                  <a:ea typeface="Arial"/>
                  <a:cs typeface="Arial"/>
                </a:defRPr>
              </a:pPr>
              <a:endParaRPr lang="fr-FR"/>
            </a:p>
          </c:txPr>
        </c:title>
        <c:numFmt formatCode="General" sourceLinked="0"/>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fr-FR"/>
          </a:p>
        </c:txPr>
        <c:crossAx val="149054208"/>
        <c:crosses val="autoZero"/>
        <c:crossBetween val="midCat"/>
      </c:valAx>
      <c:valAx>
        <c:axId val="149054208"/>
        <c:scaling>
          <c:orientation val="minMax"/>
          <c:min val="0"/>
        </c:scaling>
        <c:delete val="0"/>
        <c:axPos val="l"/>
        <c:majorGridlines>
          <c:spPr>
            <a:ln w="3175">
              <a:solidFill>
                <a:srgbClr val="000000"/>
              </a:solidFill>
              <a:prstDash val="sysDash"/>
            </a:ln>
          </c:spPr>
        </c:majorGridlines>
        <c:title>
          <c:tx>
            <c:rich>
              <a:bodyPr/>
              <a:lstStyle/>
              <a:p>
                <a:pPr>
                  <a:defRPr sz="800" b="1" i="0" u="none" strike="noStrike" baseline="0">
                    <a:solidFill>
                      <a:srgbClr val="0000FF"/>
                    </a:solidFill>
                    <a:latin typeface="Arial"/>
                    <a:ea typeface="Arial"/>
                    <a:cs typeface="Arial"/>
                  </a:defRPr>
                </a:pPr>
                <a:r>
                  <a:rPr lang="fr-FR"/>
                  <a:t>Altitude z [m]</a:t>
                </a:r>
              </a:p>
            </c:rich>
          </c:tx>
          <c:layout>
            <c:manualLayout>
              <c:xMode val="edge"/>
              <c:yMode val="edge"/>
              <c:x val="8.1818320007296413E-2"/>
              <c:y val="6.8111391736410315E-2"/>
            </c:manualLayout>
          </c:layout>
          <c:overlay val="0"/>
          <c:spPr>
            <a:noFill/>
            <a:ln w="25400">
              <a:noFill/>
            </a:ln>
          </c:spPr>
        </c:title>
        <c:numFmt formatCode="General" sourceLinked="0"/>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fr-FR"/>
          </a:p>
        </c:txPr>
        <c:crossAx val="148241024"/>
        <c:crosses val="autoZero"/>
        <c:crossBetween val="midCat"/>
      </c:valAx>
      <c:spPr>
        <a:gradFill rotWithShape="0">
          <a:gsLst>
            <a:gs pos="0">
              <a:srgbClr val="99CCFF"/>
            </a:gs>
            <a:gs pos="100000">
              <a:srgbClr val="FFFFFF"/>
            </a:gs>
          </a:gsLst>
          <a:lin ang="5400000" scaled="1"/>
        </a:gradFill>
        <a:ln w="12700">
          <a:solidFill>
            <a:srgbClr val="808080"/>
          </a:solidFill>
          <a:prstDash val="solid"/>
        </a:ln>
      </c:spPr>
    </c:plotArea>
    <c:plotVisOnly val="0"/>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51180555555555562" footer="0.51180555555555562"/>
    <c:pageSetup paperSize="9" firstPageNumber="0" orientation="landscape"/>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Trajecto!$B$114</c:f>
          <c:strCache>
            <c:ptCount val="1"/>
            <c:pt idx="0">
              <c:v>Altitude z  /  Temps</c:v>
            </c:pt>
          </c:strCache>
        </c:strRef>
      </c:tx>
      <c:layout>
        <c:manualLayout>
          <c:xMode val="edge"/>
          <c:yMode val="edge"/>
          <c:x val="0.57666688909649"/>
          <c:y val="3.7151818286865097E-2"/>
        </c:manualLayout>
      </c:layout>
      <c:overlay val="0"/>
      <c:spPr>
        <a:noFill/>
        <a:ln w="25400">
          <a:noFill/>
        </a:ln>
      </c:spPr>
      <c:txPr>
        <a:bodyPr/>
        <a:lstStyle/>
        <a:p>
          <a:pPr>
            <a:defRPr sz="800" b="1" i="0" u="none" strike="noStrike" baseline="0">
              <a:solidFill>
                <a:srgbClr val="0000FF"/>
              </a:solidFill>
              <a:latin typeface="Arial"/>
              <a:ea typeface="Arial"/>
              <a:cs typeface="Arial"/>
            </a:defRPr>
          </a:pPr>
          <a:endParaRPr lang="fr-FR"/>
        </a:p>
      </c:txPr>
    </c:title>
    <c:autoTitleDeleted val="0"/>
    <c:plotArea>
      <c:layout>
        <c:manualLayout>
          <c:layoutTarget val="inner"/>
          <c:xMode val="edge"/>
          <c:yMode val="edge"/>
          <c:x val="7.6666916233451413E-2"/>
          <c:y val="3.5608360198500402E-2"/>
          <c:w val="0.89333624132890843"/>
          <c:h val="0.89614373166225958"/>
        </c:manualLayout>
      </c:layout>
      <c:scatterChart>
        <c:scatterStyle val="lineMarker"/>
        <c:varyColors val="0"/>
        <c:ser>
          <c:idx val="4"/>
          <c:order val="0"/>
          <c:tx>
            <c:v>Point invisible pour mise à l'echelle</c:v>
          </c:tx>
          <c:spPr>
            <a:ln w="28575">
              <a:noFill/>
            </a:ln>
          </c:spPr>
          <c:marker>
            <c:symbol val="none"/>
          </c:marker>
          <c:xVal>
            <c:numLit>
              <c:formatCode>General</c:formatCode>
              <c:ptCount val="1"/>
              <c:pt idx="0">
                <c:v>0</c:v>
              </c:pt>
            </c:numLit>
          </c:xVal>
          <c:yVal>
            <c:numRef>
              <c:f>Trajecto!$B$121</c:f>
              <c:numCache>
                <c:formatCode>0</c:formatCode>
                <c:ptCount val="1"/>
                <c:pt idx="0">
                  <c:v>1190.5018925981813</c:v>
                </c:pt>
              </c:numCache>
            </c:numRef>
          </c:yVal>
          <c:smooth val="0"/>
          <c:extLst>
            <c:ext xmlns:c16="http://schemas.microsoft.com/office/drawing/2014/chart" uri="{C3380CC4-5D6E-409C-BE32-E72D297353CC}">
              <c16:uniqueId val="{00000000-4C7F-469F-ADED-1B0B28F452E1}"/>
            </c:ext>
          </c:extLst>
        </c:ser>
        <c:ser>
          <c:idx val="0"/>
          <c:order val="1"/>
          <c:tx>
            <c:v>1 point par seconde</c:v>
          </c:tx>
          <c:spPr>
            <a:ln w="28575">
              <a:noFill/>
            </a:ln>
          </c:spPr>
          <c:marker>
            <c:symbol val="plus"/>
            <c:size val="7"/>
            <c:spPr>
              <a:noFill/>
              <a:ln>
                <a:solidFill>
                  <a:srgbClr val="000000"/>
                </a:solidFill>
                <a:prstDash val="solid"/>
              </a:ln>
            </c:spPr>
          </c:marker>
          <c:xVal>
            <c:numRef>
              <c:f>Calculs!$AC$4:$AC$1004</c:f>
              <c:numCache>
                <c:formatCode>0</c:formatCode>
                <c:ptCount val="1001"/>
                <c:pt idx="0">
                  <c:v>0</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1.0000000000000007</c:v>
                </c:pt>
                <c:pt idx="101">
                  <c:v>#N/A</c:v>
                </c:pt>
                <c:pt idx="102">
                  <c:v>#N/A</c:v>
                </c:pt>
                <c:pt idx="103">
                  <c:v>#N/A</c:v>
                </c:pt>
                <c:pt idx="104">
                  <c:v>#N/A</c:v>
                </c:pt>
                <c:pt idx="105">
                  <c:v>#N/A</c:v>
                </c:pt>
                <c:pt idx="106">
                  <c:v>#N/A</c:v>
                </c:pt>
                <c:pt idx="107">
                  <c:v>#N/A</c:v>
                </c:pt>
                <c:pt idx="108">
                  <c:v>#N/A</c:v>
                </c:pt>
                <c:pt idx="109">
                  <c:v>#N/A</c:v>
                </c:pt>
                <c:pt idx="110">
                  <c:v>2.0000000000000013</c:v>
                </c:pt>
                <c:pt idx="111">
                  <c:v>#N/A</c:v>
                </c:pt>
                <c:pt idx="112">
                  <c:v>#N/A</c:v>
                </c:pt>
                <c:pt idx="113">
                  <c:v>#N/A</c:v>
                </c:pt>
                <c:pt idx="114">
                  <c:v>#N/A</c:v>
                </c:pt>
                <c:pt idx="115">
                  <c:v>#N/A</c:v>
                </c:pt>
                <c:pt idx="116">
                  <c:v>#N/A</c:v>
                </c:pt>
                <c:pt idx="117">
                  <c:v>#N/A</c:v>
                </c:pt>
                <c:pt idx="118">
                  <c:v>#N/A</c:v>
                </c:pt>
                <c:pt idx="119">
                  <c:v>#N/A</c:v>
                </c:pt>
                <c:pt idx="120">
                  <c:v>3.0000000000000022</c:v>
                </c:pt>
                <c:pt idx="121">
                  <c:v>#N/A</c:v>
                </c:pt>
                <c:pt idx="122">
                  <c:v>#N/A</c:v>
                </c:pt>
                <c:pt idx="123">
                  <c:v>#N/A</c:v>
                </c:pt>
                <c:pt idx="124">
                  <c:v>#N/A</c:v>
                </c:pt>
                <c:pt idx="125">
                  <c:v>#N/A</c:v>
                </c:pt>
                <c:pt idx="126">
                  <c:v>#N/A</c:v>
                </c:pt>
                <c:pt idx="127">
                  <c:v>#N/A</c:v>
                </c:pt>
                <c:pt idx="128">
                  <c:v>#N/A</c:v>
                </c:pt>
                <c:pt idx="129">
                  <c:v>#N/A</c:v>
                </c:pt>
                <c:pt idx="130">
                  <c:v>4.0000000000000027</c:v>
                </c:pt>
                <c:pt idx="131">
                  <c:v>#N/A</c:v>
                </c:pt>
                <c:pt idx="132">
                  <c:v>#N/A</c:v>
                </c:pt>
                <c:pt idx="133">
                  <c:v>#N/A</c:v>
                </c:pt>
                <c:pt idx="134">
                  <c:v>#N/A</c:v>
                </c:pt>
                <c:pt idx="135">
                  <c:v>#N/A</c:v>
                </c:pt>
                <c:pt idx="136">
                  <c:v>#N/A</c:v>
                </c:pt>
                <c:pt idx="137">
                  <c:v>#N/A</c:v>
                </c:pt>
                <c:pt idx="138">
                  <c:v>#N/A</c:v>
                </c:pt>
                <c:pt idx="139">
                  <c:v>#N/A</c:v>
                </c:pt>
                <c:pt idx="140">
                  <c:v>4.9999999999999991</c:v>
                </c:pt>
                <c:pt idx="141">
                  <c:v>#N/A</c:v>
                </c:pt>
                <c:pt idx="142">
                  <c:v>#N/A</c:v>
                </c:pt>
                <c:pt idx="143">
                  <c:v>#N/A</c:v>
                </c:pt>
                <c:pt idx="144">
                  <c:v>#N/A</c:v>
                </c:pt>
                <c:pt idx="145">
                  <c:v>#N/A</c:v>
                </c:pt>
                <c:pt idx="146">
                  <c:v>#N/A</c:v>
                </c:pt>
                <c:pt idx="147">
                  <c:v>#N/A</c:v>
                </c:pt>
                <c:pt idx="148">
                  <c:v>#N/A</c:v>
                </c:pt>
                <c:pt idx="149">
                  <c:v>#N/A</c:v>
                </c:pt>
                <c:pt idx="150">
                  <c:v>5.9999999999999956</c:v>
                </c:pt>
                <c:pt idx="151">
                  <c:v>#N/A</c:v>
                </c:pt>
                <c:pt idx="152">
                  <c:v>#N/A</c:v>
                </c:pt>
                <c:pt idx="153">
                  <c:v>#N/A</c:v>
                </c:pt>
                <c:pt idx="154">
                  <c:v>#N/A</c:v>
                </c:pt>
                <c:pt idx="155">
                  <c:v>#N/A</c:v>
                </c:pt>
                <c:pt idx="156">
                  <c:v>#N/A</c:v>
                </c:pt>
                <c:pt idx="157">
                  <c:v>#N/A</c:v>
                </c:pt>
                <c:pt idx="158">
                  <c:v>#N/A</c:v>
                </c:pt>
                <c:pt idx="159">
                  <c:v>#N/A</c:v>
                </c:pt>
                <c:pt idx="160">
                  <c:v>6.999999999999992</c:v>
                </c:pt>
                <c:pt idx="161">
                  <c:v>#N/A</c:v>
                </c:pt>
                <c:pt idx="162">
                  <c:v>#N/A</c:v>
                </c:pt>
                <c:pt idx="163">
                  <c:v>#N/A</c:v>
                </c:pt>
                <c:pt idx="164">
                  <c:v>#N/A</c:v>
                </c:pt>
                <c:pt idx="165">
                  <c:v>#N/A</c:v>
                </c:pt>
                <c:pt idx="166">
                  <c:v>#N/A</c:v>
                </c:pt>
                <c:pt idx="167">
                  <c:v>#N/A</c:v>
                </c:pt>
                <c:pt idx="168">
                  <c:v>#N/A</c:v>
                </c:pt>
                <c:pt idx="169">
                  <c:v>#N/A</c:v>
                </c:pt>
                <c:pt idx="170">
                  <c:v>7.9999999999999885</c:v>
                </c:pt>
                <c:pt idx="171">
                  <c:v>#N/A</c:v>
                </c:pt>
                <c:pt idx="172">
                  <c:v>#N/A</c:v>
                </c:pt>
                <c:pt idx="173">
                  <c:v>#N/A</c:v>
                </c:pt>
                <c:pt idx="174">
                  <c:v>#N/A</c:v>
                </c:pt>
                <c:pt idx="175">
                  <c:v>#N/A</c:v>
                </c:pt>
                <c:pt idx="176">
                  <c:v>#N/A</c:v>
                </c:pt>
                <c:pt idx="177">
                  <c:v>#N/A</c:v>
                </c:pt>
                <c:pt idx="178">
                  <c:v>#N/A</c:v>
                </c:pt>
                <c:pt idx="179">
                  <c:v>#N/A</c:v>
                </c:pt>
                <c:pt idx="180">
                  <c:v>8.9999999999999858</c:v>
                </c:pt>
                <c:pt idx="181">
                  <c:v>#N/A</c:v>
                </c:pt>
                <c:pt idx="182">
                  <c:v>#N/A</c:v>
                </c:pt>
                <c:pt idx="183">
                  <c:v>#N/A</c:v>
                </c:pt>
                <c:pt idx="184">
                  <c:v>#N/A</c:v>
                </c:pt>
                <c:pt idx="185">
                  <c:v>#N/A</c:v>
                </c:pt>
                <c:pt idx="186">
                  <c:v>#N/A</c:v>
                </c:pt>
                <c:pt idx="187">
                  <c:v>#N/A</c:v>
                </c:pt>
                <c:pt idx="188">
                  <c:v>#N/A</c:v>
                </c:pt>
                <c:pt idx="189">
                  <c:v>#N/A</c:v>
                </c:pt>
                <c:pt idx="190">
                  <c:v>9.9999999999999822</c:v>
                </c:pt>
                <c:pt idx="191">
                  <c:v>#N/A</c:v>
                </c:pt>
                <c:pt idx="192">
                  <c:v>#N/A</c:v>
                </c:pt>
                <c:pt idx="193">
                  <c:v>#N/A</c:v>
                </c:pt>
                <c:pt idx="194">
                  <c:v>#N/A</c:v>
                </c:pt>
                <c:pt idx="195">
                  <c:v>#N/A</c:v>
                </c:pt>
                <c:pt idx="196">
                  <c:v>#N/A</c:v>
                </c:pt>
                <c:pt idx="197">
                  <c:v>#N/A</c:v>
                </c:pt>
                <c:pt idx="198">
                  <c:v>#N/A</c:v>
                </c:pt>
                <c:pt idx="199">
                  <c:v>#N/A</c:v>
                </c:pt>
                <c:pt idx="200">
                  <c:v>10.999999999999979</c:v>
                </c:pt>
                <c:pt idx="201">
                  <c:v>#N/A</c:v>
                </c:pt>
                <c:pt idx="202">
                  <c:v>#N/A</c:v>
                </c:pt>
                <c:pt idx="203">
                  <c:v>#N/A</c:v>
                </c:pt>
                <c:pt idx="204">
                  <c:v>#N/A</c:v>
                </c:pt>
                <c:pt idx="205">
                  <c:v>#N/A</c:v>
                </c:pt>
                <c:pt idx="206">
                  <c:v>#N/A</c:v>
                </c:pt>
                <c:pt idx="207">
                  <c:v>#N/A</c:v>
                </c:pt>
                <c:pt idx="208">
                  <c:v>#N/A</c:v>
                </c:pt>
                <c:pt idx="209">
                  <c:v>#N/A</c:v>
                </c:pt>
                <c:pt idx="210">
                  <c:v>11.999999999999975</c:v>
                </c:pt>
                <c:pt idx="211">
                  <c:v>#N/A</c:v>
                </c:pt>
                <c:pt idx="212">
                  <c:v>#N/A</c:v>
                </c:pt>
                <c:pt idx="213">
                  <c:v>#N/A</c:v>
                </c:pt>
                <c:pt idx="214">
                  <c:v>#N/A</c:v>
                </c:pt>
                <c:pt idx="215">
                  <c:v>#N/A</c:v>
                </c:pt>
                <c:pt idx="216">
                  <c:v>#N/A</c:v>
                </c:pt>
                <c:pt idx="217">
                  <c:v>#N/A</c:v>
                </c:pt>
                <c:pt idx="218">
                  <c:v>#N/A</c:v>
                </c:pt>
                <c:pt idx="219">
                  <c:v>#N/A</c:v>
                </c:pt>
                <c:pt idx="220">
                  <c:v>12.999999999999972</c:v>
                </c:pt>
                <c:pt idx="221">
                  <c:v>#N/A</c:v>
                </c:pt>
                <c:pt idx="222">
                  <c:v>#N/A</c:v>
                </c:pt>
                <c:pt idx="223">
                  <c:v>#N/A</c:v>
                </c:pt>
                <c:pt idx="224">
                  <c:v>#N/A</c:v>
                </c:pt>
                <c:pt idx="225">
                  <c:v>#N/A</c:v>
                </c:pt>
                <c:pt idx="226">
                  <c:v>#N/A</c:v>
                </c:pt>
                <c:pt idx="227">
                  <c:v>#N/A</c:v>
                </c:pt>
                <c:pt idx="228">
                  <c:v>#N/A</c:v>
                </c:pt>
                <c:pt idx="229">
                  <c:v>#N/A</c:v>
                </c:pt>
                <c:pt idx="230">
                  <c:v>13.999999999999968</c:v>
                </c:pt>
                <c:pt idx="231">
                  <c:v>#N/A</c:v>
                </c:pt>
                <c:pt idx="232">
                  <c:v>#N/A</c:v>
                </c:pt>
                <c:pt idx="233">
                  <c:v>#N/A</c:v>
                </c:pt>
                <c:pt idx="234">
                  <c:v>#N/A</c:v>
                </c:pt>
                <c:pt idx="235">
                  <c:v>#N/A</c:v>
                </c:pt>
                <c:pt idx="236">
                  <c:v>#N/A</c:v>
                </c:pt>
                <c:pt idx="237">
                  <c:v>#N/A</c:v>
                </c:pt>
                <c:pt idx="238">
                  <c:v>#N/A</c:v>
                </c:pt>
                <c:pt idx="239">
                  <c:v>#N/A</c:v>
                </c:pt>
                <c:pt idx="240">
                  <c:v>14.999999999999964</c:v>
                </c:pt>
                <c:pt idx="241">
                  <c:v>#N/A</c:v>
                </c:pt>
                <c:pt idx="242">
                  <c:v>#N/A</c:v>
                </c:pt>
                <c:pt idx="243">
                  <c:v>#N/A</c:v>
                </c:pt>
                <c:pt idx="244">
                  <c:v>#N/A</c:v>
                </c:pt>
                <c:pt idx="245">
                  <c:v>#N/A</c:v>
                </c:pt>
                <c:pt idx="246">
                  <c:v>#N/A</c:v>
                </c:pt>
                <c:pt idx="247">
                  <c:v>#N/A</c:v>
                </c:pt>
                <c:pt idx="248">
                  <c:v>#N/A</c:v>
                </c:pt>
                <c:pt idx="249">
                  <c:v>#N/A</c:v>
                </c:pt>
                <c:pt idx="250">
                  <c:v>15.999999999999961</c:v>
                </c:pt>
                <c:pt idx="251">
                  <c:v>#N/A</c:v>
                </c:pt>
                <c:pt idx="252">
                  <c:v>#N/A</c:v>
                </c:pt>
                <c:pt idx="253">
                  <c:v>#N/A</c:v>
                </c:pt>
                <c:pt idx="254">
                  <c:v>#N/A</c:v>
                </c:pt>
                <c:pt idx="255">
                  <c:v>#N/A</c:v>
                </c:pt>
                <c:pt idx="256">
                  <c:v>#N/A</c:v>
                </c:pt>
                <c:pt idx="257">
                  <c:v>#N/A</c:v>
                </c:pt>
                <c:pt idx="258">
                  <c:v>#N/A</c:v>
                </c:pt>
                <c:pt idx="259">
                  <c:v>#N/A</c:v>
                </c:pt>
                <c:pt idx="260">
                  <c:v>16.999999999999975</c:v>
                </c:pt>
                <c:pt idx="261">
                  <c:v>#N/A</c:v>
                </c:pt>
                <c:pt idx="262">
                  <c:v>#N/A</c:v>
                </c:pt>
                <c:pt idx="263">
                  <c:v>#N/A</c:v>
                </c:pt>
                <c:pt idx="264">
                  <c:v>#N/A</c:v>
                </c:pt>
                <c:pt idx="265">
                  <c:v>#N/A</c:v>
                </c:pt>
                <c:pt idx="266">
                  <c:v>#N/A</c:v>
                </c:pt>
                <c:pt idx="267">
                  <c:v>#N/A</c:v>
                </c:pt>
                <c:pt idx="268">
                  <c:v>#N/A</c:v>
                </c:pt>
                <c:pt idx="269">
                  <c:v>#N/A</c:v>
                </c:pt>
                <c:pt idx="270">
                  <c:v>17.999999999999989</c:v>
                </c:pt>
                <c:pt idx="271">
                  <c:v>#N/A</c:v>
                </c:pt>
                <c:pt idx="272">
                  <c:v>#N/A</c:v>
                </c:pt>
                <c:pt idx="273">
                  <c:v>#N/A</c:v>
                </c:pt>
                <c:pt idx="274">
                  <c:v>#N/A</c:v>
                </c:pt>
                <c:pt idx="275">
                  <c:v>#N/A</c:v>
                </c:pt>
                <c:pt idx="276">
                  <c:v>#N/A</c:v>
                </c:pt>
                <c:pt idx="277">
                  <c:v>#N/A</c:v>
                </c:pt>
                <c:pt idx="278">
                  <c:v>#N/A</c:v>
                </c:pt>
                <c:pt idx="279">
                  <c:v>#N/A</c:v>
                </c:pt>
                <c:pt idx="280">
                  <c:v>19.000000000000004</c:v>
                </c:pt>
                <c:pt idx="281">
                  <c:v>#N/A</c:v>
                </c:pt>
                <c:pt idx="282">
                  <c:v>#N/A</c:v>
                </c:pt>
                <c:pt idx="283">
                  <c:v>#N/A</c:v>
                </c:pt>
                <c:pt idx="284">
                  <c:v>#N/A</c:v>
                </c:pt>
                <c:pt idx="285">
                  <c:v>#N/A</c:v>
                </c:pt>
                <c:pt idx="286">
                  <c:v>#N/A</c:v>
                </c:pt>
                <c:pt idx="287">
                  <c:v>#N/A</c:v>
                </c:pt>
                <c:pt idx="288">
                  <c:v>#N/A</c:v>
                </c:pt>
                <c:pt idx="289">
                  <c:v>#N/A</c:v>
                </c:pt>
                <c:pt idx="290">
                  <c:v>20.000000000000018</c:v>
                </c:pt>
                <c:pt idx="291">
                  <c:v>#N/A</c:v>
                </c:pt>
                <c:pt idx="292">
                  <c:v>#N/A</c:v>
                </c:pt>
                <c:pt idx="293">
                  <c:v>#N/A</c:v>
                </c:pt>
                <c:pt idx="294">
                  <c:v>#N/A</c:v>
                </c:pt>
                <c:pt idx="295">
                  <c:v>#N/A</c:v>
                </c:pt>
                <c:pt idx="296">
                  <c:v>#N/A</c:v>
                </c:pt>
                <c:pt idx="297">
                  <c:v>#N/A</c:v>
                </c:pt>
                <c:pt idx="298">
                  <c:v>#N/A</c:v>
                </c:pt>
                <c:pt idx="299">
                  <c:v>#N/A</c:v>
                </c:pt>
                <c:pt idx="300">
                  <c:v>21.000000000000032</c:v>
                </c:pt>
                <c:pt idx="301">
                  <c:v>#N/A</c:v>
                </c:pt>
                <c:pt idx="302">
                  <c:v>#N/A</c:v>
                </c:pt>
                <c:pt idx="303">
                  <c:v>#N/A</c:v>
                </c:pt>
                <c:pt idx="304">
                  <c:v>#N/A</c:v>
                </c:pt>
                <c:pt idx="305">
                  <c:v>#N/A</c:v>
                </c:pt>
                <c:pt idx="306">
                  <c:v>#N/A</c:v>
                </c:pt>
                <c:pt idx="307">
                  <c:v>#N/A</c:v>
                </c:pt>
                <c:pt idx="308">
                  <c:v>#N/A</c:v>
                </c:pt>
                <c:pt idx="309">
                  <c:v>#N/A</c:v>
                </c:pt>
                <c:pt idx="310">
                  <c:v>22.000000000000046</c:v>
                </c:pt>
                <c:pt idx="311">
                  <c:v>#N/A</c:v>
                </c:pt>
                <c:pt idx="312">
                  <c:v>#N/A</c:v>
                </c:pt>
                <c:pt idx="313">
                  <c:v>#N/A</c:v>
                </c:pt>
                <c:pt idx="314">
                  <c:v>#N/A</c:v>
                </c:pt>
                <c:pt idx="315">
                  <c:v>#N/A</c:v>
                </c:pt>
                <c:pt idx="316">
                  <c:v>#N/A</c:v>
                </c:pt>
                <c:pt idx="317">
                  <c:v>#N/A</c:v>
                </c:pt>
                <c:pt idx="318">
                  <c:v>#N/A</c:v>
                </c:pt>
                <c:pt idx="319">
                  <c:v>#N/A</c:v>
                </c:pt>
                <c:pt idx="320">
                  <c:v>23.00000000000006</c:v>
                </c:pt>
                <c:pt idx="321">
                  <c:v>#N/A</c:v>
                </c:pt>
                <c:pt idx="322">
                  <c:v>#N/A</c:v>
                </c:pt>
                <c:pt idx="323">
                  <c:v>#N/A</c:v>
                </c:pt>
                <c:pt idx="324">
                  <c:v>#N/A</c:v>
                </c:pt>
                <c:pt idx="325">
                  <c:v>#N/A</c:v>
                </c:pt>
                <c:pt idx="326">
                  <c:v>#N/A</c:v>
                </c:pt>
                <c:pt idx="327">
                  <c:v>#N/A</c:v>
                </c:pt>
                <c:pt idx="328">
                  <c:v>#N/A</c:v>
                </c:pt>
                <c:pt idx="329">
                  <c:v>#N/A</c:v>
                </c:pt>
                <c:pt idx="330">
                  <c:v>24.000000000000075</c:v>
                </c:pt>
                <c:pt idx="331">
                  <c:v>#N/A</c:v>
                </c:pt>
                <c:pt idx="332">
                  <c:v>#N/A</c:v>
                </c:pt>
                <c:pt idx="333">
                  <c:v>#N/A</c:v>
                </c:pt>
                <c:pt idx="334">
                  <c:v>#N/A</c:v>
                </c:pt>
                <c:pt idx="335">
                  <c:v>#N/A</c:v>
                </c:pt>
                <c:pt idx="336">
                  <c:v>#N/A</c:v>
                </c:pt>
                <c:pt idx="337">
                  <c:v>#N/A</c:v>
                </c:pt>
                <c:pt idx="338">
                  <c:v>#N/A</c:v>
                </c:pt>
                <c:pt idx="339">
                  <c:v>#N/A</c:v>
                </c:pt>
                <c:pt idx="340">
                  <c:v>25.000000000000089</c:v>
                </c:pt>
                <c:pt idx="341">
                  <c:v>#N/A</c:v>
                </c:pt>
                <c:pt idx="342">
                  <c:v>#N/A</c:v>
                </c:pt>
                <c:pt idx="343">
                  <c:v>#N/A</c:v>
                </c:pt>
                <c:pt idx="344">
                  <c:v>#N/A</c:v>
                </c:pt>
                <c:pt idx="345">
                  <c:v>#N/A</c:v>
                </c:pt>
                <c:pt idx="346">
                  <c:v>#N/A</c:v>
                </c:pt>
                <c:pt idx="347">
                  <c:v>#N/A</c:v>
                </c:pt>
                <c:pt idx="348">
                  <c:v>#N/A</c:v>
                </c:pt>
                <c:pt idx="349">
                  <c:v>#N/A</c:v>
                </c:pt>
                <c:pt idx="350">
                  <c:v>26.000000000000103</c:v>
                </c:pt>
                <c:pt idx="351">
                  <c:v>#N/A</c:v>
                </c:pt>
                <c:pt idx="352">
                  <c:v>#N/A</c:v>
                </c:pt>
                <c:pt idx="353">
                  <c:v>#N/A</c:v>
                </c:pt>
                <c:pt idx="354">
                  <c:v>#N/A</c:v>
                </c:pt>
                <c:pt idx="355">
                  <c:v>#N/A</c:v>
                </c:pt>
                <c:pt idx="356">
                  <c:v>#N/A</c:v>
                </c:pt>
                <c:pt idx="357">
                  <c:v>#N/A</c:v>
                </c:pt>
                <c:pt idx="358">
                  <c:v>#N/A</c:v>
                </c:pt>
                <c:pt idx="359">
                  <c:v>#N/A</c:v>
                </c:pt>
                <c:pt idx="360">
                  <c:v>27.000000000000117</c:v>
                </c:pt>
                <c:pt idx="361">
                  <c:v>#N/A</c:v>
                </c:pt>
                <c:pt idx="362">
                  <c:v>#N/A</c:v>
                </c:pt>
                <c:pt idx="363">
                  <c:v>#N/A</c:v>
                </c:pt>
                <c:pt idx="364">
                  <c:v>#N/A</c:v>
                </c:pt>
                <c:pt idx="365">
                  <c:v>#N/A</c:v>
                </c:pt>
                <c:pt idx="366">
                  <c:v>#N/A</c:v>
                </c:pt>
                <c:pt idx="367">
                  <c:v>#N/A</c:v>
                </c:pt>
                <c:pt idx="368">
                  <c:v>#N/A</c:v>
                </c:pt>
                <c:pt idx="369">
                  <c:v>#N/A</c:v>
                </c:pt>
                <c:pt idx="370">
                  <c:v>28.000000000000131</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pt idx="445">
                  <c:v>#N/A</c:v>
                </c:pt>
                <c:pt idx="446">
                  <c:v>#N/A</c:v>
                </c:pt>
                <c:pt idx="447">
                  <c:v>#N/A</c:v>
                </c:pt>
                <c:pt idx="448">
                  <c:v>#N/A</c:v>
                </c:pt>
                <c:pt idx="449">
                  <c:v>#N/A</c:v>
                </c:pt>
                <c:pt idx="450">
                  <c:v>#N/A</c:v>
                </c:pt>
                <c:pt idx="451">
                  <c:v>#N/A</c:v>
                </c:pt>
                <c:pt idx="452">
                  <c:v>#N/A</c:v>
                </c:pt>
                <c:pt idx="453">
                  <c:v>#N/A</c:v>
                </c:pt>
                <c:pt idx="454">
                  <c:v>#N/A</c:v>
                </c:pt>
                <c:pt idx="455">
                  <c:v>#N/A</c:v>
                </c:pt>
                <c:pt idx="456">
                  <c:v>#N/A</c:v>
                </c:pt>
                <c:pt idx="457">
                  <c:v>#N/A</c:v>
                </c:pt>
                <c:pt idx="458">
                  <c:v>#N/A</c:v>
                </c:pt>
                <c:pt idx="459">
                  <c:v>#N/A</c:v>
                </c:pt>
                <c:pt idx="460">
                  <c:v>#N/A</c:v>
                </c:pt>
                <c:pt idx="461">
                  <c:v>#N/A</c:v>
                </c:pt>
                <c:pt idx="462">
                  <c:v>#N/A</c:v>
                </c:pt>
                <c:pt idx="463">
                  <c:v>#N/A</c:v>
                </c:pt>
                <c:pt idx="464">
                  <c:v>#N/A</c:v>
                </c:pt>
                <c:pt idx="465">
                  <c:v>#N/A</c:v>
                </c:pt>
                <c:pt idx="466">
                  <c:v>#N/A</c:v>
                </c:pt>
                <c:pt idx="467">
                  <c:v>#N/A</c:v>
                </c:pt>
                <c:pt idx="468">
                  <c:v>#N/A</c:v>
                </c:pt>
                <c:pt idx="469">
                  <c:v>#N/A</c:v>
                </c:pt>
                <c:pt idx="470">
                  <c:v>#N/A</c:v>
                </c:pt>
                <c:pt idx="471">
                  <c:v>#N/A</c:v>
                </c:pt>
                <c:pt idx="472">
                  <c:v>#N/A</c:v>
                </c:pt>
                <c:pt idx="473">
                  <c:v>#N/A</c:v>
                </c:pt>
                <c:pt idx="474">
                  <c:v>#N/A</c:v>
                </c:pt>
                <c:pt idx="475">
                  <c:v>#N/A</c:v>
                </c:pt>
                <c:pt idx="476">
                  <c:v>#N/A</c:v>
                </c:pt>
                <c:pt idx="477">
                  <c:v>#N/A</c:v>
                </c:pt>
                <c:pt idx="478">
                  <c:v>#N/A</c:v>
                </c:pt>
                <c:pt idx="479">
                  <c:v>#N/A</c:v>
                </c:pt>
                <c:pt idx="480">
                  <c:v>#N/A</c:v>
                </c:pt>
                <c:pt idx="481">
                  <c:v>#N/A</c:v>
                </c:pt>
                <c:pt idx="482">
                  <c:v>#N/A</c:v>
                </c:pt>
                <c:pt idx="483">
                  <c:v>#N/A</c:v>
                </c:pt>
                <c:pt idx="484">
                  <c:v>#N/A</c:v>
                </c:pt>
                <c:pt idx="485">
                  <c:v>#N/A</c:v>
                </c:pt>
                <c:pt idx="486">
                  <c:v>#N/A</c:v>
                </c:pt>
                <c:pt idx="487">
                  <c:v>#N/A</c:v>
                </c:pt>
                <c:pt idx="488">
                  <c:v>#N/A</c:v>
                </c:pt>
                <c:pt idx="489">
                  <c:v>#N/A</c:v>
                </c:pt>
                <c:pt idx="490">
                  <c:v>#N/A</c:v>
                </c:pt>
                <c:pt idx="491">
                  <c:v>#N/A</c:v>
                </c:pt>
                <c:pt idx="492">
                  <c:v>#N/A</c:v>
                </c:pt>
                <c:pt idx="493">
                  <c:v>#N/A</c:v>
                </c:pt>
                <c:pt idx="494">
                  <c:v>#N/A</c:v>
                </c:pt>
                <c:pt idx="495">
                  <c:v>#N/A</c:v>
                </c:pt>
                <c:pt idx="496">
                  <c:v>#N/A</c:v>
                </c:pt>
                <c:pt idx="497">
                  <c:v>#N/A</c:v>
                </c:pt>
                <c:pt idx="498">
                  <c:v>#N/A</c:v>
                </c:pt>
                <c:pt idx="499">
                  <c:v>#N/A</c:v>
                </c:pt>
                <c:pt idx="500">
                  <c:v>#N/A</c:v>
                </c:pt>
                <c:pt idx="501">
                  <c:v>#N/A</c:v>
                </c:pt>
                <c:pt idx="502">
                  <c:v>#N/A</c:v>
                </c:pt>
                <c:pt idx="503">
                  <c:v>#N/A</c:v>
                </c:pt>
                <c:pt idx="504">
                  <c:v>#N/A</c:v>
                </c:pt>
                <c:pt idx="505">
                  <c:v>#N/A</c:v>
                </c:pt>
                <c:pt idx="506">
                  <c:v>#N/A</c:v>
                </c:pt>
                <c:pt idx="507">
                  <c:v>#N/A</c:v>
                </c:pt>
                <c:pt idx="508">
                  <c:v>#N/A</c:v>
                </c:pt>
                <c:pt idx="509">
                  <c:v>#N/A</c:v>
                </c:pt>
                <c:pt idx="510">
                  <c:v>#N/A</c:v>
                </c:pt>
                <c:pt idx="511">
                  <c:v>#N/A</c:v>
                </c:pt>
                <c:pt idx="512">
                  <c:v>#N/A</c:v>
                </c:pt>
                <c:pt idx="513">
                  <c:v>#N/A</c:v>
                </c:pt>
                <c:pt idx="514">
                  <c:v>#N/A</c:v>
                </c:pt>
                <c:pt idx="515">
                  <c:v>#N/A</c:v>
                </c:pt>
                <c:pt idx="516">
                  <c:v>#N/A</c:v>
                </c:pt>
                <c:pt idx="517">
                  <c:v>#N/A</c:v>
                </c:pt>
                <c:pt idx="518">
                  <c:v>#N/A</c:v>
                </c:pt>
                <c:pt idx="519">
                  <c:v>#N/A</c:v>
                </c:pt>
                <c:pt idx="520">
                  <c:v>#N/A</c:v>
                </c:pt>
                <c:pt idx="521">
                  <c:v>#N/A</c:v>
                </c:pt>
                <c:pt idx="522">
                  <c:v>#N/A</c:v>
                </c:pt>
                <c:pt idx="523">
                  <c:v>#N/A</c:v>
                </c:pt>
                <c:pt idx="524">
                  <c:v>#N/A</c:v>
                </c:pt>
                <c:pt idx="525">
                  <c:v>#N/A</c:v>
                </c:pt>
                <c:pt idx="526">
                  <c:v>#N/A</c:v>
                </c:pt>
                <c:pt idx="527">
                  <c:v>#N/A</c:v>
                </c:pt>
                <c:pt idx="528">
                  <c:v>#N/A</c:v>
                </c:pt>
                <c:pt idx="529">
                  <c:v>#N/A</c:v>
                </c:pt>
                <c:pt idx="530">
                  <c:v>#N/A</c:v>
                </c:pt>
                <c:pt idx="531">
                  <c:v>#N/A</c:v>
                </c:pt>
                <c:pt idx="532">
                  <c:v>#N/A</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c:v>#N/A</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c:v>#N/A</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c:v>#N/A</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c:v>#N/A</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c:v>#N/A</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c:v>#N/A</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c:v>#N/A</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#N/A</c:v>
                </c:pt>
                <c:pt idx="783">
                  <c:v>#N/A</c:v>
                </c:pt>
                <c:pt idx="784">
                  <c:v>#N/A</c:v>
                </c:pt>
                <c:pt idx="785">
                  <c:v>#N/A</c:v>
                </c:pt>
                <c:pt idx="786">
                  <c:v>#N/A</c:v>
                </c:pt>
                <c:pt idx="787">
                  <c:v>#N/A</c:v>
                </c:pt>
                <c:pt idx="788">
                  <c:v>#N/A</c:v>
                </c:pt>
                <c:pt idx="789">
                  <c:v>#N/A</c:v>
                </c:pt>
                <c:pt idx="790">
                  <c:v>#N/A</c:v>
                </c:pt>
                <c:pt idx="791">
                  <c:v>#N/A</c:v>
                </c:pt>
                <c:pt idx="792">
                  <c:v>#N/A</c:v>
                </c:pt>
                <c:pt idx="793">
                  <c:v>#N/A</c:v>
                </c:pt>
                <c:pt idx="794">
                  <c:v>#N/A</c:v>
                </c:pt>
                <c:pt idx="795">
                  <c:v>#N/A</c:v>
                </c:pt>
                <c:pt idx="796">
                  <c:v>#N/A</c:v>
                </c:pt>
                <c:pt idx="797">
                  <c:v>#N/A</c:v>
                </c:pt>
                <c:pt idx="798">
                  <c:v>#N/A</c:v>
                </c:pt>
                <c:pt idx="799">
                  <c:v>#N/A</c:v>
                </c:pt>
                <c:pt idx="800">
                  <c:v>#N/A</c:v>
                </c:pt>
                <c:pt idx="801">
                  <c:v>#N/A</c:v>
                </c:pt>
                <c:pt idx="802">
                  <c:v>#N/A</c:v>
                </c:pt>
                <c:pt idx="803">
                  <c:v>#N/A</c:v>
                </c:pt>
                <c:pt idx="804">
                  <c:v>#N/A</c:v>
                </c:pt>
                <c:pt idx="805">
                  <c:v>#N/A</c:v>
                </c:pt>
                <c:pt idx="806">
                  <c:v>#N/A</c:v>
                </c:pt>
                <c:pt idx="807">
                  <c:v>#N/A</c:v>
                </c:pt>
                <c:pt idx="808">
                  <c:v>#N/A</c:v>
                </c:pt>
                <c:pt idx="809">
                  <c:v>#N/A</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pt idx="1000">
                  <c:v>#N/A</c:v>
                </c:pt>
              </c:numCache>
            </c:numRef>
          </c:xVal>
          <c:yVal>
            <c:numRef>
              <c:f>Calculs!$K$4:$K$1004</c:f>
              <c:numCache>
                <c:formatCode>0.00</c:formatCode>
                <c:ptCount val="1001"/>
                <c:pt idx="0">
                  <c:v>570.20506866099674</c:v>
                </c:pt>
                <c:pt idx="1">
                  <c:v>571.70180485420815</c:v>
                </c:pt>
                <c:pt idx="2">
                  <c:v>573.19555889131561</c:v>
                </c:pt>
                <c:pt idx="3">
                  <c:v>574.6863389760498</c:v>
                </c:pt>
                <c:pt idx="4">
                  <c:v>576.17415327135552</c:v>
                </c:pt>
                <c:pt idx="5">
                  <c:v>577.65900989965996</c:v>
                </c:pt>
                <c:pt idx="6">
                  <c:v>579.14091694313913</c:v>
                </c:pt>
                <c:pt idx="7">
                  <c:v>580.6198824439814</c:v>
                </c:pt>
                <c:pt idx="8">
                  <c:v>582.09591440464942</c:v>
                </c:pt>
                <c:pt idx="9">
                  <c:v>583.56902078813982</c:v>
                </c:pt>
                <c:pt idx="10">
                  <c:v>585.03920951824068</c:v>
                </c:pt>
                <c:pt idx="11">
                  <c:v>586.50648846886315</c:v>
                </c:pt>
                <c:pt idx="12">
                  <c:v>587.97086545361992</c:v>
                </c:pt>
                <c:pt idx="13">
                  <c:v>589.43234823749185</c:v>
                </c:pt>
                <c:pt idx="14">
                  <c:v>590.89094454823828</c:v>
                </c:pt>
                <c:pt idx="15">
                  <c:v>592.34666207663042</c:v>
                </c:pt>
                <c:pt idx="16">
                  <c:v>593.7995084766826</c:v>
                </c:pt>
                <c:pt idx="17">
                  <c:v>595.24949136588236</c:v>
                </c:pt>
                <c:pt idx="18">
                  <c:v>596.69661832541772</c:v>
                </c:pt>
                <c:pt idx="19">
                  <c:v>598.14089690040373</c:v>
                </c:pt>
                <c:pt idx="20">
                  <c:v>599.58233460010649</c:v>
                </c:pt>
                <c:pt idx="21">
                  <c:v>601.02093890362949</c:v>
                </c:pt>
                <c:pt idx="22">
                  <c:v>602.45671726547835</c:v>
                </c:pt>
                <c:pt idx="23">
                  <c:v>603.88967711007933</c:v>
                </c:pt>
                <c:pt idx="24">
                  <c:v>605.31982582641808</c:v>
                </c:pt>
                <c:pt idx="25">
                  <c:v>606.74717076826209</c:v>
                </c:pt>
                <c:pt idx="26">
                  <c:v>608.17171925438083</c:v>
                </c:pt>
                <c:pt idx="27">
                  <c:v>609.59347856876457</c:v>
                </c:pt>
                <c:pt idx="28">
                  <c:v>611.01245596084152</c:v>
                </c:pt>
                <c:pt idx="29">
                  <c:v>612.42865864569285</c:v>
                </c:pt>
                <c:pt idx="30">
                  <c:v>613.84209380426614</c:v>
                </c:pt>
                <c:pt idx="31">
                  <c:v>615.25276858358757</c:v>
                </c:pt>
                <c:pt idx="32">
                  <c:v>616.66069009697196</c:v>
                </c:pt>
                <c:pt idx="33">
                  <c:v>618.06586542423133</c:v>
                </c:pt>
                <c:pt idx="34">
                  <c:v>619.468301611882</c:v>
                </c:pt>
                <c:pt idx="35">
                  <c:v>620.86800567334967</c:v>
                </c:pt>
                <c:pt idx="36">
                  <c:v>622.26498458917342</c:v>
                </c:pt>
                <c:pt idx="37">
                  <c:v>623.6592453072077</c:v>
                </c:pt>
                <c:pt idx="38">
                  <c:v>625.05079474282297</c:v>
                </c:pt>
                <c:pt idx="39">
                  <c:v>626.43963977910482</c:v>
                </c:pt>
                <c:pt idx="40">
                  <c:v>627.82578726705128</c:v>
                </c:pt>
                <c:pt idx="41">
                  <c:v>629.20924402576895</c:v>
                </c:pt>
                <c:pt idx="42">
                  <c:v>630.5900168426673</c:v>
                </c:pt>
                <c:pt idx="43">
                  <c:v>631.96811247365179</c:v>
                </c:pt>
                <c:pt idx="44">
                  <c:v>633.34353764331524</c:v>
                </c:pt>
                <c:pt idx="45">
                  <c:v>634.71629904512793</c:v>
                </c:pt>
                <c:pt idx="46">
                  <c:v>636.08640334162612</c:v>
                </c:pt>
                <c:pt idx="47">
                  <c:v>637.45385716459896</c:v>
                </c:pt>
                <c:pt idx="48">
                  <c:v>638.81866711527448</c:v>
                </c:pt>
                <c:pt idx="49">
                  <c:v>640.18083976450373</c:v>
                </c:pt>
                <c:pt idx="50">
                  <c:v>641.54038165294355</c:v>
                </c:pt>
                <c:pt idx="51">
                  <c:v>642.89729929123826</c:v>
                </c:pt>
                <c:pt idx="52">
                  <c:v>644.25159916019936</c:v>
                </c:pt>
                <c:pt idx="53">
                  <c:v>645.60328771098477</c:v>
                </c:pt>
                <c:pt idx="54">
                  <c:v>646.95237136527589</c:v>
                </c:pt>
                <c:pt idx="55">
                  <c:v>648.29885651545351</c:v>
                </c:pt>
                <c:pt idx="56">
                  <c:v>649.64274952477285</c:v>
                </c:pt>
                <c:pt idx="57">
                  <c:v>650.98405672753677</c:v>
                </c:pt>
                <c:pt idx="58">
                  <c:v>652.32278442926781</c:v>
                </c:pt>
                <c:pt idx="59">
                  <c:v>653.65893890687914</c:v>
                </c:pt>
                <c:pt idx="60">
                  <c:v>654.9925264088439</c:v>
                </c:pt>
                <c:pt idx="61">
                  <c:v>656.32355315536358</c:v>
                </c:pt>
                <c:pt idx="62">
                  <c:v>657.65202533853494</c:v>
                </c:pt>
                <c:pt idx="63">
                  <c:v>658.97794912251584</c:v>
                </c:pt>
                <c:pt idx="64">
                  <c:v>660.30133064368943</c:v>
                </c:pt>
                <c:pt idx="65">
                  <c:v>661.62217601082773</c:v>
                </c:pt>
                <c:pt idx="66">
                  <c:v>662.94049130525377</c:v>
                </c:pt>
                <c:pt idx="67">
                  <c:v>664.25628258100221</c:v>
                </c:pt>
                <c:pt idx="68">
                  <c:v>665.56955586497907</c:v>
                </c:pt>
                <c:pt idx="69">
                  <c:v>666.8803171571202</c:v>
                </c:pt>
                <c:pt idx="70">
                  <c:v>668.18857243054867</c:v>
                </c:pt>
                <c:pt idx="71">
                  <c:v>669.49432763173104</c:v>
                </c:pt>
                <c:pt idx="72">
                  <c:v>670.79758868063209</c:v>
                </c:pt>
                <c:pt idx="73">
                  <c:v>672.09836147086878</c:v>
                </c:pt>
                <c:pt idx="74">
                  <c:v>673.39665186986304</c:v>
                </c:pt>
                <c:pt idx="75">
                  <c:v>674.6924657189935</c:v>
                </c:pt>
                <c:pt idx="76">
                  <c:v>675.98580883374575</c:v>
                </c:pt>
                <c:pt idx="77">
                  <c:v>677.27668700386187</c:v>
                </c:pt>
                <c:pt idx="78">
                  <c:v>678.56510599348883</c:v>
                </c:pt>
                <c:pt idx="79">
                  <c:v>679.8510715413255</c:v>
                </c:pt>
                <c:pt idx="80">
                  <c:v>681.13458936076893</c:v>
                </c:pt>
                <c:pt idx="81">
                  <c:v>682.41566514005956</c:v>
                </c:pt>
                <c:pt idx="82">
                  <c:v>683.69430454242513</c:v>
                </c:pt>
                <c:pt idx="83">
                  <c:v>684.9705132062237</c:v>
                </c:pt>
                <c:pt idx="84">
                  <c:v>686.24429674508565</c:v>
                </c:pt>
                <c:pt idx="85">
                  <c:v>687.51566074805453</c:v>
                </c:pt>
                <c:pt idx="86">
                  <c:v>688.78461077972702</c:v>
                </c:pt>
                <c:pt idx="87">
                  <c:v>690.05115238039207</c:v>
                </c:pt>
                <c:pt idx="88">
                  <c:v>691.31529106616847</c:v>
                </c:pt>
                <c:pt idx="89">
                  <c:v>692.57703232914184</c:v>
                </c:pt>
                <c:pt idx="90">
                  <c:v>693.83638163750084</c:v>
                </c:pt>
                <c:pt idx="91">
                  <c:v>695.09334443567195</c:v>
                </c:pt>
                <c:pt idx="92">
                  <c:v>696.34792614445337</c:v>
                </c:pt>
                <c:pt idx="93">
                  <c:v>697.60013216114817</c:v>
                </c:pt>
                <c:pt idx="94">
                  <c:v>698.84996785969645</c:v>
                </c:pt>
                <c:pt idx="95">
                  <c:v>700.09743859080641</c:v>
                </c:pt>
                <c:pt idx="96">
                  <c:v>701.34254968208461</c:v>
                </c:pt>
                <c:pt idx="97">
                  <c:v>702.58530643816516</c:v>
                </c:pt>
                <c:pt idx="98">
                  <c:v>703.82571414083839</c:v>
                </c:pt>
                <c:pt idx="99">
                  <c:v>705.06377804917781</c:v>
                </c:pt>
                <c:pt idx="100">
                  <c:v>706.29950339966729</c:v>
                </c:pt>
                <c:pt idx="101">
                  <c:v>718.52854005730728</c:v>
                </c:pt>
                <c:pt idx="102">
                  <c:v>730.52706813776001</c:v>
                </c:pt>
                <c:pt idx="103">
                  <c:v>742.30011104420862</c:v>
                </c:pt>
                <c:pt idx="104">
                  <c:v>753.85248213761804</c:v>
                </c:pt>
                <c:pt idx="105">
                  <c:v>765.18879596593888</c:v>
                </c:pt>
                <c:pt idx="106">
                  <c:v>776.31347873877621</c:v>
                </c:pt>
                <c:pt idx="107">
                  <c:v>787.23077810765699</c:v>
                </c:pt>
                <c:pt idx="108">
                  <c:v>797.94477230648795</c:v>
                </c:pt>
                <c:pt idx="109">
                  <c:v>808.45937870183184</c:v>
                </c:pt>
                <c:pt idx="110">
                  <c:v>818.77836179817598</c:v>
                </c:pt>
                <c:pt idx="111">
                  <c:v>828.9053407393659</c:v>
                </c:pt>
                <c:pt idx="112">
                  <c:v>838.84379634377626</c:v>
                </c:pt>
                <c:pt idx="113">
                  <c:v>848.59707770754767</c:v>
                </c:pt>
                <c:pt idx="114">
                  <c:v>858.16840840729094</c:v>
                </c:pt>
                <c:pt idx="115">
                  <c:v>867.56089233101488</c:v>
                </c:pt>
                <c:pt idx="116">
                  <c:v>876.77751916364275</c:v>
                </c:pt>
                <c:pt idx="117">
                  <c:v>885.82116955131448</c:v>
                </c:pt>
                <c:pt idx="118">
                  <c:v>894.69461996670725</c:v>
                </c:pt>
                <c:pt idx="119">
                  <c:v>903.40054729582175</c:v>
                </c:pt>
                <c:pt idx="120">
                  <c:v>911.94153316506015</c:v>
                </c:pt>
                <c:pt idx="121">
                  <c:v>920.32006802594503</c:v>
                </c:pt>
                <c:pt idx="122">
                  <c:v>928.53855501348335</c:v>
                </c:pt>
                <c:pt idx="123">
                  <c:v>936.59931359295331</c:v>
                </c:pt>
                <c:pt idx="124">
                  <c:v>944.50458300877074</c:v>
                </c:pt>
                <c:pt idx="125">
                  <c:v>952.25652554806913</c:v>
                </c:pt>
                <c:pt idx="126">
                  <c:v>959.85722963069009</c:v>
                </c:pt>
                <c:pt idx="127">
                  <c:v>967.30871273642288</c:v>
                </c:pt>
                <c:pt idx="128">
                  <c:v>974.61292417954712</c:v>
                </c:pt>
                <c:pt idx="129">
                  <c:v>981.77174774000912</c:v>
                </c:pt>
                <c:pt idx="130">
                  <c:v>988.7870041599017</c:v>
                </c:pt>
                <c:pt idx="131">
                  <c:v>995.66045351330865</c:v>
                </c:pt>
                <c:pt idx="132">
                  <c:v>1002.3937974570134</c:v>
                </c:pt>
                <c:pt idx="133">
                  <c:v>1008.9886813690589</c:v>
                </c:pt>
                <c:pt idx="134">
                  <c:v>1015.4466963816684</c:v>
                </c:pt>
                <c:pt idx="135">
                  <c:v>1021.7693813146013</c:v>
                </c:pt>
                <c:pt idx="136">
                  <c:v>1027.9582245146139</c:v>
                </c:pt>
                <c:pt idx="137">
                  <c:v>1034.0146656063216</c:v>
                </c:pt>
                <c:pt idx="138">
                  <c:v>1039.9400971594187</c:v>
                </c:pt>
                <c:pt idx="139">
                  <c:v>1045.7358662768895</c:v>
                </c:pt>
                <c:pt idx="140">
                  <c:v>1051.4032761085566</c:v>
                </c:pt>
                <c:pt idx="141">
                  <c:v>1056.9435872940346</c:v>
                </c:pt>
                <c:pt idx="142">
                  <c:v>1062.358019338915</c:v>
                </c:pt>
                <c:pt idx="143">
                  <c:v>1067.6477519277705</c:v>
                </c:pt>
                <c:pt idx="144">
                  <c:v>1072.8139261773536</c:v>
                </c:pt>
                <c:pt idx="145">
                  <c:v>1077.8576458331722</c:v>
                </c:pt>
                <c:pt idx="146">
                  <c:v>1082.7799784124368</c:v>
                </c:pt>
                <c:pt idx="147">
                  <c:v>1087.581956296209</c:v>
                </c:pt>
                <c:pt idx="148">
                  <c:v>1092.2645777734297</c:v>
                </c:pt>
                <c:pt idx="149">
                  <c:v>1096.8288080393572</c:v>
                </c:pt>
                <c:pt idx="150">
                  <c:v>1101.2755801508254</c:v>
                </c:pt>
                <c:pt idx="151">
                  <c:v>1105.6057959406037</c:v>
                </c:pt>
                <c:pt idx="152">
                  <c:v>1109.8203268930467</c:v>
                </c:pt>
                <c:pt idx="153">
                  <c:v>1113.9200149831147</c:v>
                </c:pt>
                <c:pt idx="154">
                  <c:v>1117.9056734807662</c:v>
                </c:pt>
                <c:pt idx="155">
                  <c:v>1121.778087722651</c:v>
                </c:pt>
                <c:pt idx="156">
                  <c:v>1125.538015852964</c:v>
                </c:pt>
                <c:pt idx="157">
                  <c:v>1129.1861895352679</c:v>
                </c:pt>
                <c:pt idx="158">
                  <c:v>1132.7233146370497</c:v>
                </c:pt>
                <c:pt idx="159">
                  <c:v>1136.1500718887457</c:v>
                </c:pt>
                <c:pt idx="160">
                  <c:v>1139.4671175189433</c:v>
                </c:pt>
                <c:pt idx="161">
                  <c:v>1142.675083867465</c:v>
                </c:pt>
                <c:pt idx="162">
                  <c:v>1145.7745799780389</c:v>
                </c:pt>
                <c:pt idx="163">
                  <c:v>1148.7661921722759</c:v>
                </c:pt>
                <c:pt idx="164">
                  <c:v>1151.6504846067069</c:v>
                </c:pt>
                <c:pt idx="165">
                  <c:v>1154.427999814674</c:v>
                </c:pt>
                <c:pt idx="166">
                  <c:v>1157.099259234931</c:v>
                </c:pt>
                <c:pt idx="167">
                  <c:v>1159.6647637288859</c:v>
                </c:pt>
                <c:pt idx="168">
                  <c:v>1162.1249940885091</c:v>
                </c:pt>
                <c:pt idx="169">
                  <c:v>1164.4804115370439</c:v>
                </c:pt>
                <c:pt idx="170">
                  <c:v>1166.7314582247839</c:v>
                </c:pt>
                <c:pt idx="171">
                  <c:v>1168.8785577223289</c:v>
                </c:pt>
                <c:pt idx="172">
                  <c:v>1170.9221155138948</c:v>
                </c:pt>
                <c:pt idx="173">
                  <c:v>1172.8625194934305</c:v>
                </c:pt>
                <c:pt idx="174">
                  <c:v>1174.7001404664852</c:v>
                </c:pt>
                <c:pt idx="175">
                  <c:v>1176.435332660968</c:v>
                </c:pt>
                <c:pt idx="176">
                  <c:v>1178.068434250132</c:v>
                </c:pt>
                <c:pt idx="177">
                  <c:v>1179.5997678913063</c:v>
                </c:pt>
                <c:pt idx="178">
                  <c:v>1181.0296412840548</c:v>
                </c:pt>
                <c:pt idx="179">
                  <c:v>1182.3583477515606</c:v>
                </c:pt>
                <c:pt idx="180">
                  <c:v>1183.5861668490923</c:v>
                </c:pt>
                <c:pt idx="181">
                  <c:v>1184.7133650033788</c:v>
                </c:pt>
                <c:pt idx="182">
                  <c:v>1185.7401961865703</c:v>
                </c:pt>
                <c:pt idx="183">
                  <c:v>1186.6669026281779</c:v>
                </c:pt>
                <c:pt idx="184">
                  <c:v>1187.4937155679215</c:v>
                </c:pt>
                <c:pt idx="185">
                  <c:v>1188.2208560517511</c:v>
                </c:pt>
                <c:pt idx="186">
                  <c:v>1188.8485357724333</c:v>
                </c:pt>
                <c:pt idx="187">
                  <c:v>1189.3769579549987</c:v>
                </c:pt>
                <c:pt idx="188">
                  <c:v>1189.806318286036</c:v>
                </c:pt>
                <c:pt idx="189">
                  <c:v>1190.1368058843445</c:v>
                </c:pt>
                <c:pt idx="190">
                  <c:v>1190.3686043088651</c:v>
                </c:pt>
                <c:pt idx="191">
                  <c:v>1190.5018925981813</c:v>
                </c:pt>
                <c:pt idx="192">
                  <c:v>1190.5368463343266</c:v>
                </c:pt>
                <c:pt idx="193">
                  <c:v>1190.4736387222511</c:v>
                </c:pt>
                <c:pt idx="194">
                  <c:v>1190.312441675205</c:v>
                </c:pt>
                <c:pt idx="195">
                  <c:v>1190.0534268955776</c:v>
                </c:pt>
                <c:pt idx="196">
                  <c:v>1189.6967669404496</c:v>
                </c:pt>
                <c:pt idx="197">
                  <c:v>1189.2426362613078</c:v>
                </c:pt>
                <c:pt idx="198">
                  <c:v>1188.6912122080053</c:v>
                </c:pt>
                <c:pt idx="199">
                  <c:v>1188.0426759880879</c:v>
                </c:pt>
                <c:pt idx="200">
                  <c:v>1187.2972135739467</c:v>
                </c:pt>
                <c:pt idx="201">
                  <c:v>1186.4550165517999</c:v>
                </c:pt>
                <c:pt idx="202">
                  <c:v>1185.5162829081405</c:v>
                </c:pt>
                <c:pt idx="203">
                  <c:v>1184.4812177509043</c:v>
                </c:pt>
                <c:pt idx="204">
                  <c:v>1183.350033964125</c:v>
                </c:pt>
                <c:pt idx="205">
                  <c:v>1182.1229527961902</c:v>
                </c:pt>
                <c:pt idx="206">
                  <c:v>1180.8002043829515</c:v>
                </c:pt>
                <c:pt idx="207">
                  <c:v>1179.3820282078477</c:v>
                </c:pt>
                <c:pt idx="208">
                  <c:v>1177.8686735018907</c:v>
                </c:pt>
                <c:pt idx="209">
                  <c:v>1176.2603995868394</c:v>
                </c:pt>
                <c:pt idx="210">
                  <c:v>1174.5574761651785</c:v>
                </c:pt>
                <c:pt idx="211">
                  <c:v>1172.7601835606608</c:v>
                </c:pt>
                <c:pt idx="212">
                  <c:v>1170.8688129131845</c:v>
                </c:pt>
                <c:pt idx="213">
                  <c:v>1168.8836663316988</c:v>
                </c:pt>
                <c:pt idx="214">
                  <c:v>1166.8050570086866</c:v>
                </c:pt>
                <c:pt idx="215">
                  <c:v>1164.6333092995758</c:v>
                </c:pt>
                <c:pt idx="216">
                  <c:v>1162.3687587702138</c:v>
                </c:pt>
                <c:pt idx="217">
                  <c:v>1160.0117522153046</c:v>
                </c:pt>
                <c:pt idx="218">
                  <c:v>1157.5626476504704</c:v>
                </c:pt>
                <c:pt idx="219">
                  <c:v>1155.0218142803715</c:v>
                </c:pt>
                <c:pt idx="220">
                  <c:v>1152.3896324450923</c:v>
                </c:pt>
                <c:pt idx="221">
                  <c:v>1149.6664935467991</c:v>
                </c:pt>
                <c:pt idx="222">
                  <c:v>1146.8527999584808</c:v>
                </c:pt>
                <c:pt idx="223">
                  <c:v>1143.9489649164091</c:v>
                </c:pt>
                <c:pt idx="224">
                  <c:v>1140.9554123977966</c:v>
                </c:pt>
                <c:pt idx="225">
                  <c:v>1137.8725769849893</c:v>
                </c:pt>
                <c:pt idx="226">
                  <c:v>1134.7009037174007</c:v>
                </c:pt>
                <c:pt idx="227">
                  <c:v>1131.4408479322826</c:v>
                </c:pt>
                <c:pt idx="228">
                  <c:v>1128.0928750953249</c:v>
                </c:pt>
                <c:pt idx="229">
                  <c:v>1124.6574606219904</c:v>
                </c:pt>
                <c:pt idx="230">
                  <c:v>1121.1350896904089</c:v>
                </c:pt>
                <c:pt idx="231">
                  <c:v>1117.5262570465852</c:v>
                </c:pt>
                <c:pt idx="232">
                  <c:v>1113.8314668026169</c:v>
                </c:pt>
                <c:pt idx="233">
                  <c:v>1110.0512322285595</c:v>
                </c:pt>
                <c:pt idx="234">
                  <c:v>1106.1860755385321</c:v>
                </c:pt>
                <c:pt idx="235">
                  <c:v>1102.2365276716125</c:v>
                </c:pt>
                <c:pt idx="236">
                  <c:v>1098.2031280680314</c:v>
                </c:pt>
                <c:pt idx="237">
                  <c:v>1094.0864244411462</c:v>
                </c:pt>
                <c:pt idx="238">
                  <c:v>1089.8869725456414</c:v>
                </c:pt>
                <c:pt idx="239">
                  <c:v>1085.6053359423775</c:v>
                </c:pt>
                <c:pt idx="240">
                  <c:v>1081.2420857602858</c:v>
                </c:pt>
                <c:pt idx="241">
                  <c:v>1076.7978004556867</c:v>
                </c:pt>
                <c:pt idx="242">
                  <c:v>1072.2730655693863</c:v>
                </c:pt>
                <c:pt idx="243">
                  <c:v>1067.6684734818934</c:v>
                </c:pt>
                <c:pt idx="244">
                  <c:v>1062.9846231670774</c:v>
                </c:pt>
                <c:pt idx="245">
                  <c:v>1058.2221199445773</c:v>
                </c:pt>
                <c:pt idx="246">
                  <c:v>1053.3815752312551</c:v>
                </c:pt>
                <c:pt idx="247">
                  <c:v>1048.4636062919762</c:v>
                </c:pt>
                <c:pt idx="248">
                  <c:v>1043.4688359899887</c:v>
                </c:pt>
                <c:pt idx="249">
                  <c:v>1038.3978925371553</c:v>
                </c:pt>
                <c:pt idx="250">
                  <c:v>1033.2514092442923</c:v>
                </c:pt>
                <c:pt idx="251">
                  <c:v>1028.0300242718508</c:v>
                </c:pt>
                <c:pt idx="252">
                  <c:v>1022.734380381169</c:v>
                </c:pt>
                <c:pt idx="253">
                  <c:v>1017.3651246865157</c:v>
                </c:pt>
                <c:pt idx="254">
                  <c:v>1011.9229084081372</c:v>
                </c:pt>
                <c:pt idx="255">
                  <c:v>1006.4083866265073</c:v>
                </c:pt>
                <c:pt idx="256">
                  <c:v>1000.8222180379773</c:v>
                </c:pt>
                <c:pt idx="257">
                  <c:v>995.16506471201035</c:v>
                </c:pt>
                <c:pt idx="258">
                  <c:v>989.43759185017893</c:v>
                </c:pt>
                <c:pt idx="259">
                  <c:v>983.64046754709648</c:v>
                </c:pt>
                <c:pt idx="260">
                  <c:v>977.77436255344571</c:v>
                </c:pt>
                <c:pt idx="261">
                  <c:v>971.83995004126007</c:v>
                </c:pt>
                <c:pt idx="262">
                  <c:v>965.83790537160655</c:v>
                </c:pt>
                <c:pt idx="263">
                  <c:v>959.76890586481136</c:v>
                </c:pt>
                <c:pt idx="264">
                  <c:v>953.63363057336358</c:v>
                </c:pt>
                <c:pt idx="265">
                  <c:v>947.43276005762357</c:v>
                </c:pt>
                <c:pt idx="266">
                  <c:v>941.16697616445788</c:v>
                </c:pt>
                <c:pt idx="267">
                  <c:v>934.83696180891479</c:v>
                </c:pt>
                <c:pt idx="268">
                  <c:v>928.44340075904779</c:v>
                </c:pt>
                <c:pt idx="269">
                  <c:v>921.98697742398906</c:v>
                </c:pt>
                <c:pt idx="270">
                  <c:v>915.46837664536702</c:v>
                </c:pt>
                <c:pt idx="271">
                  <c:v>908.8882834921576</c:v>
                </c:pt>
                <c:pt idx="272">
                  <c:v>902.24738305905123</c:v>
                </c:pt>
                <c:pt idx="273">
                  <c:v>895.54636026841217</c:v>
                </c:pt>
                <c:pt idx="274">
                  <c:v>888.78589967590131</c:v>
                </c:pt>
                <c:pt idx="275">
                  <c:v>881.96668527982638</c:v>
                </c:pt>
                <c:pt idx="276">
                  <c:v>875.08940033427973</c:v>
                </c:pt>
                <c:pt idx="277">
                  <c:v>868.15472716611669</c:v>
                </c:pt>
                <c:pt idx="278">
                  <c:v>861.16334699582274</c:v>
                </c:pt>
                <c:pt idx="279">
                  <c:v>854.11593976231234</c:v>
                </c:pt>
                <c:pt idx="280">
                  <c:v>847.01318395169699</c:v>
                </c:pt>
                <c:pt idx="281">
                  <c:v>839.85575643005473</c:v>
                </c:pt>
                <c:pt idx="282">
                  <c:v>832.64433228022926</c:v>
                </c:pt>
                <c:pt idx="283">
                  <c:v>825.37958464268092</c:v>
                </c:pt>
                <c:pt idx="284">
                  <c:v>818.06218456040733</c:v>
                </c:pt>
                <c:pt idx="285">
                  <c:v>810.69280082794796</c:v>
                </c:pt>
                <c:pt idx="286">
                  <c:v>803.27209984448075</c:v>
                </c:pt>
                <c:pt idx="287">
                  <c:v>795.80074547101628</c:v>
                </c:pt>
                <c:pt idx="288">
                  <c:v>788.27939889168965</c:v>
                </c:pt>
                <c:pt idx="289">
                  <c:v>780.70871847914668</c:v>
                </c:pt>
                <c:pt idx="290">
                  <c:v>773.08935966401737</c:v>
                </c:pt>
                <c:pt idx="291">
                  <c:v>765.42197480846573</c:v>
                </c:pt>
                <c:pt idx="292">
                  <c:v>757.70721308380087</c:v>
                </c:pt>
                <c:pt idx="293">
                  <c:v>749.94572035213184</c:v>
                </c:pt>
                <c:pt idx="294">
                  <c:v>742.13813905204449</c:v>
                </c:pt>
                <c:pt idx="295">
                  <c:v>734.28510808827616</c:v>
                </c:pt>
                <c:pt idx="296">
                  <c:v>726.38726272536087</c:v>
                </c:pt>
                <c:pt idx="297">
                  <c:v>718.44523448521329</c:v>
                </c:pt>
                <c:pt idx="298">
                  <c:v>710.45965104862046</c:v>
                </c:pt>
                <c:pt idx="299">
                  <c:v>702.43113616060327</c:v>
                </c:pt>
                <c:pt idx="300">
                  <c:v>694.36030953961119</c:v>
                </c:pt>
                <c:pt idx="301">
                  <c:v>686.24778679050814</c:v>
                </c:pt>
                <c:pt idx="302">
                  <c:v>678.09417932130782</c:v>
                </c:pt>
                <c:pt idx="303">
                  <c:v>669.90009426361337</c:v>
                </c:pt>
                <c:pt idx="304">
                  <c:v>661.66613439671357</c:v>
                </c:pt>
                <c:pt idx="305">
                  <c:v>653.39289807528792</c:v>
                </c:pt>
                <c:pt idx="306">
                  <c:v>645.08097916066959</c:v>
                </c:pt>
                <c:pt idx="307">
                  <c:v>636.73096695561435</c:v>
                </c:pt>
                <c:pt idx="308">
                  <c:v>628.34344614252234</c:v>
                </c:pt>
                <c:pt idx="309">
                  <c:v>619.91899672505679</c:v>
                </c:pt>
                <c:pt idx="310">
                  <c:v>611.4581939731047</c:v>
                </c:pt>
                <c:pt idx="311">
                  <c:v>602.96160837102173</c:v>
                </c:pt>
                <c:pt idx="312">
                  <c:v>594.429805569103</c:v>
                </c:pt>
                <c:pt idx="313">
                  <c:v>585.86334633822059</c:v>
                </c:pt>
                <c:pt idx="314">
                  <c:v>577.26278652756776</c:v>
                </c:pt>
                <c:pt idx="315">
                  <c:v>568.62867702544952</c:v>
                </c:pt>
                <c:pt idx="316">
                  <c:v>559.96156372305711</c:v>
                </c:pt>
                <c:pt idx="317">
                  <c:v>551.2619874811661</c:v>
                </c:pt>
                <c:pt idx="318">
                  <c:v>542.53048409969369</c:v>
                </c:pt>
                <c:pt idx="319">
                  <c:v>533.76758429005474</c:v>
                </c:pt>
                <c:pt idx="320">
                  <c:v>524.97381365025149</c:v>
                </c:pt>
                <c:pt idx="321">
                  <c:v>516.14969264263493</c:v>
                </c:pt>
                <c:pt idx="322">
                  <c:v>507.29573657427449</c:v>
                </c:pt>
                <c:pt idx="323">
                  <c:v>498.4124555798719</c:v>
                </c:pt>
                <c:pt idx="324">
                  <c:v>489.50035460715662</c:v>
                </c:pt>
                <c:pt idx="325">
                  <c:v>480.55993340469894</c:v>
                </c:pt>
                <c:pt idx="326">
                  <c:v>471.59168651207841</c:v>
                </c:pt>
                <c:pt idx="327">
                  <c:v>462.59610325234388</c:v>
                </c:pt>
                <c:pt idx="328">
                  <c:v>453.57366772670292</c:v>
                </c:pt>
                <c:pt idx="329">
                  <c:v>444.52485881137835</c:v>
                </c:pt>
                <c:pt idx="330">
                  <c:v>435.45015015656969</c:v>
                </c:pt>
                <c:pt idx="331">
                  <c:v>426.35001018745851</c:v>
                </c:pt>
                <c:pt idx="332">
                  <c:v>417.22490210719599</c:v>
                </c:pt>
                <c:pt idx="333">
                  <c:v>408.0752839018129</c:v>
                </c:pt>
                <c:pt idx="334">
                  <c:v>398.90160834699145</c:v>
                </c:pt>
                <c:pt idx="335">
                  <c:v>389.70432301664044</c:v>
                </c:pt>
                <c:pt idx="336">
                  <c:v>380.48387029321412</c:v>
                </c:pt>
                <c:pt idx="337">
                  <c:v>371.24068737971754</c:v>
                </c:pt>
                <c:pt idx="338">
                  <c:v>361.97520631334078</c:v>
                </c:pt>
                <c:pt idx="339">
                  <c:v>352.68785398066558</c:v>
                </c:pt>
                <c:pt idx="340">
                  <c:v>343.37905213438836</c:v>
                </c:pt>
                <c:pt idx="341">
                  <c:v>334.0492174115052</c:v>
                </c:pt>
                <c:pt idx="342">
                  <c:v>324.69876135290394</c:v>
                </c:pt>
                <c:pt idx="343">
                  <c:v>315.32809042431074</c:v>
                </c:pt>
                <c:pt idx="344">
                  <c:v>305.93760603853809</c:v>
                </c:pt>
                <c:pt idx="345">
                  <c:v>296.52770457898276</c:v>
                </c:pt>
                <c:pt idx="346">
                  <c:v>287.09877742432343</c:v>
                </c:pt>
                <c:pt idx="347">
                  <c:v>277.65121097436764</c:v>
                </c:pt>
                <c:pt idx="348">
                  <c:v>268.18538667699954</c:v>
                </c:pt>
                <c:pt idx="349">
                  <c:v>258.70168105618018</c:v>
                </c:pt>
                <c:pt idx="350">
                  <c:v>249.20046574095355</c:v>
                </c:pt>
                <c:pt idx="351">
                  <c:v>239.68210749541228</c:v>
                </c:pt>
                <c:pt idx="352">
                  <c:v>230.14696824957775</c:v>
                </c:pt>
                <c:pt idx="353">
                  <c:v>220.5954051311503</c:v>
                </c:pt>
                <c:pt idx="354">
                  <c:v>211.02777049808668</c:v>
                </c:pt>
                <c:pt idx="355">
                  <c:v>201.44441197196215</c:v>
                </c:pt>
                <c:pt idx="356">
                  <c:v>191.84567247207596</c:v>
                </c:pt>
                <c:pt idx="357">
                  <c:v>182.23189025025997</c:v>
                </c:pt>
                <c:pt idx="358">
                  <c:v>172.60339892635091</c:v>
                </c:pt>
                <c:pt idx="359">
                  <c:v>162.96052752428773</c:v>
                </c:pt>
                <c:pt idx="360">
                  <c:v>153.30360050879679</c:v>
                </c:pt>
                <c:pt idx="361">
                  <c:v>143.63293782262804</c:v>
                </c:pt>
                <c:pt idx="362">
                  <c:v>133.94885492430672</c:v>
                </c:pt>
                <c:pt idx="363">
                  <c:v>124.25166282636586</c:v>
                </c:pt>
                <c:pt idx="364">
                  <c:v>114.54166813402581</c:v>
                </c:pt>
                <c:pt idx="365">
                  <c:v>104.81917308428787</c:v>
                </c:pt>
                <c:pt idx="366">
                  <c:v>95.084475585410161</c:v>
                </c:pt>
                <c:pt idx="367">
                  <c:v>85.337869256734649</c:v>
                </c:pt>
                <c:pt idx="368">
                  <c:v>75.579643468835215</c:v>
                </c:pt>
                <c:pt idx="369">
                  <c:v>65.810083383957334</c:v>
                </c:pt>
                <c:pt idx="370">
                  <c:v>56.029469996721147</c:v>
                </c:pt>
                <c:pt idx="371">
                  <c:v>46.238080175060276</c:v>
                </c:pt>
                <c:pt idx="372">
                  <c:v>36.436186701369621</c:v>
                </c:pt>
                <c:pt idx="373">
                  <c:v>26.624058313836372</c:v>
                </c:pt>
                <c:pt idx="374">
                  <c:v>16.801959747929089</c:v>
                </c:pt>
                <c:pt idx="375">
                  <c:v>6.9701517780206697</c:v>
                </c:pt>
                <c:pt idx="376">
                  <c:v>-2.8711087408783076</c:v>
                </c:pt>
                <c:pt idx="377">
                  <c:v>-2.8809546684822815</c:v>
                </c:pt>
                <c:pt idx="378">
                  <c:v>-2.8908006051601789</c:v>
                </c:pt>
                <c:pt idx="379">
                  <c:v>-2.9006465509117527</c:v>
                </c:pt>
                <c:pt idx="380">
                  <c:v>-2.9104925057367566</c:v>
                </c:pt>
                <c:pt idx="381">
                  <c:v>-2.920338469634943</c:v>
                </c:pt>
                <c:pt idx="382">
                  <c:v>-2.9301844426060657</c:v>
                </c:pt>
                <c:pt idx="383">
                  <c:v>-2.9400304246498772</c:v>
                </c:pt>
                <c:pt idx="384">
                  <c:v>-2.949876415766131</c:v>
                </c:pt>
                <c:pt idx="385">
                  <c:v>-2.9597224159545799</c:v>
                </c:pt>
                <c:pt idx="386">
                  <c:v>-2.9695684252149772</c:v>
                </c:pt>
                <c:pt idx="387">
                  <c:v>-2.9794144435470762</c:v>
                </c:pt>
                <c:pt idx="388">
                  <c:v>-2.9892604709506299</c:v>
                </c:pt>
                <c:pt idx="389">
                  <c:v>-2.9991065074253913</c:v>
                </c:pt>
                <c:pt idx="390">
                  <c:v>-3.0089525529711136</c:v>
                </c:pt>
                <c:pt idx="391">
                  <c:v>-3.0187986075875504</c:v>
                </c:pt>
                <c:pt idx="392">
                  <c:v>-3.0286446712744541</c:v>
                </c:pt>
                <c:pt idx="393">
                  <c:v>-3.0384907440315785</c:v>
                </c:pt>
                <c:pt idx="394">
                  <c:v>-3.0483368258586765</c:v>
                </c:pt>
                <c:pt idx="395">
                  <c:v>-3.0581829167555012</c:v>
                </c:pt>
                <c:pt idx="396">
                  <c:v>-3.0680290167218058</c:v>
                </c:pt>
                <c:pt idx="397">
                  <c:v>-3.0778751257573433</c:v>
                </c:pt>
                <c:pt idx="398">
                  <c:v>-3.0877212438618673</c:v>
                </c:pt>
                <c:pt idx="399">
                  <c:v>-3.0975673710351304</c:v>
                </c:pt>
                <c:pt idx="400">
                  <c:v>-3.107413507276886</c:v>
                </c:pt>
                <c:pt idx="401">
                  <c:v>-3.1172596525868879</c:v>
                </c:pt>
                <c:pt idx="402">
                  <c:v>-3.1271058069648885</c:v>
                </c:pt>
                <c:pt idx="403">
                  <c:v>-3.1369519704106414</c:v>
                </c:pt>
                <c:pt idx="404">
                  <c:v>-3.1467981429238998</c:v>
                </c:pt>
                <c:pt idx="405">
                  <c:v>-3.1566443245044167</c:v>
                </c:pt>
                <c:pt idx="406">
                  <c:v>-3.1664905151519451</c:v>
                </c:pt>
                <c:pt idx="407">
                  <c:v>-3.1763367148662387</c:v>
                </c:pt>
                <c:pt idx="408">
                  <c:v>-3.1861829236470505</c:v>
                </c:pt>
                <c:pt idx="409">
                  <c:v>-3.1960291414941335</c:v>
                </c:pt>
                <c:pt idx="410">
                  <c:v>-3.2058753684072414</c:v>
                </c:pt>
                <c:pt idx="411">
                  <c:v>-3.2157216043861272</c:v>
                </c:pt>
                <c:pt idx="412">
                  <c:v>-3.225567849430544</c:v>
                </c:pt>
                <c:pt idx="413">
                  <c:v>-3.2354141035402453</c:v>
                </c:pt>
                <c:pt idx="414">
                  <c:v>-3.2452603667149842</c:v>
                </c:pt>
                <c:pt idx="415">
                  <c:v>-3.2551066389545138</c:v>
                </c:pt>
                <c:pt idx="416">
                  <c:v>-3.2649529202585872</c:v>
                </c:pt>
                <c:pt idx="417">
                  <c:v>-3.2747992106269579</c:v>
                </c:pt>
                <c:pt idx="418">
                  <c:v>-3.2846455100593794</c:v>
                </c:pt>
                <c:pt idx="419">
                  <c:v>-3.2944918185556045</c:v>
                </c:pt>
                <c:pt idx="420">
                  <c:v>-3.3043381361153865</c:v>
                </c:pt>
                <c:pt idx="421">
                  <c:v>-3.3141844627384791</c:v>
                </c:pt>
                <c:pt idx="422">
                  <c:v>-3.3240307984246353</c:v>
                </c:pt>
                <c:pt idx="423">
                  <c:v>-3.3338771431736083</c:v>
                </c:pt>
                <c:pt idx="424">
                  <c:v>-3.3437234969851515</c:v>
                </c:pt>
                <c:pt idx="425">
                  <c:v>-3.353569859859018</c:v>
                </c:pt>
                <c:pt idx="426">
                  <c:v>-3.363416231794961</c:v>
                </c:pt>
                <c:pt idx="427">
                  <c:v>-3.3732626127927339</c:v>
                </c:pt>
                <c:pt idx="428">
                  <c:v>-3.3831090028520903</c:v>
                </c:pt>
                <c:pt idx="429">
                  <c:v>-3.3929554019727828</c:v>
                </c:pt>
                <c:pt idx="430">
                  <c:v>-3.4028018101545654</c:v>
                </c:pt>
                <c:pt idx="431">
                  <c:v>-3.4126482273971912</c:v>
                </c:pt>
                <c:pt idx="432">
                  <c:v>-3.4224946537004133</c:v>
                </c:pt>
                <c:pt idx="433">
                  <c:v>-3.4323410890639852</c:v>
                </c:pt>
                <c:pt idx="434">
                  <c:v>-3.4421875334876599</c:v>
                </c:pt>
                <c:pt idx="435">
                  <c:v>-3.4520339869711911</c:v>
                </c:pt>
                <c:pt idx="436">
                  <c:v>-3.4618804495143318</c:v>
                </c:pt>
                <c:pt idx="437">
                  <c:v>-3.4717269211168356</c:v>
                </c:pt>
                <c:pt idx="438">
                  <c:v>-3.4815734017784554</c:v>
                </c:pt>
                <c:pt idx="439">
                  <c:v>-3.4914198914989449</c:v>
                </c:pt>
                <c:pt idx="440">
                  <c:v>-3.5012663902780576</c:v>
                </c:pt>
                <c:pt idx="441">
                  <c:v>-3.5111128981155466</c:v>
                </c:pt>
                <c:pt idx="442">
                  <c:v>-3.5209594150111654</c:v>
                </c:pt>
                <c:pt idx="443">
                  <c:v>-3.530805940964667</c:v>
                </c:pt>
                <c:pt idx="444">
                  <c:v>-3.5406524759758051</c:v>
                </c:pt>
                <c:pt idx="445">
                  <c:v>-3.5504990200443327</c:v>
                </c:pt>
                <c:pt idx="446">
                  <c:v>-3.5603455731700033</c:v>
                </c:pt>
                <c:pt idx="447">
                  <c:v>-3.5701921353525701</c:v>
                </c:pt>
                <c:pt idx="448">
                  <c:v>-3.5800387065917869</c:v>
                </c:pt>
                <c:pt idx="449">
                  <c:v>-3.5898852868874069</c:v>
                </c:pt>
                <c:pt idx="450">
                  <c:v>-3.5997318762391832</c:v>
                </c:pt>
                <c:pt idx="451">
                  <c:v>-3.6095784746468693</c:v>
                </c:pt>
                <c:pt idx="452">
                  <c:v>-3.6194250821102187</c:v>
                </c:pt>
                <c:pt idx="453">
                  <c:v>-3.6292716986289846</c:v>
                </c:pt>
                <c:pt idx="454">
                  <c:v>-3.6391183242029204</c:v>
                </c:pt>
                <c:pt idx="455">
                  <c:v>-3.6489649588317796</c:v>
                </c:pt>
                <c:pt idx="456">
                  <c:v>-3.6588116025153159</c:v>
                </c:pt>
                <c:pt idx="457">
                  <c:v>-3.6686582552532823</c:v>
                </c:pt>
                <c:pt idx="458">
                  <c:v>-3.6785049170454323</c:v>
                </c:pt>
                <c:pt idx="459">
                  <c:v>-3.688351587891519</c:v>
                </c:pt>
                <c:pt idx="460">
                  <c:v>-3.6981982677912963</c:v>
                </c:pt>
                <c:pt idx="461">
                  <c:v>-3.7080449567445175</c:v>
                </c:pt>
                <c:pt idx="462">
                  <c:v>-3.7178916547509355</c:v>
                </c:pt>
                <c:pt idx="463">
                  <c:v>-3.7277383618103044</c:v>
                </c:pt>
                <c:pt idx="464">
                  <c:v>-3.7375850779223772</c:v>
                </c:pt>
                <c:pt idx="465">
                  <c:v>-3.7474318030869074</c:v>
                </c:pt>
                <c:pt idx="466">
                  <c:v>-3.7572785373036486</c:v>
                </c:pt>
                <c:pt idx="467">
                  <c:v>-3.7671252805723543</c:v>
                </c:pt>
                <c:pt idx="468">
                  <c:v>-3.7769720328927776</c:v>
                </c:pt>
                <c:pt idx="469">
                  <c:v>-3.7868187942646721</c:v>
                </c:pt>
                <c:pt idx="470">
                  <c:v>-3.7966655646877912</c:v>
                </c:pt>
                <c:pt idx="471">
                  <c:v>-3.8065123441618884</c:v>
                </c:pt>
                <c:pt idx="472">
                  <c:v>-3.8163591326867174</c:v>
                </c:pt>
                <c:pt idx="473">
                  <c:v>-3.8262059302620313</c:v>
                </c:pt>
                <c:pt idx="474">
                  <c:v>-3.8360527368875834</c:v>
                </c:pt>
                <c:pt idx="475">
                  <c:v>-3.8458995525631274</c:v>
                </c:pt>
                <c:pt idx="476">
                  <c:v>-3.8557463772884168</c:v>
                </c:pt>
                <c:pt idx="477">
                  <c:v>-3.8655932110632052</c:v>
                </c:pt>
                <c:pt idx="478">
                  <c:v>-3.875440053887246</c:v>
                </c:pt>
                <c:pt idx="479">
                  <c:v>-3.8852869057602928</c:v>
                </c:pt>
                <c:pt idx="480">
                  <c:v>-3.8951337666820987</c:v>
                </c:pt>
                <c:pt idx="481">
                  <c:v>-3.9049806366524171</c:v>
                </c:pt>
                <c:pt idx="482">
                  <c:v>-3.9148275156710022</c:v>
                </c:pt>
                <c:pt idx="483">
                  <c:v>-3.9246744037376069</c:v>
                </c:pt>
                <c:pt idx="484">
                  <c:v>-3.9345213008519848</c:v>
                </c:pt>
                <c:pt idx="485">
                  <c:v>-3.9443682070138895</c:v>
                </c:pt>
                <c:pt idx="486">
                  <c:v>-3.9542151222230744</c:v>
                </c:pt>
                <c:pt idx="487">
                  <c:v>-3.9640620464792931</c:v>
                </c:pt>
                <c:pt idx="488">
                  <c:v>-3.9739089797822991</c:v>
                </c:pt>
                <c:pt idx="489">
                  <c:v>-3.9837559221318459</c:v>
                </c:pt>
                <c:pt idx="490">
                  <c:v>-3.9936028735276872</c:v>
                </c:pt>
                <c:pt idx="491">
                  <c:v>-4.0034498339695759</c:v>
                </c:pt>
                <c:pt idx="492">
                  <c:v>-4.0132968034572665</c:v>
                </c:pt>
                <c:pt idx="493">
                  <c:v>-4.0231437819905116</c:v>
                </c:pt>
                <c:pt idx="494">
                  <c:v>-4.0329907695690652</c:v>
                </c:pt>
                <c:pt idx="495">
                  <c:v>-4.0428377661926804</c:v>
                </c:pt>
                <c:pt idx="496">
                  <c:v>-4.0526847718611112</c:v>
                </c:pt>
                <c:pt idx="497">
                  <c:v>-4.0625317865741115</c:v>
                </c:pt>
                <c:pt idx="498">
                  <c:v>-4.0723788103314345</c:v>
                </c:pt>
                <c:pt idx="499">
                  <c:v>-4.0822258431328331</c:v>
                </c:pt>
                <c:pt idx="500">
                  <c:v>-4.0920728849780614</c:v>
                </c:pt>
                <c:pt idx="501">
                  <c:v>-4.1019199358668734</c:v>
                </c:pt>
                <c:pt idx="502">
                  <c:v>-4.1117669957990222</c:v>
                </c:pt>
                <c:pt idx="503">
                  <c:v>-4.1216140647742616</c:v>
                </c:pt>
                <c:pt idx="504">
                  <c:v>-4.1314611427923449</c:v>
                </c:pt>
                <c:pt idx="505">
                  <c:v>-4.1413082298530259</c:v>
                </c:pt>
                <c:pt idx="506">
                  <c:v>-4.1511553259560579</c:v>
                </c:pt>
                <c:pt idx="507">
                  <c:v>-4.1610024311011946</c:v>
                </c:pt>
                <c:pt idx="508">
                  <c:v>-4.1708495452881893</c:v>
                </c:pt>
                <c:pt idx="509">
                  <c:v>-4.1806966685167959</c:v>
                </c:pt>
                <c:pt idx="510">
                  <c:v>-4.1905438007867684</c:v>
                </c:pt>
                <c:pt idx="511">
                  <c:v>-4.2003909420978598</c:v>
                </c:pt>
                <c:pt idx="512">
                  <c:v>-4.2102380924498233</c:v>
                </c:pt>
                <c:pt idx="513">
                  <c:v>-4.2200852518424137</c:v>
                </c:pt>
                <c:pt idx="514">
                  <c:v>-4.2299324202753841</c:v>
                </c:pt>
                <c:pt idx="515">
                  <c:v>-4.2397795977484876</c:v>
                </c:pt>
                <c:pt idx="516">
                  <c:v>-4.2496267842614781</c:v>
                </c:pt>
                <c:pt idx="517">
                  <c:v>-4.2594739798141097</c:v>
                </c:pt>
                <c:pt idx="518">
                  <c:v>-4.2693211844061354</c:v>
                </c:pt>
                <c:pt idx="519">
                  <c:v>-4.2791683980373092</c:v>
                </c:pt>
                <c:pt idx="520">
                  <c:v>-4.2890156207073842</c:v>
                </c:pt>
                <c:pt idx="521">
                  <c:v>-4.2988628524161152</c:v>
                </c:pt>
                <c:pt idx="522">
                  <c:v>-4.3087100931632545</c:v>
                </c:pt>
                <c:pt idx="523">
                  <c:v>-4.3185573429485569</c:v>
                </c:pt>
                <c:pt idx="524">
                  <c:v>-4.3284046017717754</c:v>
                </c:pt>
                <c:pt idx="525">
                  <c:v>-4.3382518696326633</c:v>
                </c:pt>
                <c:pt idx="526">
                  <c:v>-4.3480991465309753</c:v>
                </c:pt>
                <c:pt idx="527">
                  <c:v>-4.3579464324664636</c:v>
                </c:pt>
                <c:pt idx="528">
                  <c:v>-4.3677937274388832</c:v>
                </c:pt>
                <c:pt idx="529">
                  <c:v>-4.377641031447987</c:v>
                </c:pt>
                <c:pt idx="530">
                  <c:v>-4.3874883444935291</c:v>
                </c:pt>
                <c:pt idx="531">
                  <c:v>-4.3973356665752634</c:v>
                </c:pt>
                <c:pt idx="532">
                  <c:v>-4.4071829976929431</c:v>
                </c:pt>
                <c:pt idx="533">
                  <c:v>-4.417030337846322</c:v>
                </c:pt>
                <c:pt idx="534">
                  <c:v>-4.4268776870351534</c:v>
                </c:pt>
                <c:pt idx="535">
                  <c:v>-4.4367250452591911</c:v>
                </c:pt>
                <c:pt idx="536">
                  <c:v>-4.4465724125181891</c:v>
                </c:pt>
                <c:pt idx="537">
                  <c:v>-4.4564197888119015</c:v>
                </c:pt>
                <c:pt idx="538">
                  <c:v>-4.4662671741400812</c:v>
                </c:pt>
                <c:pt idx="539">
                  <c:v>-4.4761145685024823</c:v>
                </c:pt>
                <c:pt idx="540">
                  <c:v>-4.4859619718988588</c:v>
                </c:pt>
                <c:pt idx="541">
                  <c:v>-4.4958093843289637</c:v>
                </c:pt>
                <c:pt idx="542">
                  <c:v>-4.505656805792551</c:v>
                </c:pt>
                <c:pt idx="543">
                  <c:v>-4.5155042362893747</c:v>
                </c:pt>
                <c:pt idx="544">
                  <c:v>-4.5253516758191878</c:v>
                </c:pt>
                <c:pt idx="545">
                  <c:v>-4.5351991243817453</c:v>
                </c:pt>
                <c:pt idx="546">
                  <c:v>-4.5450465819767993</c:v>
                </c:pt>
                <c:pt idx="547">
                  <c:v>-4.5548940486041047</c:v>
                </c:pt>
                <c:pt idx="548">
                  <c:v>-4.5647415242634155</c:v>
                </c:pt>
                <c:pt idx="549">
                  <c:v>-4.5745890089544847</c:v>
                </c:pt>
                <c:pt idx="550">
                  <c:v>-4.5844365026770655</c:v>
                </c:pt>
                <c:pt idx="551">
                  <c:v>-4.5942840054309126</c:v>
                </c:pt>
                <c:pt idx="552">
                  <c:v>-4.6041315172157793</c:v>
                </c:pt>
                <c:pt idx="553">
                  <c:v>-4.6139790380314203</c:v>
                </c:pt>
                <c:pt idx="554">
                  <c:v>-4.6238265678775878</c:v>
                </c:pt>
                <c:pt idx="555">
                  <c:v>-4.6336741067540368</c:v>
                </c:pt>
                <c:pt idx="556">
                  <c:v>-4.6435216546605202</c:v>
                </c:pt>
                <c:pt idx="557">
                  <c:v>-4.6533692115967931</c:v>
                </c:pt>
                <c:pt idx="558">
                  <c:v>-4.6632167775626074</c:v>
                </c:pt>
                <c:pt idx="559">
                  <c:v>-4.6730643525577182</c:v>
                </c:pt>
                <c:pt idx="560">
                  <c:v>-4.6829119365818794</c:v>
                </c:pt>
                <c:pt idx="561">
                  <c:v>-4.6927595296348441</c:v>
                </c:pt>
                <c:pt idx="562">
                  <c:v>-4.7026071317163662</c:v>
                </c:pt>
                <c:pt idx="563">
                  <c:v>-4.7124547428261998</c:v>
                </c:pt>
                <c:pt idx="564">
                  <c:v>-4.7223023629640988</c:v>
                </c:pt>
                <c:pt idx="565">
                  <c:v>-4.7321499921298162</c:v>
                </c:pt>
                <c:pt idx="566">
                  <c:v>-4.7419976303231062</c:v>
                </c:pt>
                <c:pt idx="567">
                  <c:v>-4.7518452775437225</c:v>
                </c:pt>
                <c:pt idx="568">
                  <c:v>-4.7616929337914193</c:v>
                </c:pt>
                <c:pt idx="569">
                  <c:v>-4.7715405990659505</c:v>
                </c:pt>
                <c:pt idx="570">
                  <c:v>-4.7813882733670692</c:v>
                </c:pt>
                <c:pt idx="571">
                  <c:v>-4.7912359566945302</c:v>
                </c:pt>
                <c:pt idx="572">
                  <c:v>-4.8010836490480866</c:v>
                </c:pt>
                <c:pt idx="573">
                  <c:v>-4.8109313504274924</c:v>
                </c:pt>
                <c:pt idx="574">
                  <c:v>-4.8207790608325016</c:v>
                </c:pt>
                <c:pt idx="575">
                  <c:v>-4.8306267802628682</c:v>
                </c:pt>
                <c:pt idx="576">
                  <c:v>-4.8404745087183452</c:v>
                </c:pt>
                <c:pt idx="577">
                  <c:v>-4.8503222461986875</c:v>
                </c:pt>
                <c:pt idx="578">
                  <c:v>-4.8601699927036481</c:v>
                </c:pt>
                <c:pt idx="579">
                  <c:v>-4.8700177482329812</c:v>
                </c:pt>
                <c:pt idx="580">
                  <c:v>-4.8798655127864405</c:v>
                </c:pt>
                <c:pt idx="581">
                  <c:v>-4.8897132863637802</c:v>
                </c:pt>
                <c:pt idx="582">
                  <c:v>-4.8995610689647542</c:v>
                </c:pt>
                <c:pt idx="583">
                  <c:v>-4.9094088605891155</c:v>
                </c:pt>
                <c:pt idx="584">
                  <c:v>-4.9192566612366191</c:v>
                </c:pt>
                <c:pt idx="585">
                  <c:v>-4.929104470907018</c:v>
                </c:pt>
                <c:pt idx="586">
                  <c:v>-4.938952289600067</c:v>
                </c:pt>
                <c:pt idx="587">
                  <c:v>-4.9488001173155194</c:v>
                </c:pt>
                <c:pt idx="588">
                  <c:v>-4.958647954053129</c:v>
                </c:pt>
                <c:pt idx="589">
                  <c:v>-4.9684957998126498</c:v>
                </c:pt>
                <c:pt idx="590">
                  <c:v>-4.9783436545938358</c:v>
                </c:pt>
                <c:pt idx="591">
                  <c:v>-4.9881915183964409</c:v>
                </c:pt>
                <c:pt idx="592">
                  <c:v>-4.9980393912202183</c:v>
                </c:pt>
                <c:pt idx="593">
                  <c:v>-5.0078872730649229</c:v>
                </c:pt>
                <c:pt idx="594">
                  <c:v>-5.0177351639303085</c:v>
                </c:pt>
                <c:pt idx="595">
                  <c:v>-5.0275830638161283</c:v>
                </c:pt>
                <c:pt idx="596">
                  <c:v>-5.0374309727221371</c:v>
                </c:pt>
                <c:pt idx="597">
                  <c:v>-5.0472788906480881</c:v>
                </c:pt>
                <c:pt idx="598">
                  <c:v>-5.0571268175937352</c:v>
                </c:pt>
                <c:pt idx="599">
                  <c:v>-5.0669747535588332</c:v>
                </c:pt>
                <c:pt idx="600">
                  <c:v>-5.0768226985431353</c:v>
                </c:pt>
                <c:pt idx="601">
                  <c:v>-5.0866706525463954</c:v>
                </c:pt>
                <c:pt idx="602">
                  <c:v>-5.0965186155683675</c:v>
                </c:pt>
                <c:pt idx="603">
                  <c:v>-5.1063665876088056</c:v>
                </c:pt>
                <c:pt idx="604">
                  <c:v>-5.1162145686674636</c:v>
                </c:pt>
                <c:pt idx="605">
                  <c:v>-5.1260625587440956</c:v>
                </c:pt>
                <c:pt idx="606">
                  <c:v>-5.1359105578384554</c:v>
                </c:pt>
                <c:pt idx="607">
                  <c:v>-5.1457585659502971</c:v>
                </c:pt>
                <c:pt idx="608">
                  <c:v>-5.1556065830793747</c:v>
                </c:pt>
                <c:pt idx="609">
                  <c:v>-5.1654546092254421</c:v>
                </c:pt>
                <c:pt idx="610">
                  <c:v>-5.1753026443882533</c:v>
                </c:pt>
                <c:pt idx="611">
                  <c:v>-5.1851506885675622</c:v>
                </c:pt>
                <c:pt idx="612">
                  <c:v>-5.1949987417631229</c:v>
                </c:pt>
                <c:pt idx="613">
                  <c:v>-5.2048468039746894</c:v>
                </c:pt>
                <c:pt idx="614">
                  <c:v>-5.2146948752020155</c:v>
                </c:pt>
                <c:pt idx="615">
                  <c:v>-5.2245429554448553</c:v>
                </c:pt>
                <c:pt idx="616">
                  <c:v>-5.2343910447029627</c:v>
                </c:pt>
                <c:pt idx="617">
                  <c:v>-5.2442391429760917</c:v>
                </c:pt>
                <c:pt idx="618">
                  <c:v>-5.2540872502639964</c:v>
                </c:pt>
                <c:pt idx="619">
                  <c:v>-5.2639353665664306</c:v>
                </c:pt>
                <c:pt idx="620">
                  <c:v>-5.2737834918831483</c:v>
                </c:pt>
                <c:pt idx="621">
                  <c:v>-5.2836316262139045</c:v>
                </c:pt>
                <c:pt idx="622">
                  <c:v>-5.2934797695584521</c:v>
                </c:pt>
                <c:pt idx="623">
                  <c:v>-5.3033279219165452</c:v>
                </c:pt>
                <c:pt idx="624">
                  <c:v>-5.3131760832879378</c:v>
                </c:pt>
                <c:pt idx="625">
                  <c:v>-5.3230242536723846</c:v>
                </c:pt>
                <c:pt idx="626">
                  <c:v>-5.3328724330696389</c:v>
                </c:pt>
                <c:pt idx="627">
                  <c:v>-5.3427206214794554</c:v>
                </c:pt>
                <c:pt idx="628">
                  <c:v>-5.3525688189015872</c:v>
                </c:pt>
                <c:pt idx="629">
                  <c:v>-5.3624170253357892</c:v>
                </c:pt>
                <c:pt idx="630">
                  <c:v>-5.3722652407818146</c:v>
                </c:pt>
                <c:pt idx="631">
                  <c:v>-5.382113465239418</c:v>
                </c:pt>
                <c:pt idx="632">
                  <c:v>-5.3919616987083536</c:v>
                </c:pt>
                <c:pt idx="633">
                  <c:v>-5.4018099411883753</c:v>
                </c:pt>
                <c:pt idx="634">
                  <c:v>-5.4116581926792371</c:v>
                </c:pt>
                <c:pt idx="635">
                  <c:v>-5.4215064531806929</c:v>
                </c:pt>
                <c:pt idx="636">
                  <c:v>-5.4313547226924968</c:v>
                </c:pt>
                <c:pt idx="637">
                  <c:v>-5.4412030012144035</c:v>
                </c:pt>
                <c:pt idx="638">
                  <c:v>-5.4510512887461662</c:v>
                </c:pt>
                <c:pt idx="639">
                  <c:v>-5.4608995852875397</c:v>
                </c:pt>
                <c:pt idx="640">
                  <c:v>-5.4707478908382781</c:v>
                </c:pt>
                <c:pt idx="641">
                  <c:v>-5.4805962053981343</c:v>
                </c:pt>
                <c:pt idx="642">
                  <c:v>-5.4904445289668633</c:v>
                </c:pt>
                <c:pt idx="643">
                  <c:v>-5.500292861544219</c:v>
                </c:pt>
                <c:pt idx="644">
                  <c:v>-5.5101412031299564</c:v>
                </c:pt>
                <c:pt idx="645">
                  <c:v>-5.5199895537238284</c:v>
                </c:pt>
                <c:pt idx="646">
                  <c:v>-5.529837913325589</c:v>
                </c:pt>
                <c:pt idx="647">
                  <c:v>-5.5396862819349932</c:v>
                </c:pt>
                <c:pt idx="648">
                  <c:v>-5.5495346595517949</c:v>
                </c:pt>
                <c:pt idx="649">
                  <c:v>-5.5593830461757481</c:v>
                </c:pt>
                <c:pt idx="650">
                  <c:v>-5.5692314418066067</c:v>
                </c:pt>
                <c:pt idx="651">
                  <c:v>-5.5790798464441247</c:v>
                </c:pt>
                <c:pt idx="652">
                  <c:v>-5.588928260088057</c:v>
                </c:pt>
                <c:pt idx="653">
                  <c:v>-5.5987766827381567</c:v>
                </c:pt>
                <c:pt idx="654">
                  <c:v>-5.6086251143941785</c:v>
                </c:pt>
                <c:pt idx="655">
                  <c:v>-5.6184735550558766</c:v>
                </c:pt>
                <c:pt idx="656">
                  <c:v>-5.6283220047230049</c:v>
                </c:pt>
                <c:pt idx="657">
                  <c:v>-5.6381704633953182</c:v>
                </c:pt>
                <c:pt idx="658">
                  <c:v>-5.6480189310725697</c:v>
                </c:pt>
                <c:pt idx="659">
                  <c:v>-5.6578674077545141</c:v>
                </c:pt>
                <c:pt idx="660">
                  <c:v>-5.6677158934409055</c:v>
                </c:pt>
                <c:pt idx="661">
                  <c:v>-5.6775643881314979</c:v>
                </c:pt>
                <c:pt idx="662">
                  <c:v>-5.687412891826046</c:v>
                </c:pt>
                <c:pt idx="663">
                  <c:v>-5.6972614045243031</c:v>
                </c:pt>
                <c:pt idx="664">
                  <c:v>-5.7071099262260239</c:v>
                </c:pt>
                <c:pt idx="665">
                  <c:v>-5.7169584569309624</c:v>
                </c:pt>
                <c:pt idx="666">
                  <c:v>-5.7268069966388726</c:v>
                </c:pt>
                <c:pt idx="667">
                  <c:v>-5.7366555453495094</c:v>
                </c:pt>
                <c:pt idx="668">
                  <c:v>-5.7465041030626267</c:v>
                </c:pt>
                <c:pt idx="669">
                  <c:v>-5.7563526697779785</c:v>
                </c:pt>
                <c:pt idx="670">
                  <c:v>-5.7662012454953189</c:v>
                </c:pt>
                <c:pt idx="671">
                  <c:v>-5.7760498302144017</c:v>
                </c:pt>
                <c:pt idx="672">
                  <c:v>-5.7858984239349818</c:v>
                </c:pt>
                <c:pt idx="673">
                  <c:v>-5.7957470266568132</c:v>
                </c:pt>
                <c:pt idx="674">
                  <c:v>-5.8055956383796499</c:v>
                </c:pt>
                <c:pt idx="675">
                  <c:v>-5.8154442591032467</c:v>
                </c:pt>
                <c:pt idx="676">
                  <c:v>-5.8252928888273567</c:v>
                </c:pt>
                <c:pt idx="677">
                  <c:v>-5.8351415275517358</c:v>
                </c:pt>
                <c:pt idx="678">
                  <c:v>-5.8449901752761368</c:v>
                </c:pt>
                <c:pt idx="679">
                  <c:v>-5.854838832000314</c:v>
                </c:pt>
                <c:pt idx="680">
                  <c:v>-5.864687497724022</c:v>
                </c:pt>
                <c:pt idx="681">
                  <c:v>-5.8745361724470158</c:v>
                </c:pt>
                <c:pt idx="682">
                  <c:v>-5.8843848561690484</c:v>
                </c:pt>
                <c:pt idx="683">
                  <c:v>-5.8942335488898747</c:v>
                </c:pt>
                <c:pt idx="684">
                  <c:v>-5.9040822506092487</c:v>
                </c:pt>
                <c:pt idx="685">
                  <c:v>-5.9139309613269244</c:v>
                </c:pt>
                <c:pt idx="686">
                  <c:v>-5.9237796810426566</c:v>
                </c:pt>
                <c:pt idx="687">
                  <c:v>-5.9336284097561993</c:v>
                </c:pt>
                <c:pt idx="688">
                  <c:v>-5.9434771474673074</c:v>
                </c:pt>
                <c:pt idx="689">
                  <c:v>-5.9533258941757339</c:v>
                </c:pt>
                <c:pt idx="690">
                  <c:v>-5.9631746498812337</c:v>
                </c:pt>
                <c:pt idx="691">
                  <c:v>-5.9730234145835617</c:v>
                </c:pt>
                <c:pt idx="692">
                  <c:v>-5.9828721882824709</c:v>
                </c:pt>
                <c:pt idx="693">
                  <c:v>-5.9927209709777163</c:v>
                </c:pt>
                <c:pt idx="694">
                  <c:v>-6.0025697626690526</c:v>
                </c:pt>
                <c:pt idx="695">
                  <c:v>-6.012418563356233</c:v>
                </c:pt>
                <c:pt idx="696">
                  <c:v>-6.0222673730390124</c:v>
                </c:pt>
                <c:pt idx="697">
                  <c:v>-6.0321161917171455</c:v>
                </c:pt>
                <c:pt idx="698">
                  <c:v>-6.0419650193903864</c:v>
                </c:pt>
                <c:pt idx="699">
                  <c:v>-6.0518138560584891</c:v>
                </c:pt>
                <c:pt idx="700">
                  <c:v>-6.0616627017212075</c:v>
                </c:pt>
                <c:pt idx="701">
                  <c:v>-6.0715115563782964</c:v>
                </c:pt>
                <c:pt idx="702">
                  <c:v>-6.0813604200295108</c:v>
                </c:pt>
                <c:pt idx="703">
                  <c:v>-6.0912092926746038</c:v>
                </c:pt>
                <c:pt idx="704">
                  <c:v>-6.1010581743133301</c:v>
                </c:pt>
                <c:pt idx="705">
                  <c:v>-6.1109070649454447</c:v>
                </c:pt>
                <c:pt idx="706">
                  <c:v>-6.1207559645707015</c:v>
                </c:pt>
                <c:pt idx="707">
                  <c:v>-6.1306048731888545</c:v>
                </c:pt>
                <c:pt idx="708">
                  <c:v>-6.1404537907996586</c:v>
                </c:pt>
                <c:pt idx="709">
                  <c:v>-6.1503027174028677</c:v>
                </c:pt>
                <c:pt idx="710">
                  <c:v>-6.1601516529982359</c:v>
                </c:pt>
                <c:pt idx="711">
                  <c:v>-6.1700005975855179</c:v>
                </c:pt>
                <c:pt idx="712">
                  <c:v>-6.1798495511644678</c:v>
                </c:pt>
                <c:pt idx="713">
                  <c:v>-6.1896985137348404</c:v>
                </c:pt>
                <c:pt idx="714">
                  <c:v>-6.1995474852963897</c:v>
                </c:pt>
                <c:pt idx="715">
                  <c:v>-6.2093964658488705</c:v>
                </c:pt>
                <c:pt idx="716">
                  <c:v>-6.2192454553920369</c:v>
                </c:pt>
                <c:pt idx="717">
                  <c:v>-6.2290944539256428</c:v>
                </c:pt>
                <c:pt idx="718">
                  <c:v>-6.238943461449443</c:v>
                </c:pt>
                <c:pt idx="719">
                  <c:v>-6.2487924779631925</c:v>
                </c:pt>
                <c:pt idx="720">
                  <c:v>-6.2586415034666452</c:v>
                </c:pt>
                <c:pt idx="721">
                  <c:v>-6.268490537959555</c:v>
                </c:pt>
                <c:pt idx="722">
                  <c:v>-6.2783395814416769</c:v>
                </c:pt>
                <c:pt idx="723">
                  <c:v>-6.2881886339127648</c:v>
                </c:pt>
                <c:pt idx="724">
                  <c:v>-6.2980376953725736</c:v>
                </c:pt>
                <c:pt idx="725">
                  <c:v>-6.3078867658208573</c:v>
                </c:pt>
                <c:pt idx="726">
                  <c:v>-6.3177358452573706</c:v>
                </c:pt>
                <c:pt idx="727">
                  <c:v>-6.3275849336818677</c:v>
                </c:pt>
                <c:pt idx="728">
                  <c:v>-6.3374340310941024</c:v>
                </c:pt>
                <c:pt idx="729">
                  <c:v>-6.3472831374938306</c:v>
                </c:pt>
                <c:pt idx="730">
                  <c:v>-6.3571322528808052</c:v>
                </c:pt>
                <c:pt idx="731">
                  <c:v>-6.3669813772547812</c:v>
                </c:pt>
                <c:pt idx="732">
                  <c:v>-6.3768305106155134</c:v>
                </c:pt>
                <c:pt idx="733">
                  <c:v>-6.3866796529627559</c:v>
                </c:pt>
                <c:pt idx="734">
                  <c:v>-6.3965288042962634</c:v>
                </c:pt>
                <c:pt idx="735">
                  <c:v>-6.4063779646157899</c:v>
                </c:pt>
                <c:pt idx="736">
                  <c:v>-6.4162271339210903</c:v>
                </c:pt>
                <c:pt idx="737">
                  <c:v>-6.4260763122119187</c:v>
                </c:pt>
                <c:pt idx="738">
                  <c:v>-6.4359254994880297</c:v>
                </c:pt>
                <c:pt idx="739">
                  <c:v>-6.4457746957491775</c:v>
                </c:pt>
                <c:pt idx="740">
                  <c:v>-6.4556239009951168</c:v>
                </c:pt>
                <c:pt idx="741">
                  <c:v>-6.4654731152256018</c:v>
                </c:pt>
                <c:pt idx="742">
                  <c:v>-6.4753223384403871</c:v>
                </c:pt>
                <c:pt idx="743">
                  <c:v>-6.4851715706392277</c:v>
                </c:pt>
                <c:pt idx="744">
                  <c:v>-6.4950208118218775</c:v>
                </c:pt>
                <c:pt idx="745">
                  <c:v>-6.5048700619880906</c:v>
                </c:pt>
                <c:pt idx="746">
                  <c:v>-6.5147193211376226</c:v>
                </c:pt>
                <c:pt idx="747">
                  <c:v>-6.5245685892702268</c:v>
                </c:pt>
                <c:pt idx="748">
                  <c:v>-6.5344178663856587</c:v>
                </c:pt>
                <c:pt idx="749">
                  <c:v>-6.5442671524836724</c:v>
                </c:pt>
                <c:pt idx="750">
                  <c:v>-6.5541164475640219</c:v>
                </c:pt>
                <c:pt idx="751">
                  <c:v>-6.563965751626462</c:v>
                </c:pt>
                <c:pt idx="752">
                  <c:v>-6.5738150646707476</c:v>
                </c:pt>
                <c:pt idx="753">
                  <c:v>-6.5836643866966327</c:v>
                </c:pt>
                <c:pt idx="754">
                  <c:v>-6.5935137177038721</c:v>
                </c:pt>
                <c:pt idx="755">
                  <c:v>-6.6033630576922198</c:v>
                </c:pt>
                <c:pt idx="756">
                  <c:v>-6.6132124066614306</c:v>
                </c:pt>
                <c:pt idx="757">
                  <c:v>-6.6230617646112595</c:v>
                </c:pt>
                <c:pt idx="758">
                  <c:v>-6.6329111315414604</c:v>
                </c:pt>
                <c:pt idx="759">
                  <c:v>-6.6427605074517881</c:v>
                </c:pt>
                <c:pt idx="760">
                  <c:v>-6.6526098923419976</c:v>
                </c:pt>
                <c:pt idx="761">
                  <c:v>-6.6624592862118428</c:v>
                </c:pt>
                <c:pt idx="762">
                  <c:v>-6.6723086890610785</c:v>
                </c:pt>
                <c:pt idx="763">
                  <c:v>-6.6821581008894588</c:v>
                </c:pt>
                <c:pt idx="764">
                  <c:v>-6.6920075216967385</c:v>
                </c:pt>
                <c:pt idx="765">
                  <c:v>-6.7018569514826725</c:v>
                </c:pt>
                <c:pt idx="766">
                  <c:v>-6.7117063902470147</c:v>
                </c:pt>
                <c:pt idx="767">
                  <c:v>-6.7215558379895199</c:v>
                </c:pt>
                <c:pt idx="768">
                  <c:v>-6.7314052947099432</c:v>
                </c:pt>
                <c:pt idx="769">
                  <c:v>-6.7412547604080384</c:v>
                </c:pt>
                <c:pt idx="770">
                  <c:v>-6.7511042350835604</c:v>
                </c:pt>
                <c:pt idx="771">
                  <c:v>-6.7609537187362641</c:v>
                </c:pt>
                <c:pt idx="772">
                  <c:v>-6.7708032113659034</c:v>
                </c:pt>
                <c:pt idx="773">
                  <c:v>-6.7806527129722332</c:v>
                </c:pt>
                <c:pt idx="774">
                  <c:v>-6.7905022235550083</c:v>
                </c:pt>
                <c:pt idx="775">
                  <c:v>-6.8003517431139828</c:v>
                </c:pt>
                <c:pt idx="776">
                  <c:v>-6.8102012716489115</c:v>
                </c:pt>
                <c:pt idx="777">
                  <c:v>-6.8200508091595493</c:v>
                </c:pt>
                <c:pt idx="778">
                  <c:v>-6.829900355645651</c:v>
                </c:pt>
                <c:pt idx="779">
                  <c:v>-6.8397499111069706</c:v>
                </c:pt>
                <c:pt idx="780">
                  <c:v>-6.849599475543263</c:v>
                </c:pt>
                <c:pt idx="781">
                  <c:v>-6.8594490489542821</c:v>
                </c:pt>
                <c:pt idx="782">
                  <c:v>-6.8692986313397837</c:v>
                </c:pt>
                <c:pt idx="783">
                  <c:v>-6.8791482226995218</c:v>
                </c:pt>
                <c:pt idx="784">
                  <c:v>-6.8889978230332503</c:v>
                </c:pt>
                <c:pt idx="785">
                  <c:v>-6.8988474323407249</c:v>
                </c:pt>
                <c:pt idx="786">
                  <c:v>-6.9086970506216998</c:v>
                </c:pt>
                <c:pt idx="787">
                  <c:v>-6.9185466778759297</c:v>
                </c:pt>
                <c:pt idx="788">
                  <c:v>-6.9283963141031695</c:v>
                </c:pt>
                <c:pt idx="789">
                  <c:v>-6.9382459593031731</c:v>
                </c:pt>
                <c:pt idx="790">
                  <c:v>-6.9480956134756964</c:v>
                </c:pt>
                <c:pt idx="791">
                  <c:v>-6.9579452766204923</c:v>
                </c:pt>
                <c:pt idx="792">
                  <c:v>-6.9677949487373168</c:v>
                </c:pt>
                <c:pt idx="793">
                  <c:v>-6.9776446298259245</c:v>
                </c:pt>
                <c:pt idx="794">
                  <c:v>-6.9874943198860695</c:v>
                </c:pt>
                <c:pt idx="795">
                  <c:v>-6.9973440189175067</c:v>
                </c:pt>
                <c:pt idx="796">
                  <c:v>-7.0071937269199909</c:v>
                </c:pt>
                <c:pt idx="797">
                  <c:v>-7.0170434438932761</c:v>
                </c:pt>
                <c:pt idx="798">
                  <c:v>-7.026893169837118</c:v>
                </c:pt>
                <c:pt idx="799">
                  <c:v>-7.0367429047512706</c:v>
                </c:pt>
                <c:pt idx="800">
                  <c:v>-7.0465926486354888</c:v>
                </c:pt>
                <c:pt idx="801">
                  <c:v>-7.0564424014895266</c:v>
                </c:pt>
                <c:pt idx="802">
                  <c:v>-7.0662921633131397</c:v>
                </c:pt>
                <c:pt idx="803">
                  <c:v>-7.0761419341060821</c:v>
                </c:pt>
                <c:pt idx="804">
                  <c:v>-7.0859917138681086</c:v>
                </c:pt>
                <c:pt idx="805">
                  <c:v>-7.0958415025989741</c:v>
                </c:pt>
                <c:pt idx="806">
                  <c:v>-7.1056913002984334</c:v>
                </c:pt>
                <c:pt idx="807">
                  <c:v>-7.1155411069662415</c:v>
                </c:pt>
                <c:pt idx="808">
                  <c:v>-7.1253909226021523</c:v>
                </c:pt>
                <c:pt idx="809">
                  <c:v>-7.1352407472059207</c:v>
                </c:pt>
                <c:pt idx="810">
                  <c:v>-7.1450905807773015</c:v>
                </c:pt>
                <c:pt idx="811">
                  <c:v>-7.1549404233160496</c:v>
                </c:pt>
                <c:pt idx="812">
                  <c:v>-7.1647902748219199</c:v>
                </c:pt>
                <c:pt idx="813">
                  <c:v>-7.1746401352946672</c:v>
                </c:pt>
                <c:pt idx="814">
                  <c:v>-7.1844900047340454</c:v>
                </c:pt>
                <c:pt idx="815">
                  <c:v>-7.1943398831398095</c:v>
                </c:pt>
                <c:pt idx="816">
                  <c:v>-7.2041897705117153</c:v>
                </c:pt>
                <c:pt idx="817">
                  <c:v>-7.2140396668495166</c:v>
                </c:pt>
                <c:pt idx="818">
                  <c:v>-7.2238895721529683</c:v>
                </c:pt>
                <c:pt idx="819">
                  <c:v>-7.2337394864218245</c:v>
                </c:pt>
                <c:pt idx="820">
                  <c:v>-7.2435894096558409</c:v>
                </c:pt>
                <c:pt idx="821">
                  <c:v>-7.2534393418547722</c:v>
                </c:pt>
                <c:pt idx="822">
                  <c:v>-7.2632892830183726</c:v>
                </c:pt>
                <c:pt idx="823">
                  <c:v>-7.2731392331463969</c:v>
                </c:pt>
                <c:pt idx="824">
                  <c:v>-7.2829891922385999</c:v>
                </c:pt>
                <c:pt idx="825">
                  <c:v>-7.2928391602947373</c:v>
                </c:pt>
                <c:pt idx="826">
                  <c:v>-7.3026891373145633</c:v>
                </c:pt>
                <c:pt idx="827">
                  <c:v>-7.3125391232978316</c:v>
                </c:pt>
                <c:pt idx="828">
                  <c:v>-7.3223891182442982</c:v>
                </c:pt>
                <c:pt idx="829">
                  <c:v>-7.3322391221537178</c:v>
                </c:pt>
                <c:pt idx="830">
                  <c:v>-7.3420891350258453</c:v>
                </c:pt>
                <c:pt idx="831">
                  <c:v>-7.3519391568604346</c:v>
                </c:pt>
                <c:pt idx="832">
                  <c:v>-7.3617891876572417</c:v>
                </c:pt>
                <c:pt idx="833">
                  <c:v>-7.3716392274160203</c:v>
                </c:pt>
                <c:pt idx="834">
                  <c:v>-7.3814892761365254</c:v>
                </c:pt>
                <c:pt idx="835">
                  <c:v>-7.3913393338185127</c:v>
                </c:pt>
                <c:pt idx="836">
                  <c:v>-7.4011894004617362</c:v>
                </c:pt>
                <c:pt idx="837">
                  <c:v>-7.4110394760659508</c:v>
                </c:pt>
                <c:pt idx="838">
                  <c:v>-7.4208895606309113</c:v>
                </c:pt>
                <c:pt idx="839">
                  <c:v>-7.4307396541563726</c:v>
                </c:pt>
                <c:pt idx="840">
                  <c:v>-7.4405897566420904</c:v>
                </c:pt>
                <c:pt idx="841">
                  <c:v>-7.4504398680878188</c:v>
                </c:pt>
                <c:pt idx="842">
                  <c:v>-7.4602899884933125</c:v>
                </c:pt>
                <c:pt idx="843">
                  <c:v>-7.4701401178583255</c:v>
                </c:pt>
                <c:pt idx="844">
                  <c:v>-7.4799902561826137</c:v>
                </c:pt>
                <c:pt idx="845">
                  <c:v>-7.4898404034659318</c:v>
                </c:pt>
                <c:pt idx="846">
                  <c:v>-7.4996905597080348</c:v>
                </c:pt>
                <c:pt idx="847">
                  <c:v>-7.5095407249086774</c:v>
                </c:pt>
                <c:pt idx="848">
                  <c:v>-7.5193908990676146</c:v>
                </c:pt>
                <c:pt idx="849">
                  <c:v>-7.5292410821846012</c:v>
                </c:pt>
                <c:pt idx="850">
                  <c:v>-7.5390912742593921</c:v>
                </c:pt>
                <c:pt idx="851">
                  <c:v>-7.5489414752917421</c:v>
                </c:pt>
                <c:pt idx="852">
                  <c:v>-7.5587916852814061</c:v>
                </c:pt>
                <c:pt idx="853">
                  <c:v>-7.5686419042281381</c:v>
                </c:pt>
                <c:pt idx="854">
                  <c:v>-7.5784921321316938</c:v>
                </c:pt>
                <c:pt idx="855">
                  <c:v>-7.5883423689918281</c:v>
                </c:pt>
                <c:pt idx="856">
                  <c:v>-7.5981926148082959</c:v>
                </c:pt>
                <c:pt idx="857">
                  <c:v>-7.608042869580852</c:v>
                </c:pt>
                <c:pt idx="858">
                  <c:v>-7.6178931333092512</c:v>
                </c:pt>
                <c:pt idx="859">
                  <c:v>-7.6277434059932494</c:v>
                </c:pt>
                <c:pt idx="860">
                  <c:v>-7.6375936876326005</c:v>
                </c:pt>
                <c:pt idx="861">
                  <c:v>-7.6474439782270593</c:v>
                </c:pt>
                <c:pt idx="862">
                  <c:v>-7.6572942777763808</c:v>
                </c:pt>
                <c:pt idx="863">
                  <c:v>-7.6671445862803198</c:v>
                </c:pt>
                <c:pt idx="864">
                  <c:v>-7.676994903738632</c:v>
                </c:pt>
                <c:pt idx="865">
                  <c:v>-7.6868452301510715</c:v>
                </c:pt>
                <c:pt idx="866">
                  <c:v>-7.6966955655173939</c:v>
                </c:pt>
                <c:pt idx="867">
                  <c:v>-7.7065459098373532</c:v>
                </c:pt>
                <c:pt idx="868">
                  <c:v>-7.7163962631107053</c:v>
                </c:pt>
                <c:pt idx="869">
                  <c:v>-7.7262466253372049</c:v>
                </c:pt>
                <c:pt idx="870">
                  <c:v>-7.736096996516606</c:v>
                </c:pt>
                <c:pt idx="871">
                  <c:v>-7.7459473766486644</c:v>
                </c:pt>
                <c:pt idx="872">
                  <c:v>-7.755797765733135</c:v>
                </c:pt>
                <c:pt idx="873">
                  <c:v>-7.7656481637697725</c:v>
                </c:pt>
                <c:pt idx="874">
                  <c:v>-7.7754985707583328</c:v>
                </c:pt>
                <c:pt idx="875">
                  <c:v>-7.7853489866985699</c:v>
                </c:pt>
                <c:pt idx="876">
                  <c:v>-7.7951994115902385</c:v>
                </c:pt>
                <c:pt idx="877">
                  <c:v>-7.8050498454330945</c:v>
                </c:pt>
                <c:pt idx="878">
                  <c:v>-7.8149002882268928</c:v>
                </c:pt>
                <c:pt idx="879">
                  <c:v>-7.8247507399713871</c:v>
                </c:pt>
                <c:pt idx="880">
                  <c:v>-7.8346012006663335</c:v>
                </c:pt>
                <c:pt idx="881">
                  <c:v>-7.8444516703114866</c:v>
                </c:pt>
                <c:pt idx="882">
                  <c:v>-7.8543021489066014</c:v>
                </c:pt>
                <c:pt idx="883">
                  <c:v>-7.8641526364514336</c:v>
                </c:pt>
                <c:pt idx="884">
                  <c:v>-7.8740031329457372</c:v>
                </c:pt>
                <c:pt idx="885">
                  <c:v>-7.8838536383892679</c:v>
                </c:pt>
                <c:pt idx="886">
                  <c:v>-7.8937041527817806</c:v>
                </c:pt>
                <c:pt idx="887">
                  <c:v>-7.9035546761230293</c:v>
                </c:pt>
                <c:pt idx="888">
                  <c:v>-7.9134052084127706</c:v>
                </c:pt>
                <c:pt idx="889">
                  <c:v>-7.9232557496507585</c:v>
                </c:pt>
                <c:pt idx="890">
                  <c:v>-7.9331062998367479</c:v>
                </c:pt>
                <c:pt idx="891">
                  <c:v>-7.9429568589704944</c:v>
                </c:pt>
                <c:pt idx="892">
                  <c:v>-7.952807427051753</c:v>
                </c:pt>
                <c:pt idx="893">
                  <c:v>-7.9626580040802777</c:v>
                </c:pt>
                <c:pt idx="894">
                  <c:v>-7.972508590055825</c:v>
                </c:pt>
                <c:pt idx="895">
                  <c:v>-7.982359184978149</c:v>
                </c:pt>
                <c:pt idx="896">
                  <c:v>-7.9922097888470045</c:v>
                </c:pt>
                <c:pt idx="897">
                  <c:v>-8.0020604016621473</c:v>
                </c:pt>
                <c:pt idx="898">
                  <c:v>-8.0119110234233322</c:v>
                </c:pt>
                <c:pt idx="899">
                  <c:v>-8.0217616541303141</c:v>
                </c:pt>
                <c:pt idx="900">
                  <c:v>-8.0316122937828478</c:v>
                </c:pt>
                <c:pt idx="901">
                  <c:v>-8.04146294238069</c:v>
                </c:pt>
                <c:pt idx="902">
                  <c:v>-8.0513135999235939</c:v>
                </c:pt>
                <c:pt idx="903">
                  <c:v>-8.0611642664113141</c:v>
                </c:pt>
                <c:pt idx="904">
                  <c:v>-8.0710149418436075</c:v>
                </c:pt>
                <c:pt idx="905">
                  <c:v>-8.0808656262202287</c:v>
                </c:pt>
                <c:pt idx="906">
                  <c:v>-8.0907163195409328</c:v>
                </c:pt>
                <c:pt idx="907">
                  <c:v>-8.1005670218054746</c:v>
                </c:pt>
                <c:pt idx="908">
                  <c:v>-8.1104177330136089</c:v>
                </c:pt>
                <c:pt idx="909">
                  <c:v>-8.1202684531650906</c:v>
                </c:pt>
                <c:pt idx="910">
                  <c:v>-8.1301191822596746</c:v>
                </c:pt>
                <c:pt idx="911">
                  <c:v>-8.1399699202971174</c:v>
                </c:pt>
                <c:pt idx="912">
                  <c:v>-8.1498206672771722</c:v>
                </c:pt>
                <c:pt idx="913">
                  <c:v>-8.1596714231995957</c:v>
                </c:pt>
                <c:pt idx="914">
                  <c:v>-8.1695221880641427</c:v>
                </c:pt>
                <c:pt idx="915">
                  <c:v>-8.1793729618705679</c:v>
                </c:pt>
                <c:pt idx="916">
                  <c:v>-8.1892237446186265</c:v>
                </c:pt>
                <c:pt idx="917">
                  <c:v>-8.199074536308073</c:v>
                </c:pt>
                <c:pt idx="918">
                  <c:v>-8.2089253369386643</c:v>
                </c:pt>
                <c:pt idx="919">
                  <c:v>-8.2187761465101552</c:v>
                </c:pt>
                <c:pt idx="920">
                  <c:v>-8.2286269650222987</c:v>
                </c:pt>
                <c:pt idx="921">
                  <c:v>-8.2384777924748516</c:v>
                </c:pt>
                <c:pt idx="922">
                  <c:v>-8.2483286288675686</c:v>
                </c:pt>
                <c:pt idx="923">
                  <c:v>-8.2581794742002046</c:v>
                </c:pt>
                <c:pt idx="924">
                  <c:v>-8.2680303284725163</c:v>
                </c:pt>
                <c:pt idx="925">
                  <c:v>-8.2778811916842567</c:v>
                </c:pt>
                <c:pt idx="926">
                  <c:v>-8.2877320638351826</c:v>
                </c:pt>
                <c:pt idx="927">
                  <c:v>-8.2975829449250487</c:v>
                </c:pt>
                <c:pt idx="928">
                  <c:v>-8.3074338349536099</c:v>
                </c:pt>
                <c:pt idx="929">
                  <c:v>-8.3172847339206211</c:v>
                </c:pt>
                <c:pt idx="930">
                  <c:v>-8.3271356418258371</c:v>
                </c:pt>
                <c:pt idx="931">
                  <c:v>-8.3369865586690146</c:v>
                </c:pt>
                <c:pt idx="932">
                  <c:v>-8.3468374844499067</c:v>
                </c:pt>
                <c:pt idx="933">
                  <c:v>-8.35668841916827</c:v>
                </c:pt>
                <c:pt idx="934">
                  <c:v>-8.3665393628238593</c:v>
                </c:pt>
                <c:pt idx="935">
                  <c:v>-8.3763903154164296</c:v>
                </c:pt>
                <c:pt idx="936">
                  <c:v>-8.3862412769457375</c:v>
                </c:pt>
                <c:pt idx="937">
                  <c:v>-8.396092247411536</c:v>
                </c:pt>
                <c:pt idx="938">
                  <c:v>-8.4059432268135819</c:v>
                </c:pt>
                <c:pt idx="939">
                  <c:v>-8.4157942151516298</c:v>
                </c:pt>
                <c:pt idx="940">
                  <c:v>-8.4256452124254348</c:v>
                </c:pt>
                <c:pt idx="941">
                  <c:v>-8.4354962186347535</c:v>
                </c:pt>
                <c:pt idx="942">
                  <c:v>-8.4453472337793389</c:v>
                </c:pt>
                <c:pt idx="943">
                  <c:v>-8.4551982578589477</c:v>
                </c:pt>
                <c:pt idx="944">
                  <c:v>-8.4650492908733348</c:v>
                </c:pt>
                <c:pt idx="945">
                  <c:v>-8.474900332822255</c:v>
                </c:pt>
                <c:pt idx="946">
                  <c:v>-8.4847513837054631</c:v>
                </c:pt>
                <c:pt idx="947">
                  <c:v>-8.4946024435227159</c:v>
                </c:pt>
                <c:pt idx="948">
                  <c:v>-8.5044535122737663</c:v>
                </c:pt>
                <c:pt idx="949">
                  <c:v>-8.5143045899583711</c:v>
                </c:pt>
                <c:pt idx="950">
                  <c:v>-8.5241556765762851</c:v>
                </c:pt>
                <c:pt idx="951">
                  <c:v>-8.534006772127265</c:v>
                </c:pt>
                <c:pt idx="952">
                  <c:v>-8.5438578766110638</c:v>
                </c:pt>
                <c:pt idx="953">
                  <c:v>-8.5537089900274381</c:v>
                </c:pt>
                <c:pt idx="954">
                  <c:v>-8.5635601123761429</c:v>
                </c:pt>
                <c:pt idx="955">
                  <c:v>-8.573411243656933</c:v>
                </c:pt>
                <c:pt idx="956">
                  <c:v>-8.583262383869565</c:v>
                </c:pt>
                <c:pt idx="957">
                  <c:v>-8.5931135330137938</c:v>
                </c:pt>
                <c:pt idx="958">
                  <c:v>-8.6029646910893742</c:v>
                </c:pt>
                <c:pt idx="959">
                  <c:v>-8.6128158580960612</c:v>
                </c:pt>
                <c:pt idx="960">
                  <c:v>-8.6226670340336096</c:v>
                </c:pt>
                <c:pt idx="961">
                  <c:v>-8.632518218901776</c:v>
                </c:pt>
                <c:pt idx="962">
                  <c:v>-8.6423694127003134</c:v>
                </c:pt>
                <c:pt idx="963">
                  <c:v>-8.6522206154289805</c:v>
                </c:pt>
                <c:pt idx="964">
                  <c:v>-8.6620718270875301</c:v>
                </c:pt>
                <c:pt idx="965">
                  <c:v>-8.6719230476757172</c:v>
                </c:pt>
                <c:pt idx="966">
                  <c:v>-8.6817742771932984</c:v>
                </c:pt>
                <c:pt idx="967">
                  <c:v>-8.6916255156400286</c:v>
                </c:pt>
                <c:pt idx="968">
                  <c:v>-8.7014767630156644</c:v>
                </c:pt>
                <c:pt idx="969">
                  <c:v>-8.7113280193199589</c:v>
                </c:pt>
                <c:pt idx="970">
                  <c:v>-8.7211792845526688</c:v>
                </c:pt>
                <c:pt idx="971">
                  <c:v>-8.7310305587135488</c:v>
                </c:pt>
                <c:pt idx="972">
                  <c:v>-8.7408818418023539</c:v>
                </c:pt>
                <c:pt idx="973">
                  <c:v>-8.7507331338188408</c:v>
                </c:pt>
                <c:pt idx="974">
                  <c:v>-8.7605844347627642</c:v>
                </c:pt>
                <c:pt idx="975">
                  <c:v>-8.770435744633879</c:v>
                </c:pt>
                <c:pt idx="976">
                  <c:v>-8.7802870634319401</c:v>
                </c:pt>
                <c:pt idx="977">
                  <c:v>-8.7901383911567041</c:v>
                </c:pt>
                <c:pt idx="978">
                  <c:v>-8.799989727807926</c:v>
                </c:pt>
                <c:pt idx="979">
                  <c:v>-8.8098410733853605</c:v>
                </c:pt>
                <c:pt idx="980">
                  <c:v>-8.8196924278887625</c:v>
                </c:pt>
                <c:pt idx="981">
                  <c:v>-8.8295437913178887</c:v>
                </c:pt>
                <c:pt idx="982">
                  <c:v>-8.8393951636724939</c:v>
                </c:pt>
                <c:pt idx="983">
                  <c:v>-8.849246544952333</c:v>
                </c:pt>
                <c:pt idx="984">
                  <c:v>-8.8590979351571626</c:v>
                </c:pt>
                <c:pt idx="985">
                  <c:v>-8.8689493342867376</c:v>
                </c:pt>
                <c:pt idx="986">
                  <c:v>-8.8788007423408128</c:v>
                </c:pt>
                <c:pt idx="987">
                  <c:v>-8.8886521593191432</c:v>
                </c:pt>
                <c:pt idx="988">
                  <c:v>-8.8985035852214853</c:v>
                </c:pt>
                <c:pt idx="989">
                  <c:v>-8.9083550200475941</c:v>
                </c:pt>
                <c:pt idx="990">
                  <c:v>-8.918206463797226</c:v>
                </c:pt>
                <c:pt idx="991">
                  <c:v>-8.9280579164701344</c:v>
                </c:pt>
                <c:pt idx="992">
                  <c:v>-8.9379093780660757</c:v>
                </c:pt>
                <c:pt idx="993">
                  <c:v>-8.9477608485848048</c:v>
                </c:pt>
                <c:pt idx="994">
                  <c:v>-8.9576123280260784</c:v>
                </c:pt>
                <c:pt idx="995">
                  <c:v>-8.9674638163896514</c:v>
                </c:pt>
                <c:pt idx="996">
                  <c:v>-8.9773153136752786</c:v>
                </c:pt>
                <c:pt idx="997">
                  <c:v>-8.9871668198827148</c:v>
                </c:pt>
                <c:pt idx="998">
                  <c:v>-8.9970183350117168</c:v>
                </c:pt>
                <c:pt idx="999">
                  <c:v>-9.0068698590620393</c:v>
                </c:pt>
                <c:pt idx="1000">
                  <c:v>-9.0167213920334373</c:v>
                </c:pt>
              </c:numCache>
            </c:numRef>
          </c:yVal>
          <c:smooth val="1"/>
          <c:extLst>
            <c:ext xmlns:c16="http://schemas.microsoft.com/office/drawing/2014/chart" uri="{C3380CC4-5D6E-409C-BE32-E72D297353CC}">
              <c16:uniqueId val="{00000001-4C7F-469F-ADED-1B0B28F452E1}"/>
            </c:ext>
          </c:extLst>
        </c:ser>
        <c:ser>
          <c:idx val="1"/>
          <c:order val="2"/>
          <c:tx>
            <c:strRef>
              <c:f>Trajecto!$B$108</c:f>
              <c:strCache>
                <c:ptCount val="1"/>
                <c:pt idx="0">
                  <c:v>Descente balistique</c:v>
                </c:pt>
              </c:strCache>
            </c:strRef>
          </c:tx>
          <c:spPr>
            <a:ln w="12700">
              <a:solidFill>
                <a:srgbClr val="808080"/>
              </a:solidFill>
              <a:prstDash val="sysDash"/>
            </a:ln>
          </c:spPr>
          <c:marker>
            <c:symbol val="none"/>
          </c:marker>
          <c:xVal>
            <c:numRef>
              <c:f>Calculs!$B$4:$B$1004</c:f>
              <c:numCache>
                <c:formatCode>0.00</c:formatCode>
                <c:ptCount val="1001"/>
                <c:pt idx="0">
                  <c:v>0</c:v>
                </c:pt>
                <c:pt idx="1">
                  <c:v>0.01</c:v>
                </c:pt>
                <c:pt idx="2">
                  <c:v>0.02</c:v>
                </c:pt>
                <c:pt idx="3">
                  <c:v>0.03</c:v>
                </c:pt>
                <c:pt idx="4">
                  <c:v>0.04</c:v>
                </c:pt>
                <c:pt idx="5">
                  <c:v>0.05</c:v>
                </c:pt>
                <c:pt idx="6">
                  <c:v>6.0000000000000005E-2</c:v>
                </c:pt>
                <c:pt idx="7">
                  <c:v>7.0000000000000007E-2</c:v>
                </c:pt>
                <c:pt idx="8">
                  <c:v>0.08</c:v>
                </c:pt>
                <c:pt idx="9">
                  <c:v>0.09</c:v>
                </c:pt>
                <c:pt idx="10">
                  <c:v>9.9999999999999992E-2</c:v>
                </c:pt>
                <c:pt idx="11">
                  <c:v>0.10999999999999999</c:v>
                </c:pt>
                <c:pt idx="12">
                  <c:v>0.11999999999999998</c:v>
                </c:pt>
                <c:pt idx="13">
                  <c:v>0.12999999999999998</c:v>
                </c:pt>
                <c:pt idx="14">
                  <c:v>0.13999999999999999</c:v>
                </c:pt>
                <c:pt idx="15">
                  <c:v>0.15</c:v>
                </c:pt>
                <c:pt idx="16">
                  <c:v>0.16</c:v>
                </c:pt>
                <c:pt idx="17">
                  <c:v>0.17</c:v>
                </c:pt>
                <c:pt idx="18">
                  <c:v>0.18000000000000002</c:v>
                </c:pt>
                <c:pt idx="19">
                  <c:v>0.19000000000000003</c:v>
                </c:pt>
                <c:pt idx="20">
                  <c:v>0.20000000000000004</c:v>
                </c:pt>
                <c:pt idx="21">
                  <c:v>0.21000000000000005</c:v>
                </c:pt>
                <c:pt idx="22">
                  <c:v>0.22000000000000006</c:v>
                </c:pt>
                <c:pt idx="23">
                  <c:v>0.23000000000000007</c:v>
                </c:pt>
                <c:pt idx="24">
                  <c:v>0.24000000000000007</c:v>
                </c:pt>
                <c:pt idx="25">
                  <c:v>0.25000000000000006</c:v>
                </c:pt>
                <c:pt idx="26">
                  <c:v>0.26000000000000006</c:v>
                </c:pt>
                <c:pt idx="27">
                  <c:v>0.27000000000000007</c:v>
                </c:pt>
                <c:pt idx="28">
                  <c:v>0.28000000000000008</c:v>
                </c:pt>
                <c:pt idx="29">
                  <c:v>0.29000000000000009</c:v>
                </c:pt>
                <c:pt idx="30">
                  <c:v>0.3000000000000001</c:v>
                </c:pt>
                <c:pt idx="31">
                  <c:v>0.31000000000000011</c:v>
                </c:pt>
                <c:pt idx="32">
                  <c:v>0.32000000000000012</c:v>
                </c:pt>
                <c:pt idx="33">
                  <c:v>0.33000000000000013</c:v>
                </c:pt>
                <c:pt idx="34">
                  <c:v>0.34000000000000014</c:v>
                </c:pt>
                <c:pt idx="35">
                  <c:v>0.35000000000000014</c:v>
                </c:pt>
                <c:pt idx="36">
                  <c:v>0.36000000000000015</c:v>
                </c:pt>
                <c:pt idx="37">
                  <c:v>0.37000000000000016</c:v>
                </c:pt>
                <c:pt idx="38">
                  <c:v>0.38000000000000017</c:v>
                </c:pt>
                <c:pt idx="39">
                  <c:v>0.39000000000000018</c:v>
                </c:pt>
                <c:pt idx="40">
                  <c:v>0.40000000000000019</c:v>
                </c:pt>
                <c:pt idx="41">
                  <c:v>0.4100000000000002</c:v>
                </c:pt>
                <c:pt idx="42">
                  <c:v>0.42000000000000021</c:v>
                </c:pt>
                <c:pt idx="43">
                  <c:v>0.43000000000000022</c:v>
                </c:pt>
                <c:pt idx="44">
                  <c:v>0.44000000000000022</c:v>
                </c:pt>
                <c:pt idx="45">
                  <c:v>0.45000000000000023</c:v>
                </c:pt>
                <c:pt idx="46">
                  <c:v>0.46000000000000024</c:v>
                </c:pt>
                <c:pt idx="47">
                  <c:v>0.47000000000000025</c:v>
                </c:pt>
                <c:pt idx="48">
                  <c:v>0.48000000000000026</c:v>
                </c:pt>
                <c:pt idx="49">
                  <c:v>0.49000000000000027</c:v>
                </c:pt>
                <c:pt idx="50">
                  <c:v>0.50000000000000022</c:v>
                </c:pt>
                <c:pt idx="51">
                  <c:v>0.51000000000000023</c:v>
                </c:pt>
                <c:pt idx="52">
                  <c:v>0.52000000000000024</c:v>
                </c:pt>
                <c:pt idx="53">
                  <c:v>0.53000000000000025</c:v>
                </c:pt>
                <c:pt idx="54">
                  <c:v>0.54000000000000026</c:v>
                </c:pt>
                <c:pt idx="55">
                  <c:v>0.55000000000000027</c:v>
                </c:pt>
                <c:pt idx="56">
                  <c:v>0.56000000000000028</c:v>
                </c:pt>
                <c:pt idx="57">
                  <c:v>0.57000000000000028</c:v>
                </c:pt>
                <c:pt idx="58">
                  <c:v>0.58000000000000029</c:v>
                </c:pt>
                <c:pt idx="59">
                  <c:v>0.5900000000000003</c:v>
                </c:pt>
                <c:pt idx="60">
                  <c:v>0.60000000000000031</c:v>
                </c:pt>
                <c:pt idx="61">
                  <c:v>0.61000000000000032</c:v>
                </c:pt>
                <c:pt idx="62">
                  <c:v>0.62000000000000033</c:v>
                </c:pt>
                <c:pt idx="63">
                  <c:v>0.63000000000000034</c:v>
                </c:pt>
                <c:pt idx="64">
                  <c:v>0.64000000000000035</c:v>
                </c:pt>
                <c:pt idx="65">
                  <c:v>0.65000000000000036</c:v>
                </c:pt>
                <c:pt idx="66">
                  <c:v>0.66000000000000036</c:v>
                </c:pt>
                <c:pt idx="67">
                  <c:v>0.67000000000000037</c:v>
                </c:pt>
                <c:pt idx="68">
                  <c:v>0.68000000000000038</c:v>
                </c:pt>
                <c:pt idx="69">
                  <c:v>0.69000000000000039</c:v>
                </c:pt>
                <c:pt idx="70">
                  <c:v>0.7000000000000004</c:v>
                </c:pt>
                <c:pt idx="71">
                  <c:v>0.71000000000000041</c:v>
                </c:pt>
                <c:pt idx="72">
                  <c:v>0.72000000000000042</c:v>
                </c:pt>
                <c:pt idx="73">
                  <c:v>0.73000000000000043</c:v>
                </c:pt>
                <c:pt idx="74">
                  <c:v>0.74000000000000044</c:v>
                </c:pt>
                <c:pt idx="75">
                  <c:v>0.75000000000000044</c:v>
                </c:pt>
                <c:pt idx="76">
                  <c:v>0.76000000000000045</c:v>
                </c:pt>
                <c:pt idx="77">
                  <c:v>0.77000000000000046</c:v>
                </c:pt>
                <c:pt idx="78">
                  <c:v>0.78000000000000047</c:v>
                </c:pt>
                <c:pt idx="79">
                  <c:v>0.79000000000000048</c:v>
                </c:pt>
                <c:pt idx="80">
                  <c:v>0.80000000000000049</c:v>
                </c:pt>
                <c:pt idx="81">
                  <c:v>0.8100000000000005</c:v>
                </c:pt>
                <c:pt idx="82">
                  <c:v>0.82000000000000051</c:v>
                </c:pt>
                <c:pt idx="83">
                  <c:v>0.83000000000000052</c:v>
                </c:pt>
                <c:pt idx="84">
                  <c:v>0.84000000000000052</c:v>
                </c:pt>
                <c:pt idx="85">
                  <c:v>0.85000000000000053</c:v>
                </c:pt>
                <c:pt idx="86">
                  <c:v>0.86000000000000054</c:v>
                </c:pt>
                <c:pt idx="87">
                  <c:v>0.87000000000000055</c:v>
                </c:pt>
                <c:pt idx="88">
                  <c:v>0.88000000000000056</c:v>
                </c:pt>
                <c:pt idx="89">
                  <c:v>0.89000000000000057</c:v>
                </c:pt>
                <c:pt idx="90">
                  <c:v>0.90000000000000058</c:v>
                </c:pt>
                <c:pt idx="91">
                  <c:v>0.91000000000000059</c:v>
                </c:pt>
                <c:pt idx="92">
                  <c:v>0.9200000000000006</c:v>
                </c:pt>
                <c:pt idx="93">
                  <c:v>0.9300000000000006</c:v>
                </c:pt>
                <c:pt idx="94">
                  <c:v>0.94000000000000061</c:v>
                </c:pt>
                <c:pt idx="95">
                  <c:v>0.95000000000000062</c:v>
                </c:pt>
                <c:pt idx="96">
                  <c:v>0.96000000000000063</c:v>
                </c:pt>
                <c:pt idx="97">
                  <c:v>0.97000000000000064</c:v>
                </c:pt>
                <c:pt idx="98">
                  <c:v>0.98000000000000065</c:v>
                </c:pt>
                <c:pt idx="99">
                  <c:v>0.99000000000000066</c:v>
                </c:pt>
                <c:pt idx="100">
                  <c:v>1.0000000000000007</c:v>
                </c:pt>
                <c:pt idx="101">
                  <c:v>1.1000000000000008</c:v>
                </c:pt>
                <c:pt idx="102">
                  <c:v>1.2000000000000008</c:v>
                </c:pt>
                <c:pt idx="103">
                  <c:v>1.3000000000000009</c:v>
                </c:pt>
                <c:pt idx="104">
                  <c:v>1.400000000000001</c:v>
                </c:pt>
                <c:pt idx="105">
                  <c:v>1.5000000000000011</c:v>
                </c:pt>
                <c:pt idx="106">
                  <c:v>1.6000000000000012</c:v>
                </c:pt>
                <c:pt idx="107">
                  <c:v>1.7000000000000013</c:v>
                </c:pt>
                <c:pt idx="108">
                  <c:v>1.8000000000000014</c:v>
                </c:pt>
                <c:pt idx="109">
                  <c:v>1.9000000000000015</c:v>
                </c:pt>
                <c:pt idx="110">
                  <c:v>2.0000000000000013</c:v>
                </c:pt>
                <c:pt idx="111">
                  <c:v>2.1000000000000014</c:v>
                </c:pt>
                <c:pt idx="112">
                  <c:v>2.2000000000000015</c:v>
                </c:pt>
                <c:pt idx="113">
                  <c:v>2.3000000000000016</c:v>
                </c:pt>
                <c:pt idx="114">
                  <c:v>2.4000000000000017</c:v>
                </c:pt>
                <c:pt idx="115">
                  <c:v>2.5000000000000018</c:v>
                </c:pt>
                <c:pt idx="116">
                  <c:v>2.6000000000000019</c:v>
                </c:pt>
                <c:pt idx="117">
                  <c:v>2.700000000000002</c:v>
                </c:pt>
                <c:pt idx="118">
                  <c:v>2.800000000000002</c:v>
                </c:pt>
                <c:pt idx="119">
                  <c:v>2.9000000000000021</c:v>
                </c:pt>
                <c:pt idx="120">
                  <c:v>3.0000000000000022</c:v>
                </c:pt>
                <c:pt idx="121">
                  <c:v>3.1000000000000023</c:v>
                </c:pt>
                <c:pt idx="122">
                  <c:v>3.2000000000000024</c:v>
                </c:pt>
                <c:pt idx="123">
                  <c:v>3.3000000000000025</c:v>
                </c:pt>
                <c:pt idx="124">
                  <c:v>3.4000000000000026</c:v>
                </c:pt>
                <c:pt idx="125">
                  <c:v>3.5000000000000027</c:v>
                </c:pt>
                <c:pt idx="126">
                  <c:v>3.6000000000000028</c:v>
                </c:pt>
                <c:pt idx="127">
                  <c:v>3.7000000000000028</c:v>
                </c:pt>
                <c:pt idx="128">
                  <c:v>3.8000000000000029</c:v>
                </c:pt>
                <c:pt idx="129">
                  <c:v>3.900000000000003</c:v>
                </c:pt>
                <c:pt idx="130">
                  <c:v>4.0000000000000027</c:v>
                </c:pt>
                <c:pt idx="131">
                  <c:v>4.1000000000000023</c:v>
                </c:pt>
                <c:pt idx="132">
                  <c:v>4.200000000000002</c:v>
                </c:pt>
                <c:pt idx="133">
                  <c:v>4.3000000000000016</c:v>
                </c:pt>
                <c:pt idx="134">
                  <c:v>4.4000000000000012</c:v>
                </c:pt>
                <c:pt idx="135">
                  <c:v>4.5000000000000009</c:v>
                </c:pt>
                <c:pt idx="136">
                  <c:v>4.6000000000000005</c:v>
                </c:pt>
                <c:pt idx="137">
                  <c:v>4.7</c:v>
                </c:pt>
                <c:pt idx="138">
                  <c:v>4.8</c:v>
                </c:pt>
                <c:pt idx="139">
                  <c:v>4.8999999999999995</c:v>
                </c:pt>
                <c:pt idx="140">
                  <c:v>4.9999999999999991</c:v>
                </c:pt>
                <c:pt idx="141">
                  <c:v>5.0999999999999988</c:v>
                </c:pt>
                <c:pt idx="142">
                  <c:v>5.1999999999999984</c:v>
                </c:pt>
                <c:pt idx="143">
                  <c:v>5.299999999999998</c:v>
                </c:pt>
                <c:pt idx="144">
                  <c:v>5.3999999999999977</c:v>
                </c:pt>
                <c:pt idx="145">
                  <c:v>5.4999999999999973</c:v>
                </c:pt>
                <c:pt idx="146">
                  <c:v>5.599999999999997</c:v>
                </c:pt>
                <c:pt idx="147">
                  <c:v>5.6999999999999966</c:v>
                </c:pt>
                <c:pt idx="148">
                  <c:v>5.7999999999999963</c:v>
                </c:pt>
                <c:pt idx="149">
                  <c:v>5.8999999999999959</c:v>
                </c:pt>
                <c:pt idx="150">
                  <c:v>5.9999999999999956</c:v>
                </c:pt>
                <c:pt idx="151">
                  <c:v>6.0999999999999952</c:v>
                </c:pt>
                <c:pt idx="152">
                  <c:v>6.1999999999999948</c:v>
                </c:pt>
                <c:pt idx="153">
                  <c:v>6.2999999999999945</c:v>
                </c:pt>
                <c:pt idx="154">
                  <c:v>6.3999999999999941</c:v>
                </c:pt>
                <c:pt idx="155">
                  <c:v>6.4999999999999938</c:v>
                </c:pt>
                <c:pt idx="156">
                  <c:v>6.5999999999999934</c:v>
                </c:pt>
                <c:pt idx="157">
                  <c:v>6.6999999999999931</c:v>
                </c:pt>
                <c:pt idx="158">
                  <c:v>6.7999999999999927</c:v>
                </c:pt>
                <c:pt idx="159">
                  <c:v>6.8999999999999924</c:v>
                </c:pt>
                <c:pt idx="160">
                  <c:v>6.999999999999992</c:v>
                </c:pt>
                <c:pt idx="161">
                  <c:v>7.0999999999999917</c:v>
                </c:pt>
                <c:pt idx="162">
                  <c:v>7.1999999999999913</c:v>
                </c:pt>
                <c:pt idx="163">
                  <c:v>7.2999999999999909</c:v>
                </c:pt>
                <c:pt idx="164">
                  <c:v>7.3999999999999906</c:v>
                </c:pt>
                <c:pt idx="165">
                  <c:v>7.4999999999999902</c:v>
                </c:pt>
                <c:pt idx="166">
                  <c:v>7.5999999999999899</c:v>
                </c:pt>
                <c:pt idx="167">
                  <c:v>7.6999999999999895</c:v>
                </c:pt>
                <c:pt idx="168">
                  <c:v>7.7999999999999892</c:v>
                </c:pt>
                <c:pt idx="169">
                  <c:v>7.8999999999999888</c:v>
                </c:pt>
                <c:pt idx="170">
                  <c:v>7.9999999999999885</c:v>
                </c:pt>
                <c:pt idx="171">
                  <c:v>8.099999999999989</c:v>
                </c:pt>
                <c:pt idx="172">
                  <c:v>8.1999999999999886</c:v>
                </c:pt>
                <c:pt idx="173">
                  <c:v>8.2999999999999883</c:v>
                </c:pt>
                <c:pt idx="174">
                  <c:v>8.3999999999999879</c:v>
                </c:pt>
                <c:pt idx="175">
                  <c:v>8.4999999999999876</c:v>
                </c:pt>
                <c:pt idx="176">
                  <c:v>8.5999999999999872</c:v>
                </c:pt>
                <c:pt idx="177">
                  <c:v>8.6999999999999869</c:v>
                </c:pt>
                <c:pt idx="178">
                  <c:v>8.7999999999999865</c:v>
                </c:pt>
                <c:pt idx="179">
                  <c:v>8.8999999999999861</c:v>
                </c:pt>
                <c:pt idx="180">
                  <c:v>8.9999999999999858</c:v>
                </c:pt>
                <c:pt idx="181">
                  <c:v>9.0999999999999854</c:v>
                </c:pt>
                <c:pt idx="182">
                  <c:v>9.1999999999999851</c:v>
                </c:pt>
                <c:pt idx="183">
                  <c:v>9.2999999999999847</c:v>
                </c:pt>
                <c:pt idx="184">
                  <c:v>9.3999999999999844</c:v>
                </c:pt>
                <c:pt idx="185">
                  <c:v>9.499999999999984</c:v>
                </c:pt>
                <c:pt idx="186">
                  <c:v>9.5999999999999837</c:v>
                </c:pt>
                <c:pt idx="187">
                  <c:v>9.6999999999999833</c:v>
                </c:pt>
                <c:pt idx="188">
                  <c:v>9.7999999999999829</c:v>
                </c:pt>
                <c:pt idx="189">
                  <c:v>9.8999999999999826</c:v>
                </c:pt>
                <c:pt idx="190">
                  <c:v>9.9999999999999822</c:v>
                </c:pt>
                <c:pt idx="191">
                  <c:v>10.099999999999982</c:v>
                </c:pt>
                <c:pt idx="192">
                  <c:v>10.199999999999982</c:v>
                </c:pt>
                <c:pt idx="193">
                  <c:v>10.299999999999981</c:v>
                </c:pt>
                <c:pt idx="194">
                  <c:v>10.399999999999981</c:v>
                </c:pt>
                <c:pt idx="195">
                  <c:v>10.49999999999998</c:v>
                </c:pt>
                <c:pt idx="196">
                  <c:v>10.59999999999998</c:v>
                </c:pt>
                <c:pt idx="197">
                  <c:v>10.69999999999998</c:v>
                </c:pt>
                <c:pt idx="198">
                  <c:v>10.799999999999979</c:v>
                </c:pt>
                <c:pt idx="199">
                  <c:v>10.899999999999979</c:v>
                </c:pt>
                <c:pt idx="200">
                  <c:v>10.999999999999979</c:v>
                </c:pt>
                <c:pt idx="201">
                  <c:v>11.099999999999978</c:v>
                </c:pt>
                <c:pt idx="202">
                  <c:v>11.199999999999978</c:v>
                </c:pt>
                <c:pt idx="203">
                  <c:v>11.299999999999978</c:v>
                </c:pt>
                <c:pt idx="204">
                  <c:v>11.399999999999977</c:v>
                </c:pt>
                <c:pt idx="205">
                  <c:v>11.499999999999977</c:v>
                </c:pt>
                <c:pt idx="206">
                  <c:v>11.599999999999977</c:v>
                </c:pt>
                <c:pt idx="207">
                  <c:v>11.699999999999976</c:v>
                </c:pt>
                <c:pt idx="208">
                  <c:v>11.799999999999976</c:v>
                </c:pt>
                <c:pt idx="209">
                  <c:v>11.899999999999975</c:v>
                </c:pt>
                <c:pt idx="210">
                  <c:v>11.999999999999975</c:v>
                </c:pt>
                <c:pt idx="211">
                  <c:v>12.099999999999975</c:v>
                </c:pt>
                <c:pt idx="212">
                  <c:v>12.199999999999974</c:v>
                </c:pt>
                <c:pt idx="213">
                  <c:v>12.299999999999974</c:v>
                </c:pt>
                <c:pt idx="214">
                  <c:v>12.399999999999974</c:v>
                </c:pt>
                <c:pt idx="215">
                  <c:v>12.499999999999973</c:v>
                </c:pt>
                <c:pt idx="216">
                  <c:v>12.599999999999973</c:v>
                </c:pt>
                <c:pt idx="217">
                  <c:v>12.699999999999973</c:v>
                </c:pt>
                <c:pt idx="218">
                  <c:v>12.799999999999972</c:v>
                </c:pt>
                <c:pt idx="219">
                  <c:v>12.899999999999972</c:v>
                </c:pt>
                <c:pt idx="220">
                  <c:v>12.999999999999972</c:v>
                </c:pt>
                <c:pt idx="221">
                  <c:v>13.099999999999971</c:v>
                </c:pt>
                <c:pt idx="222">
                  <c:v>13.199999999999971</c:v>
                </c:pt>
                <c:pt idx="223">
                  <c:v>13.299999999999971</c:v>
                </c:pt>
                <c:pt idx="224">
                  <c:v>13.39999999999997</c:v>
                </c:pt>
                <c:pt idx="225">
                  <c:v>13.49999999999997</c:v>
                </c:pt>
                <c:pt idx="226">
                  <c:v>13.599999999999969</c:v>
                </c:pt>
                <c:pt idx="227">
                  <c:v>13.699999999999969</c:v>
                </c:pt>
                <c:pt idx="228">
                  <c:v>13.799999999999969</c:v>
                </c:pt>
                <c:pt idx="229">
                  <c:v>13.899999999999968</c:v>
                </c:pt>
                <c:pt idx="230">
                  <c:v>13.999999999999968</c:v>
                </c:pt>
                <c:pt idx="231">
                  <c:v>14.099999999999968</c:v>
                </c:pt>
                <c:pt idx="232">
                  <c:v>14.199999999999967</c:v>
                </c:pt>
                <c:pt idx="233">
                  <c:v>14.299999999999967</c:v>
                </c:pt>
                <c:pt idx="234">
                  <c:v>14.399999999999967</c:v>
                </c:pt>
                <c:pt idx="235">
                  <c:v>14.499999999999966</c:v>
                </c:pt>
                <c:pt idx="236">
                  <c:v>14.599999999999966</c:v>
                </c:pt>
                <c:pt idx="237">
                  <c:v>14.699999999999966</c:v>
                </c:pt>
                <c:pt idx="238">
                  <c:v>14.799999999999965</c:v>
                </c:pt>
                <c:pt idx="239">
                  <c:v>14.899999999999965</c:v>
                </c:pt>
                <c:pt idx="240">
                  <c:v>14.999999999999964</c:v>
                </c:pt>
                <c:pt idx="241">
                  <c:v>15.099999999999964</c:v>
                </c:pt>
                <c:pt idx="242">
                  <c:v>15.199999999999964</c:v>
                </c:pt>
                <c:pt idx="243">
                  <c:v>15.299999999999963</c:v>
                </c:pt>
                <c:pt idx="244">
                  <c:v>15.399999999999963</c:v>
                </c:pt>
                <c:pt idx="245">
                  <c:v>15.499999999999963</c:v>
                </c:pt>
                <c:pt idx="246">
                  <c:v>15.599999999999962</c:v>
                </c:pt>
                <c:pt idx="247">
                  <c:v>15.699999999999962</c:v>
                </c:pt>
                <c:pt idx="248">
                  <c:v>15.799999999999962</c:v>
                </c:pt>
                <c:pt idx="249">
                  <c:v>15.899999999999961</c:v>
                </c:pt>
                <c:pt idx="250">
                  <c:v>15.999999999999961</c:v>
                </c:pt>
                <c:pt idx="251">
                  <c:v>16.099999999999962</c:v>
                </c:pt>
                <c:pt idx="252">
                  <c:v>16.199999999999964</c:v>
                </c:pt>
                <c:pt idx="253">
                  <c:v>16.299999999999965</c:v>
                </c:pt>
                <c:pt idx="254">
                  <c:v>16.399999999999967</c:v>
                </c:pt>
                <c:pt idx="255">
                  <c:v>16.499999999999968</c:v>
                </c:pt>
                <c:pt idx="256">
                  <c:v>16.599999999999969</c:v>
                </c:pt>
                <c:pt idx="257">
                  <c:v>16.699999999999971</c:v>
                </c:pt>
                <c:pt idx="258">
                  <c:v>16.799999999999972</c:v>
                </c:pt>
                <c:pt idx="259">
                  <c:v>16.899999999999974</c:v>
                </c:pt>
                <c:pt idx="260">
                  <c:v>16.999999999999975</c:v>
                </c:pt>
                <c:pt idx="261">
                  <c:v>17.099999999999977</c:v>
                </c:pt>
                <c:pt idx="262">
                  <c:v>17.199999999999978</c:v>
                </c:pt>
                <c:pt idx="263">
                  <c:v>17.299999999999979</c:v>
                </c:pt>
                <c:pt idx="264">
                  <c:v>17.399999999999981</c:v>
                </c:pt>
                <c:pt idx="265">
                  <c:v>17.499999999999982</c:v>
                </c:pt>
                <c:pt idx="266">
                  <c:v>17.599999999999984</c:v>
                </c:pt>
                <c:pt idx="267">
                  <c:v>17.699999999999985</c:v>
                </c:pt>
                <c:pt idx="268">
                  <c:v>17.799999999999986</c:v>
                </c:pt>
                <c:pt idx="269">
                  <c:v>17.899999999999988</c:v>
                </c:pt>
                <c:pt idx="270">
                  <c:v>17.999999999999989</c:v>
                </c:pt>
                <c:pt idx="271">
                  <c:v>18.099999999999991</c:v>
                </c:pt>
                <c:pt idx="272">
                  <c:v>18.199999999999992</c:v>
                </c:pt>
                <c:pt idx="273">
                  <c:v>18.299999999999994</c:v>
                </c:pt>
                <c:pt idx="274">
                  <c:v>18.399999999999995</c:v>
                </c:pt>
                <c:pt idx="275">
                  <c:v>18.499999999999996</c:v>
                </c:pt>
                <c:pt idx="276">
                  <c:v>18.599999999999998</c:v>
                </c:pt>
                <c:pt idx="277">
                  <c:v>18.7</c:v>
                </c:pt>
                <c:pt idx="278">
                  <c:v>18.8</c:v>
                </c:pt>
                <c:pt idx="279">
                  <c:v>18.900000000000002</c:v>
                </c:pt>
                <c:pt idx="280">
                  <c:v>19.000000000000004</c:v>
                </c:pt>
                <c:pt idx="281">
                  <c:v>19.100000000000005</c:v>
                </c:pt>
                <c:pt idx="282">
                  <c:v>19.200000000000006</c:v>
                </c:pt>
                <c:pt idx="283">
                  <c:v>19.300000000000008</c:v>
                </c:pt>
                <c:pt idx="284">
                  <c:v>19.400000000000009</c:v>
                </c:pt>
                <c:pt idx="285">
                  <c:v>19.500000000000011</c:v>
                </c:pt>
                <c:pt idx="286">
                  <c:v>19.600000000000012</c:v>
                </c:pt>
                <c:pt idx="287">
                  <c:v>19.700000000000014</c:v>
                </c:pt>
                <c:pt idx="288">
                  <c:v>19.800000000000015</c:v>
                </c:pt>
                <c:pt idx="289">
                  <c:v>19.900000000000016</c:v>
                </c:pt>
                <c:pt idx="290">
                  <c:v>20.000000000000018</c:v>
                </c:pt>
                <c:pt idx="291">
                  <c:v>20.100000000000019</c:v>
                </c:pt>
                <c:pt idx="292">
                  <c:v>20.200000000000021</c:v>
                </c:pt>
                <c:pt idx="293">
                  <c:v>20.300000000000022</c:v>
                </c:pt>
                <c:pt idx="294">
                  <c:v>20.400000000000023</c:v>
                </c:pt>
                <c:pt idx="295">
                  <c:v>20.500000000000025</c:v>
                </c:pt>
                <c:pt idx="296">
                  <c:v>20.600000000000026</c:v>
                </c:pt>
                <c:pt idx="297">
                  <c:v>20.700000000000028</c:v>
                </c:pt>
                <c:pt idx="298">
                  <c:v>20.800000000000029</c:v>
                </c:pt>
                <c:pt idx="299">
                  <c:v>20.900000000000031</c:v>
                </c:pt>
                <c:pt idx="300">
                  <c:v>21.000000000000032</c:v>
                </c:pt>
                <c:pt idx="301">
                  <c:v>21.100000000000033</c:v>
                </c:pt>
                <c:pt idx="302">
                  <c:v>21.200000000000035</c:v>
                </c:pt>
                <c:pt idx="303">
                  <c:v>21.300000000000036</c:v>
                </c:pt>
                <c:pt idx="304">
                  <c:v>21.400000000000038</c:v>
                </c:pt>
                <c:pt idx="305">
                  <c:v>21.500000000000039</c:v>
                </c:pt>
                <c:pt idx="306">
                  <c:v>21.600000000000041</c:v>
                </c:pt>
                <c:pt idx="307">
                  <c:v>21.700000000000042</c:v>
                </c:pt>
                <c:pt idx="308">
                  <c:v>21.800000000000043</c:v>
                </c:pt>
                <c:pt idx="309">
                  <c:v>21.900000000000045</c:v>
                </c:pt>
                <c:pt idx="310">
                  <c:v>22.000000000000046</c:v>
                </c:pt>
                <c:pt idx="311">
                  <c:v>22.100000000000048</c:v>
                </c:pt>
                <c:pt idx="312">
                  <c:v>22.200000000000049</c:v>
                </c:pt>
                <c:pt idx="313">
                  <c:v>22.30000000000005</c:v>
                </c:pt>
                <c:pt idx="314">
                  <c:v>22.400000000000052</c:v>
                </c:pt>
                <c:pt idx="315">
                  <c:v>22.500000000000053</c:v>
                </c:pt>
                <c:pt idx="316">
                  <c:v>22.600000000000055</c:v>
                </c:pt>
                <c:pt idx="317">
                  <c:v>22.700000000000056</c:v>
                </c:pt>
                <c:pt idx="318">
                  <c:v>22.800000000000058</c:v>
                </c:pt>
                <c:pt idx="319">
                  <c:v>22.900000000000059</c:v>
                </c:pt>
                <c:pt idx="320">
                  <c:v>23.00000000000006</c:v>
                </c:pt>
                <c:pt idx="321">
                  <c:v>23.100000000000062</c:v>
                </c:pt>
                <c:pt idx="322">
                  <c:v>23.200000000000063</c:v>
                </c:pt>
                <c:pt idx="323">
                  <c:v>23.300000000000065</c:v>
                </c:pt>
                <c:pt idx="324">
                  <c:v>23.400000000000066</c:v>
                </c:pt>
                <c:pt idx="325">
                  <c:v>23.500000000000068</c:v>
                </c:pt>
                <c:pt idx="326">
                  <c:v>23.600000000000069</c:v>
                </c:pt>
                <c:pt idx="327">
                  <c:v>23.70000000000007</c:v>
                </c:pt>
                <c:pt idx="328">
                  <c:v>23.800000000000072</c:v>
                </c:pt>
                <c:pt idx="329">
                  <c:v>23.900000000000073</c:v>
                </c:pt>
                <c:pt idx="330">
                  <c:v>24.000000000000075</c:v>
                </c:pt>
                <c:pt idx="331">
                  <c:v>24.100000000000076</c:v>
                </c:pt>
                <c:pt idx="332">
                  <c:v>24.200000000000077</c:v>
                </c:pt>
                <c:pt idx="333">
                  <c:v>24.300000000000079</c:v>
                </c:pt>
                <c:pt idx="334">
                  <c:v>24.40000000000008</c:v>
                </c:pt>
                <c:pt idx="335">
                  <c:v>24.500000000000082</c:v>
                </c:pt>
                <c:pt idx="336">
                  <c:v>24.600000000000083</c:v>
                </c:pt>
                <c:pt idx="337">
                  <c:v>24.700000000000085</c:v>
                </c:pt>
                <c:pt idx="338">
                  <c:v>24.800000000000086</c:v>
                </c:pt>
                <c:pt idx="339">
                  <c:v>24.900000000000087</c:v>
                </c:pt>
                <c:pt idx="340">
                  <c:v>25.000000000000089</c:v>
                </c:pt>
                <c:pt idx="341">
                  <c:v>25.10000000000009</c:v>
                </c:pt>
                <c:pt idx="342">
                  <c:v>25.200000000000092</c:v>
                </c:pt>
                <c:pt idx="343">
                  <c:v>25.300000000000093</c:v>
                </c:pt>
                <c:pt idx="344">
                  <c:v>25.400000000000095</c:v>
                </c:pt>
                <c:pt idx="345">
                  <c:v>25.500000000000096</c:v>
                </c:pt>
                <c:pt idx="346">
                  <c:v>25.600000000000097</c:v>
                </c:pt>
                <c:pt idx="347">
                  <c:v>25.700000000000099</c:v>
                </c:pt>
                <c:pt idx="348">
                  <c:v>25.8000000000001</c:v>
                </c:pt>
                <c:pt idx="349">
                  <c:v>25.900000000000102</c:v>
                </c:pt>
                <c:pt idx="350">
                  <c:v>26.000000000000103</c:v>
                </c:pt>
                <c:pt idx="351">
                  <c:v>26.100000000000104</c:v>
                </c:pt>
                <c:pt idx="352">
                  <c:v>26.200000000000106</c:v>
                </c:pt>
                <c:pt idx="353">
                  <c:v>26.300000000000107</c:v>
                </c:pt>
                <c:pt idx="354">
                  <c:v>26.400000000000109</c:v>
                </c:pt>
                <c:pt idx="355">
                  <c:v>26.50000000000011</c:v>
                </c:pt>
                <c:pt idx="356">
                  <c:v>26.600000000000112</c:v>
                </c:pt>
                <c:pt idx="357">
                  <c:v>26.700000000000113</c:v>
                </c:pt>
                <c:pt idx="358">
                  <c:v>26.800000000000114</c:v>
                </c:pt>
                <c:pt idx="359">
                  <c:v>26.900000000000116</c:v>
                </c:pt>
                <c:pt idx="360">
                  <c:v>27.000000000000117</c:v>
                </c:pt>
                <c:pt idx="361">
                  <c:v>27.100000000000119</c:v>
                </c:pt>
                <c:pt idx="362">
                  <c:v>27.20000000000012</c:v>
                </c:pt>
                <c:pt idx="363">
                  <c:v>27.300000000000122</c:v>
                </c:pt>
                <c:pt idx="364">
                  <c:v>27.400000000000123</c:v>
                </c:pt>
                <c:pt idx="365">
                  <c:v>27.500000000000124</c:v>
                </c:pt>
                <c:pt idx="366">
                  <c:v>27.600000000000126</c:v>
                </c:pt>
                <c:pt idx="367">
                  <c:v>27.700000000000127</c:v>
                </c:pt>
                <c:pt idx="368">
                  <c:v>27.800000000000129</c:v>
                </c:pt>
                <c:pt idx="369">
                  <c:v>27.90000000000013</c:v>
                </c:pt>
                <c:pt idx="370">
                  <c:v>28.000000000000131</c:v>
                </c:pt>
                <c:pt idx="371">
                  <c:v>28.100000000000133</c:v>
                </c:pt>
                <c:pt idx="372">
                  <c:v>28.200000000000134</c:v>
                </c:pt>
                <c:pt idx="373">
                  <c:v>28.300000000000136</c:v>
                </c:pt>
                <c:pt idx="374">
                  <c:v>28.400000000000137</c:v>
                </c:pt>
                <c:pt idx="375">
                  <c:v>28.500000000000139</c:v>
                </c:pt>
                <c:pt idx="376">
                  <c:v>28.60000000000014</c:v>
                </c:pt>
                <c:pt idx="377">
                  <c:v>28.60010000000014</c:v>
                </c:pt>
                <c:pt idx="378">
                  <c:v>28.60020000000014</c:v>
                </c:pt>
                <c:pt idx="379">
                  <c:v>28.600300000000139</c:v>
                </c:pt>
                <c:pt idx="380">
                  <c:v>28.600400000000139</c:v>
                </c:pt>
                <c:pt idx="381">
                  <c:v>28.600500000000139</c:v>
                </c:pt>
                <c:pt idx="382">
                  <c:v>28.600600000000139</c:v>
                </c:pt>
                <c:pt idx="383">
                  <c:v>28.600700000000138</c:v>
                </c:pt>
                <c:pt idx="384">
                  <c:v>28.600800000000138</c:v>
                </c:pt>
                <c:pt idx="385">
                  <c:v>28.600900000000138</c:v>
                </c:pt>
                <c:pt idx="386">
                  <c:v>28.601000000000138</c:v>
                </c:pt>
                <c:pt idx="387">
                  <c:v>28.601100000000137</c:v>
                </c:pt>
                <c:pt idx="388">
                  <c:v>28.601200000000137</c:v>
                </c:pt>
                <c:pt idx="389">
                  <c:v>28.601300000000137</c:v>
                </c:pt>
                <c:pt idx="390">
                  <c:v>28.601400000000137</c:v>
                </c:pt>
                <c:pt idx="391">
                  <c:v>28.601500000000136</c:v>
                </c:pt>
                <c:pt idx="392">
                  <c:v>28.601600000000136</c:v>
                </c:pt>
                <c:pt idx="393">
                  <c:v>28.601700000000136</c:v>
                </c:pt>
                <c:pt idx="394">
                  <c:v>28.601800000000136</c:v>
                </c:pt>
                <c:pt idx="395">
                  <c:v>28.601900000000136</c:v>
                </c:pt>
                <c:pt idx="396">
                  <c:v>28.602000000000135</c:v>
                </c:pt>
                <c:pt idx="397">
                  <c:v>28.602100000000135</c:v>
                </c:pt>
                <c:pt idx="398">
                  <c:v>28.602200000000135</c:v>
                </c:pt>
                <c:pt idx="399">
                  <c:v>28.602300000000135</c:v>
                </c:pt>
                <c:pt idx="400">
                  <c:v>28.602400000000134</c:v>
                </c:pt>
                <c:pt idx="401">
                  <c:v>28.602500000000134</c:v>
                </c:pt>
                <c:pt idx="402">
                  <c:v>28.602600000000134</c:v>
                </c:pt>
                <c:pt idx="403">
                  <c:v>28.602700000000134</c:v>
                </c:pt>
                <c:pt idx="404">
                  <c:v>28.602800000000133</c:v>
                </c:pt>
                <c:pt idx="405">
                  <c:v>28.602900000000133</c:v>
                </c:pt>
                <c:pt idx="406">
                  <c:v>28.603000000000133</c:v>
                </c:pt>
                <c:pt idx="407">
                  <c:v>28.603100000000133</c:v>
                </c:pt>
                <c:pt idx="408">
                  <c:v>28.603200000000133</c:v>
                </c:pt>
                <c:pt idx="409">
                  <c:v>28.603300000000132</c:v>
                </c:pt>
                <c:pt idx="410">
                  <c:v>28.603400000000132</c:v>
                </c:pt>
                <c:pt idx="411">
                  <c:v>28.603500000000132</c:v>
                </c:pt>
                <c:pt idx="412">
                  <c:v>28.603600000000132</c:v>
                </c:pt>
                <c:pt idx="413">
                  <c:v>28.603700000000131</c:v>
                </c:pt>
                <c:pt idx="414">
                  <c:v>28.603800000000131</c:v>
                </c:pt>
                <c:pt idx="415">
                  <c:v>28.603900000000131</c:v>
                </c:pt>
                <c:pt idx="416">
                  <c:v>28.604000000000131</c:v>
                </c:pt>
                <c:pt idx="417">
                  <c:v>28.60410000000013</c:v>
                </c:pt>
                <c:pt idx="418">
                  <c:v>28.60420000000013</c:v>
                </c:pt>
                <c:pt idx="419">
                  <c:v>28.60430000000013</c:v>
                </c:pt>
                <c:pt idx="420">
                  <c:v>28.60440000000013</c:v>
                </c:pt>
                <c:pt idx="421">
                  <c:v>28.604500000000129</c:v>
                </c:pt>
                <c:pt idx="422">
                  <c:v>28.604600000000129</c:v>
                </c:pt>
                <c:pt idx="423">
                  <c:v>28.604700000000129</c:v>
                </c:pt>
                <c:pt idx="424">
                  <c:v>28.604800000000129</c:v>
                </c:pt>
                <c:pt idx="425">
                  <c:v>28.604900000000129</c:v>
                </c:pt>
                <c:pt idx="426">
                  <c:v>28.605000000000128</c:v>
                </c:pt>
                <c:pt idx="427">
                  <c:v>28.605100000000128</c:v>
                </c:pt>
                <c:pt idx="428">
                  <c:v>28.605200000000128</c:v>
                </c:pt>
                <c:pt idx="429">
                  <c:v>28.605300000000128</c:v>
                </c:pt>
                <c:pt idx="430">
                  <c:v>28.605400000000127</c:v>
                </c:pt>
                <c:pt idx="431">
                  <c:v>28.605500000000127</c:v>
                </c:pt>
                <c:pt idx="432">
                  <c:v>28.605600000000127</c:v>
                </c:pt>
                <c:pt idx="433">
                  <c:v>28.605700000000127</c:v>
                </c:pt>
                <c:pt idx="434">
                  <c:v>28.605800000000126</c:v>
                </c:pt>
                <c:pt idx="435">
                  <c:v>28.605900000000126</c:v>
                </c:pt>
                <c:pt idx="436">
                  <c:v>28.606000000000126</c:v>
                </c:pt>
                <c:pt idx="437">
                  <c:v>28.606100000000126</c:v>
                </c:pt>
                <c:pt idx="438">
                  <c:v>28.606200000000126</c:v>
                </c:pt>
                <c:pt idx="439">
                  <c:v>28.606300000000125</c:v>
                </c:pt>
                <c:pt idx="440">
                  <c:v>28.606400000000125</c:v>
                </c:pt>
                <c:pt idx="441">
                  <c:v>28.606500000000125</c:v>
                </c:pt>
                <c:pt idx="442">
                  <c:v>28.606600000000125</c:v>
                </c:pt>
                <c:pt idx="443">
                  <c:v>28.606700000000124</c:v>
                </c:pt>
                <c:pt idx="444">
                  <c:v>28.606800000000124</c:v>
                </c:pt>
                <c:pt idx="445">
                  <c:v>28.606900000000124</c:v>
                </c:pt>
                <c:pt idx="446">
                  <c:v>28.607000000000124</c:v>
                </c:pt>
                <c:pt idx="447">
                  <c:v>28.607100000000123</c:v>
                </c:pt>
                <c:pt idx="448">
                  <c:v>28.607200000000123</c:v>
                </c:pt>
                <c:pt idx="449">
                  <c:v>28.607300000000123</c:v>
                </c:pt>
                <c:pt idx="450">
                  <c:v>28.607400000000123</c:v>
                </c:pt>
                <c:pt idx="451">
                  <c:v>28.607500000000122</c:v>
                </c:pt>
                <c:pt idx="452">
                  <c:v>28.607600000000122</c:v>
                </c:pt>
                <c:pt idx="453">
                  <c:v>28.607700000000122</c:v>
                </c:pt>
                <c:pt idx="454">
                  <c:v>28.607800000000122</c:v>
                </c:pt>
                <c:pt idx="455">
                  <c:v>28.607900000000122</c:v>
                </c:pt>
                <c:pt idx="456">
                  <c:v>28.608000000000121</c:v>
                </c:pt>
                <c:pt idx="457">
                  <c:v>28.608100000000121</c:v>
                </c:pt>
                <c:pt idx="458">
                  <c:v>28.608200000000121</c:v>
                </c:pt>
                <c:pt idx="459">
                  <c:v>28.608300000000121</c:v>
                </c:pt>
                <c:pt idx="460">
                  <c:v>28.60840000000012</c:v>
                </c:pt>
                <c:pt idx="461">
                  <c:v>28.60850000000012</c:v>
                </c:pt>
                <c:pt idx="462">
                  <c:v>28.60860000000012</c:v>
                </c:pt>
                <c:pt idx="463">
                  <c:v>28.60870000000012</c:v>
                </c:pt>
                <c:pt idx="464">
                  <c:v>28.608800000000119</c:v>
                </c:pt>
                <c:pt idx="465">
                  <c:v>28.608900000000119</c:v>
                </c:pt>
                <c:pt idx="466">
                  <c:v>28.609000000000119</c:v>
                </c:pt>
                <c:pt idx="467">
                  <c:v>28.609100000000119</c:v>
                </c:pt>
                <c:pt idx="468">
                  <c:v>28.609200000000119</c:v>
                </c:pt>
                <c:pt idx="469">
                  <c:v>28.609300000000118</c:v>
                </c:pt>
                <c:pt idx="470">
                  <c:v>28.609400000000118</c:v>
                </c:pt>
                <c:pt idx="471">
                  <c:v>28.609500000000118</c:v>
                </c:pt>
                <c:pt idx="472">
                  <c:v>28.609600000000118</c:v>
                </c:pt>
                <c:pt idx="473">
                  <c:v>28.609700000000117</c:v>
                </c:pt>
                <c:pt idx="474">
                  <c:v>28.609800000000117</c:v>
                </c:pt>
                <c:pt idx="475">
                  <c:v>28.609900000000117</c:v>
                </c:pt>
                <c:pt idx="476">
                  <c:v>28.610000000000117</c:v>
                </c:pt>
                <c:pt idx="477">
                  <c:v>28.610100000000116</c:v>
                </c:pt>
                <c:pt idx="478">
                  <c:v>28.610200000000116</c:v>
                </c:pt>
                <c:pt idx="479">
                  <c:v>28.610300000000116</c:v>
                </c:pt>
                <c:pt idx="480">
                  <c:v>28.610400000000116</c:v>
                </c:pt>
                <c:pt idx="481">
                  <c:v>28.610500000000116</c:v>
                </c:pt>
                <c:pt idx="482">
                  <c:v>28.610600000000115</c:v>
                </c:pt>
                <c:pt idx="483">
                  <c:v>28.610700000000115</c:v>
                </c:pt>
                <c:pt idx="484">
                  <c:v>28.610800000000115</c:v>
                </c:pt>
                <c:pt idx="485">
                  <c:v>28.610900000000115</c:v>
                </c:pt>
                <c:pt idx="486">
                  <c:v>28.611000000000114</c:v>
                </c:pt>
                <c:pt idx="487">
                  <c:v>28.611100000000114</c:v>
                </c:pt>
                <c:pt idx="488">
                  <c:v>28.611200000000114</c:v>
                </c:pt>
                <c:pt idx="489">
                  <c:v>28.611300000000114</c:v>
                </c:pt>
                <c:pt idx="490">
                  <c:v>28.611400000000113</c:v>
                </c:pt>
                <c:pt idx="491">
                  <c:v>28.611500000000113</c:v>
                </c:pt>
                <c:pt idx="492">
                  <c:v>28.611600000000113</c:v>
                </c:pt>
                <c:pt idx="493">
                  <c:v>28.611700000000113</c:v>
                </c:pt>
                <c:pt idx="494">
                  <c:v>28.611800000000112</c:v>
                </c:pt>
                <c:pt idx="495">
                  <c:v>28.611900000000112</c:v>
                </c:pt>
                <c:pt idx="496">
                  <c:v>28.612000000000112</c:v>
                </c:pt>
                <c:pt idx="497">
                  <c:v>28.612100000000112</c:v>
                </c:pt>
                <c:pt idx="498">
                  <c:v>28.612200000000112</c:v>
                </c:pt>
                <c:pt idx="499">
                  <c:v>28.612300000000111</c:v>
                </c:pt>
                <c:pt idx="500">
                  <c:v>28.612400000000111</c:v>
                </c:pt>
                <c:pt idx="501">
                  <c:v>28.612500000000111</c:v>
                </c:pt>
                <c:pt idx="502">
                  <c:v>28.612600000000111</c:v>
                </c:pt>
                <c:pt idx="503">
                  <c:v>28.61270000000011</c:v>
                </c:pt>
                <c:pt idx="504">
                  <c:v>28.61280000000011</c:v>
                </c:pt>
                <c:pt idx="505">
                  <c:v>28.61290000000011</c:v>
                </c:pt>
                <c:pt idx="506">
                  <c:v>28.61300000000011</c:v>
                </c:pt>
                <c:pt idx="507">
                  <c:v>28.613100000000109</c:v>
                </c:pt>
                <c:pt idx="508">
                  <c:v>28.613200000000109</c:v>
                </c:pt>
                <c:pt idx="509">
                  <c:v>28.613300000000109</c:v>
                </c:pt>
                <c:pt idx="510">
                  <c:v>28.613400000000109</c:v>
                </c:pt>
                <c:pt idx="511">
                  <c:v>28.613500000000109</c:v>
                </c:pt>
                <c:pt idx="512">
                  <c:v>28.613600000000108</c:v>
                </c:pt>
                <c:pt idx="513">
                  <c:v>28.613700000000108</c:v>
                </c:pt>
                <c:pt idx="514">
                  <c:v>28.613800000000108</c:v>
                </c:pt>
                <c:pt idx="515">
                  <c:v>28.613900000000108</c:v>
                </c:pt>
                <c:pt idx="516">
                  <c:v>28.614000000000107</c:v>
                </c:pt>
                <c:pt idx="517">
                  <c:v>28.614100000000107</c:v>
                </c:pt>
                <c:pt idx="518">
                  <c:v>28.614200000000107</c:v>
                </c:pt>
                <c:pt idx="519">
                  <c:v>28.614300000000107</c:v>
                </c:pt>
                <c:pt idx="520">
                  <c:v>28.614400000000106</c:v>
                </c:pt>
                <c:pt idx="521">
                  <c:v>28.614500000000106</c:v>
                </c:pt>
                <c:pt idx="522">
                  <c:v>28.614600000000106</c:v>
                </c:pt>
                <c:pt idx="523">
                  <c:v>28.614700000000106</c:v>
                </c:pt>
                <c:pt idx="524">
                  <c:v>28.614800000000105</c:v>
                </c:pt>
                <c:pt idx="525">
                  <c:v>28.614900000000105</c:v>
                </c:pt>
                <c:pt idx="526">
                  <c:v>28.615000000000105</c:v>
                </c:pt>
                <c:pt idx="527">
                  <c:v>28.615100000000105</c:v>
                </c:pt>
                <c:pt idx="528">
                  <c:v>28.615200000000105</c:v>
                </c:pt>
                <c:pt idx="529">
                  <c:v>28.615300000000104</c:v>
                </c:pt>
                <c:pt idx="530">
                  <c:v>28.615400000000104</c:v>
                </c:pt>
                <c:pt idx="531">
                  <c:v>28.615500000000104</c:v>
                </c:pt>
                <c:pt idx="532">
                  <c:v>28.615600000000104</c:v>
                </c:pt>
                <c:pt idx="533">
                  <c:v>28.615700000000103</c:v>
                </c:pt>
                <c:pt idx="534">
                  <c:v>28.615800000000103</c:v>
                </c:pt>
                <c:pt idx="535">
                  <c:v>28.615900000000103</c:v>
                </c:pt>
                <c:pt idx="536">
                  <c:v>28.616000000000103</c:v>
                </c:pt>
                <c:pt idx="537">
                  <c:v>28.616100000000102</c:v>
                </c:pt>
                <c:pt idx="538">
                  <c:v>28.616200000000102</c:v>
                </c:pt>
                <c:pt idx="539">
                  <c:v>28.616300000000102</c:v>
                </c:pt>
                <c:pt idx="540">
                  <c:v>28.616400000000102</c:v>
                </c:pt>
                <c:pt idx="541">
                  <c:v>28.616500000000102</c:v>
                </c:pt>
                <c:pt idx="542">
                  <c:v>28.616600000000101</c:v>
                </c:pt>
                <c:pt idx="543">
                  <c:v>28.616700000000101</c:v>
                </c:pt>
                <c:pt idx="544">
                  <c:v>28.616800000000101</c:v>
                </c:pt>
                <c:pt idx="545">
                  <c:v>28.616900000000101</c:v>
                </c:pt>
                <c:pt idx="546">
                  <c:v>28.6170000000001</c:v>
                </c:pt>
                <c:pt idx="547">
                  <c:v>28.6171000000001</c:v>
                </c:pt>
                <c:pt idx="548">
                  <c:v>28.6172000000001</c:v>
                </c:pt>
                <c:pt idx="549">
                  <c:v>28.6173000000001</c:v>
                </c:pt>
                <c:pt idx="550">
                  <c:v>28.617400000000099</c:v>
                </c:pt>
                <c:pt idx="551">
                  <c:v>28.617500000000099</c:v>
                </c:pt>
                <c:pt idx="552">
                  <c:v>28.617600000000099</c:v>
                </c:pt>
                <c:pt idx="553">
                  <c:v>28.617700000000099</c:v>
                </c:pt>
                <c:pt idx="554">
                  <c:v>28.617800000000098</c:v>
                </c:pt>
                <c:pt idx="555">
                  <c:v>28.617900000000098</c:v>
                </c:pt>
                <c:pt idx="556">
                  <c:v>28.618000000000098</c:v>
                </c:pt>
                <c:pt idx="557">
                  <c:v>28.618100000000098</c:v>
                </c:pt>
                <c:pt idx="558">
                  <c:v>28.618200000000098</c:v>
                </c:pt>
                <c:pt idx="559">
                  <c:v>28.618300000000097</c:v>
                </c:pt>
                <c:pt idx="560">
                  <c:v>28.618400000000097</c:v>
                </c:pt>
                <c:pt idx="561">
                  <c:v>28.618500000000097</c:v>
                </c:pt>
                <c:pt idx="562">
                  <c:v>28.618600000000097</c:v>
                </c:pt>
                <c:pt idx="563">
                  <c:v>28.618700000000096</c:v>
                </c:pt>
                <c:pt idx="564">
                  <c:v>28.618800000000096</c:v>
                </c:pt>
                <c:pt idx="565">
                  <c:v>28.618900000000096</c:v>
                </c:pt>
                <c:pt idx="566">
                  <c:v>28.619000000000096</c:v>
                </c:pt>
                <c:pt idx="567">
                  <c:v>28.619100000000095</c:v>
                </c:pt>
                <c:pt idx="568">
                  <c:v>28.619200000000095</c:v>
                </c:pt>
                <c:pt idx="569">
                  <c:v>28.619300000000095</c:v>
                </c:pt>
                <c:pt idx="570">
                  <c:v>28.619400000000095</c:v>
                </c:pt>
                <c:pt idx="571">
                  <c:v>28.619500000000095</c:v>
                </c:pt>
                <c:pt idx="572">
                  <c:v>28.619600000000094</c:v>
                </c:pt>
                <c:pt idx="573">
                  <c:v>28.619700000000094</c:v>
                </c:pt>
                <c:pt idx="574">
                  <c:v>28.619800000000094</c:v>
                </c:pt>
                <c:pt idx="575">
                  <c:v>28.619900000000094</c:v>
                </c:pt>
                <c:pt idx="576">
                  <c:v>28.620000000000093</c:v>
                </c:pt>
                <c:pt idx="577">
                  <c:v>28.620100000000093</c:v>
                </c:pt>
                <c:pt idx="578">
                  <c:v>28.620200000000093</c:v>
                </c:pt>
                <c:pt idx="579">
                  <c:v>28.620300000000093</c:v>
                </c:pt>
                <c:pt idx="580">
                  <c:v>28.620400000000092</c:v>
                </c:pt>
                <c:pt idx="581">
                  <c:v>28.620500000000092</c:v>
                </c:pt>
                <c:pt idx="582">
                  <c:v>28.620600000000092</c:v>
                </c:pt>
                <c:pt idx="583">
                  <c:v>28.620700000000092</c:v>
                </c:pt>
                <c:pt idx="584">
                  <c:v>28.620800000000092</c:v>
                </c:pt>
                <c:pt idx="585">
                  <c:v>28.620900000000091</c:v>
                </c:pt>
                <c:pt idx="586">
                  <c:v>28.621000000000091</c:v>
                </c:pt>
                <c:pt idx="587">
                  <c:v>28.621100000000091</c:v>
                </c:pt>
                <c:pt idx="588">
                  <c:v>28.621200000000091</c:v>
                </c:pt>
                <c:pt idx="589">
                  <c:v>28.62130000000009</c:v>
                </c:pt>
                <c:pt idx="590">
                  <c:v>28.62140000000009</c:v>
                </c:pt>
                <c:pt idx="591">
                  <c:v>28.62150000000009</c:v>
                </c:pt>
                <c:pt idx="592">
                  <c:v>28.62160000000009</c:v>
                </c:pt>
                <c:pt idx="593">
                  <c:v>28.621700000000089</c:v>
                </c:pt>
                <c:pt idx="594">
                  <c:v>28.621800000000089</c:v>
                </c:pt>
                <c:pt idx="595">
                  <c:v>28.621900000000089</c:v>
                </c:pt>
                <c:pt idx="596">
                  <c:v>28.622000000000089</c:v>
                </c:pt>
                <c:pt idx="597">
                  <c:v>28.622100000000088</c:v>
                </c:pt>
                <c:pt idx="598">
                  <c:v>28.622200000000088</c:v>
                </c:pt>
                <c:pt idx="599">
                  <c:v>28.622300000000088</c:v>
                </c:pt>
                <c:pt idx="600">
                  <c:v>28.622400000000088</c:v>
                </c:pt>
                <c:pt idx="601">
                  <c:v>28.622500000000088</c:v>
                </c:pt>
                <c:pt idx="602">
                  <c:v>28.622600000000087</c:v>
                </c:pt>
                <c:pt idx="603">
                  <c:v>28.622700000000087</c:v>
                </c:pt>
                <c:pt idx="604">
                  <c:v>28.622800000000087</c:v>
                </c:pt>
                <c:pt idx="605">
                  <c:v>28.622900000000087</c:v>
                </c:pt>
                <c:pt idx="606">
                  <c:v>28.623000000000086</c:v>
                </c:pt>
                <c:pt idx="607">
                  <c:v>28.623100000000086</c:v>
                </c:pt>
                <c:pt idx="608">
                  <c:v>28.623200000000086</c:v>
                </c:pt>
                <c:pt idx="609">
                  <c:v>28.623300000000086</c:v>
                </c:pt>
                <c:pt idx="610">
                  <c:v>28.623400000000085</c:v>
                </c:pt>
                <c:pt idx="611">
                  <c:v>28.623500000000085</c:v>
                </c:pt>
                <c:pt idx="612">
                  <c:v>28.623600000000085</c:v>
                </c:pt>
                <c:pt idx="613">
                  <c:v>28.623700000000085</c:v>
                </c:pt>
                <c:pt idx="614">
                  <c:v>28.623800000000085</c:v>
                </c:pt>
                <c:pt idx="615">
                  <c:v>28.623900000000084</c:v>
                </c:pt>
                <c:pt idx="616">
                  <c:v>28.624000000000084</c:v>
                </c:pt>
                <c:pt idx="617">
                  <c:v>28.624100000000084</c:v>
                </c:pt>
                <c:pt idx="618">
                  <c:v>28.624200000000084</c:v>
                </c:pt>
                <c:pt idx="619">
                  <c:v>28.624300000000083</c:v>
                </c:pt>
                <c:pt idx="620">
                  <c:v>28.624400000000083</c:v>
                </c:pt>
                <c:pt idx="621">
                  <c:v>28.624500000000083</c:v>
                </c:pt>
                <c:pt idx="622">
                  <c:v>28.624600000000083</c:v>
                </c:pt>
                <c:pt idx="623">
                  <c:v>28.624700000000082</c:v>
                </c:pt>
                <c:pt idx="624">
                  <c:v>28.624800000000082</c:v>
                </c:pt>
                <c:pt idx="625">
                  <c:v>28.624900000000082</c:v>
                </c:pt>
                <c:pt idx="626">
                  <c:v>28.625000000000082</c:v>
                </c:pt>
                <c:pt idx="627">
                  <c:v>28.625100000000081</c:v>
                </c:pt>
                <c:pt idx="628">
                  <c:v>28.625200000000081</c:v>
                </c:pt>
                <c:pt idx="629">
                  <c:v>28.625300000000081</c:v>
                </c:pt>
                <c:pt idx="630">
                  <c:v>28.625400000000081</c:v>
                </c:pt>
                <c:pt idx="631">
                  <c:v>28.625500000000081</c:v>
                </c:pt>
                <c:pt idx="632">
                  <c:v>28.62560000000008</c:v>
                </c:pt>
                <c:pt idx="633">
                  <c:v>28.62570000000008</c:v>
                </c:pt>
                <c:pt idx="634">
                  <c:v>28.62580000000008</c:v>
                </c:pt>
                <c:pt idx="635">
                  <c:v>28.62590000000008</c:v>
                </c:pt>
                <c:pt idx="636">
                  <c:v>28.626000000000079</c:v>
                </c:pt>
                <c:pt idx="637">
                  <c:v>28.626100000000079</c:v>
                </c:pt>
                <c:pt idx="638">
                  <c:v>28.626200000000079</c:v>
                </c:pt>
                <c:pt idx="639">
                  <c:v>28.626300000000079</c:v>
                </c:pt>
                <c:pt idx="640">
                  <c:v>28.626400000000078</c:v>
                </c:pt>
                <c:pt idx="641">
                  <c:v>28.626500000000078</c:v>
                </c:pt>
                <c:pt idx="642">
                  <c:v>28.626600000000078</c:v>
                </c:pt>
                <c:pt idx="643">
                  <c:v>28.626700000000078</c:v>
                </c:pt>
                <c:pt idx="644">
                  <c:v>28.626800000000078</c:v>
                </c:pt>
                <c:pt idx="645">
                  <c:v>28.626900000000077</c:v>
                </c:pt>
                <c:pt idx="646">
                  <c:v>28.627000000000077</c:v>
                </c:pt>
                <c:pt idx="647">
                  <c:v>28.627100000000077</c:v>
                </c:pt>
                <c:pt idx="648">
                  <c:v>28.627200000000077</c:v>
                </c:pt>
                <c:pt idx="649">
                  <c:v>28.627300000000076</c:v>
                </c:pt>
                <c:pt idx="650">
                  <c:v>28.627400000000076</c:v>
                </c:pt>
                <c:pt idx="651">
                  <c:v>28.627500000000076</c:v>
                </c:pt>
                <c:pt idx="652">
                  <c:v>28.627600000000076</c:v>
                </c:pt>
                <c:pt idx="653">
                  <c:v>28.627700000000075</c:v>
                </c:pt>
                <c:pt idx="654">
                  <c:v>28.627800000000075</c:v>
                </c:pt>
                <c:pt idx="655">
                  <c:v>28.627900000000075</c:v>
                </c:pt>
                <c:pt idx="656">
                  <c:v>28.628000000000075</c:v>
                </c:pt>
                <c:pt idx="657">
                  <c:v>28.628100000000074</c:v>
                </c:pt>
                <c:pt idx="658">
                  <c:v>28.628200000000074</c:v>
                </c:pt>
                <c:pt idx="659">
                  <c:v>28.628300000000074</c:v>
                </c:pt>
                <c:pt idx="660">
                  <c:v>28.628400000000074</c:v>
                </c:pt>
                <c:pt idx="661">
                  <c:v>28.628500000000074</c:v>
                </c:pt>
                <c:pt idx="662">
                  <c:v>28.628600000000073</c:v>
                </c:pt>
                <c:pt idx="663">
                  <c:v>28.628700000000073</c:v>
                </c:pt>
                <c:pt idx="664">
                  <c:v>28.628800000000073</c:v>
                </c:pt>
                <c:pt idx="665">
                  <c:v>28.628900000000073</c:v>
                </c:pt>
                <c:pt idx="666">
                  <c:v>28.629000000000072</c:v>
                </c:pt>
                <c:pt idx="667">
                  <c:v>28.629100000000072</c:v>
                </c:pt>
                <c:pt idx="668">
                  <c:v>28.629200000000072</c:v>
                </c:pt>
                <c:pt idx="669">
                  <c:v>28.629300000000072</c:v>
                </c:pt>
                <c:pt idx="670">
                  <c:v>28.629400000000071</c:v>
                </c:pt>
                <c:pt idx="671">
                  <c:v>28.629500000000071</c:v>
                </c:pt>
                <c:pt idx="672">
                  <c:v>28.629600000000071</c:v>
                </c:pt>
                <c:pt idx="673">
                  <c:v>28.629700000000071</c:v>
                </c:pt>
                <c:pt idx="674">
                  <c:v>28.629800000000071</c:v>
                </c:pt>
                <c:pt idx="675">
                  <c:v>28.62990000000007</c:v>
                </c:pt>
                <c:pt idx="676">
                  <c:v>28.63000000000007</c:v>
                </c:pt>
                <c:pt idx="677">
                  <c:v>28.63010000000007</c:v>
                </c:pt>
                <c:pt idx="678">
                  <c:v>28.63020000000007</c:v>
                </c:pt>
                <c:pt idx="679">
                  <c:v>28.630300000000069</c:v>
                </c:pt>
                <c:pt idx="680">
                  <c:v>28.630400000000069</c:v>
                </c:pt>
                <c:pt idx="681">
                  <c:v>28.630500000000069</c:v>
                </c:pt>
                <c:pt idx="682">
                  <c:v>28.630600000000069</c:v>
                </c:pt>
                <c:pt idx="683">
                  <c:v>28.630700000000068</c:v>
                </c:pt>
                <c:pt idx="684">
                  <c:v>28.630800000000068</c:v>
                </c:pt>
                <c:pt idx="685">
                  <c:v>28.630900000000068</c:v>
                </c:pt>
                <c:pt idx="686">
                  <c:v>28.631000000000068</c:v>
                </c:pt>
                <c:pt idx="687">
                  <c:v>28.631100000000067</c:v>
                </c:pt>
                <c:pt idx="688">
                  <c:v>28.631200000000067</c:v>
                </c:pt>
                <c:pt idx="689">
                  <c:v>28.631300000000067</c:v>
                </c:pt>
                <c:pt idx="690">
                  <c:v>28.631400000000067</c:v>
                </c:pt>
                <c:pt idx="691">
                  <c:v>28.631500000000067</c:v>
                </c:pt>
                <c:pt idx="692">
                  <c:v>28.631600000000066</c:v>
                </c:pt>
                <c:pt idx="693">
                  <c:v>28.631700000000066</c:v>
                </c:pt>
                <c:pt idx="694">
                  <c:v>28.631800000000066</c:v>
                </c:pt>
                <c:pt idx="695">
                  <c:v>28.631900000000066</c:v>
                </c:pt>
                <c:pt idx="696">
                  <c:v>28.632000000000065</c:v>
                </c:pt>
                <c:pt idx="697">
                  <c:v>28.632100000000065</c:v>
                </c:pt>
                <c:pt idx="698">
                  <c:v>28.632200000000065</c:v>
                </c:pt>
                <c:pt idx="699">
                  <c:v>28.632300000000065</c:v>
                </c:pt>
                <c:pt idx="700">
                  <c:v>28.632400000000064</c:v>
                </c:pt>
                <c:pt idx="701">
                  <c:v>28.632500000000064</c:v>
                </c:pt>
                <c:pt idx="702">
                  <c:v>28.632600000000064</c:v>
                </c:pt>
                <c:pt idx="703">
                  <c:v>28.632700000000064</c:v>
                </c:pt>
                <c:pt idx="704">
                  <c:v>28.632800000000064</c:v>
                </c:pt>
                <c:pt idx="705">
                  <c:v>28.632900000000063</c:v>
                </c:pt>
                <c:pt idx="706">
                  <c:v>28.633000000000063</c:v>
                </c:pt>
                <c:pt idx="707">
                  <c:v>28.633100000000063</c:v>
                </c:pt>
                <c:pt idx="708">
                  <c:v>28.633200000000063</c:v>
                </c:pt>
                <c:pt idx="709">
                  <c:v>28.633300000000062</c:v>
                </c:pt>
                <c:pt idx="710">
                  <c:v>28.633400000000062</c:v>
                </c:pt>
                <c:pt idx="711">
                  <c:v>28.633500000000062</c:v>
                </c:pt>
                <c:pt idx="712">
                  <c:v>28.633600000000062</c:v>
                </c:pt>
                <c:pt idx="713">
                  <c:v>28.633700000000061</c:v>
                </c:pt>
                <c:pt idx="714">
                  <c:v>28.633800000000061</c:v>
                </c:pt>
                <c:pt idx="715">
                  <c:v>28.633900000000061</c:v>
                </c:pt>
                <c:pt idx="716">
                  <c:v>28.634000000000061</c:v>
                </c:pt>
                <c:pt idx="717">
                  <c:v>28.634100000000061</c:v>
                </c:pt>
                <c:pt idx="718">
                  <c:v>28.63420000000006</c:v>
                </c:pt>
                <c:pt idx="719">
                  <c:v>28.63430000000006</c:v>
                </c:pt>
                <c:pt idx="720">
                  <c:v>28.63440000000006</c:v>
                </c:pt>
                <c:pt idx="721">
                  <c:v>28.63450000000006</c:v>
                </c:pt>
                <c:pt idx="722">
                  <c:v>28.634600000000059</c:v>
                </c:pt>
                <c:pt idx="723">
                  <c:v>28.634700000000059</c:v>
                </c:pt>
                <c:pt idx="724">
                  <c:v>28.634800000000059</c:v>
                </c:pt>
                <c:pt idx="725">
                  <c:v>28.634900000000059</c:v>
                </c:pt>
                <c:pt idx="726">
                  <c:v>28.635000000000058</c:v>
                </c:pt>
                <c:pt idx="727">
                  <c:v>28.635100000000058</c:v>
                </c:pt>
                <c:pt idx="728">
                  <c:v>28.635200000000058</c:v>
                </c:pt>
                <c:pt idx="729">
                  <c:v>28.635300000000058</c:v>
                </c:pt>
                <c:pt idx="730">
                  <c:v>28.635400000000057</c:v>
                </c:pt>
                <c:pt idx="731">
                  <c:v>28.635500000000057</c:v>
                </c:pt>
                <c:pt idx="732">
                  <c:v>28.635600000000057</c:v>
                </c:pt>
                <c:pt idx="733">
                  <c:v>28.635700000000057</c:v>
                </c:pt>
                <c:pt idx="734">
                  <c:v>28.635800000000057</c:v>
                </c:pt>
                <c:pt idx="735">
                  <c:v>28.635900000000056</c:v>
                </c:pt>
                <c:pt idx="736">
                  <c:v>28.636000000000056</c:v>
                </c:pt>
                <c:pt idx="737">
                  <c:v>28.636100000000056</c:v>
                </c:pt>
                <c:pt idx="738">
                  <c:v>28.636200000000056</c:v>
                </c:pt>
                <c:pt idx="739">
                  <c:v>28.636300000000055</c:v>
                </c:pt>
                <c:pt idx="740">
                  <c:v>28.636400000000055</c:v>
                </c:pt>
                <c:pt idx="741">
                  <c:v>28.636500000000055</c:v>
                </c:pt>
                <c:pt idx="742">
                  <c:v>28.636600000000055</c:v>
                </c:pt>
                <c:pt idx="743">
                  <c:v>28.636700000000054</c:v>
                </c:pt>
                <c:pt idx="744">
                  <c:v>28.636800000000054</c:v>
                </c:pt>
                <c:pt idx="745">
                  <c:v>28.636900000000054</c:v>
                </c:pt>
                <c:pt idx="746">
                  <c:v>28.637000000000054</c:v>
                </c:pt>
                <c:pt idx="747">
                  <c:v>28.637100000000054</c:v>
                </c:pt>
                <c:pt idx="748">
                  <c:v>28.637200000000053</c:v>
                </c:pt>
                <c:pt idx="749">
                  <c:v>28.637300000000053</c:v>
                </c:pt>
                <c:pt idx="750">
                  <c:v>28.637400000000053</c:v>
                </c:pt>
                <c:pt idx="751">
                  <c:v>28.637500000000053</c:v>
                </c:pt>
                <c:pt idx="752">
                  <c:v>28.637600000000052</c:v>
                </c:pt>
                <c:pt idx="753">
                  <c:v>28.637700000000052</c:v>
                </c:pt>
                <c:pt idx="754">
                  <c:v>28.637800000000052</c:v>
                </c:pt>
                <c:pt idx="755">
                  <c:v>28.637900000000052</c:v>
                </c:pt>
                <c:pt idx="756">
                  <c:v>28.638000000000051</c:v>
                </c:pt>
                <c:pt idx="757">
                  <c:v>28.638100000000051</c:v>
                </c:pt>
                <c:pt idx="758">
                  <c:v>28.638200000000051</c:v>
                </c:pt>
                <c:pt idx="759">
                  <c:v>28.638300000000051</c:v>
                </c:pt>
                <c:pt idx="760">
                  <c:v>28.63840000000005</c:v>
                </c:pt>
                <c:pt idx="761">
                  <c:v>28.63850000000005</c:v>
                </c:pt>
                <c:pt idx="762">
                  <c:v>28.63860000000005</c:v>
                </c:pt>
                <c:pt idx="763">
                  <c:v>28.63870000000005</c:v>
                </c:pt>
                <c:pt idx="764">
                  <c:v>28.63880000000005</c:v>
                </c:pt>
                <c:pt idx="765">
                  <c:v>28.638900000000049</c:v>
                </c:pt>
                <c:pt idx="766">
                  <c:v>28.639000000000049</c:v>
                </c:pt>
                <c:pt idx="767">
                  <c:v>28.639100000000049</c:v>
                </c:pt>
                <c:pt idx="768">
                  <c:v>28.639200000000049</c:v>
                </c:pt>
                <c:pt idx="769">
                  <c:v>28.639300000000048</c:v>
                </c:pt>
                <c:pt idx="770">
                  <c:v>28.639400000000048</c:v>
                </c:pt>
                <c:pt idx="771">
                  <c:v>28.639500000000048</c:v>
                </c:pt>
                <c:pt idx="772">
                  <c:v>28.639600000000048</c:v>
                </c:pt>
                <c:pt idx="773">
                  <c:v>28.639700000000047</c:v>
                </c:pt>
                <c:pt idx="774">
                  <c:v>28.639800000000047</c:v>
                </c:pt>
                <c:pt idx="775">
                  <c:v>28.639900000000047</c:v>
                </c:pt>
                <c:pt idx="776">
                  <c:v>28.640000000000047</c:v>
                </c:pt>
                <c:pt idx="777">
                  <c:v>28.640100000000047</c:v>
                </c:pt>
                <c:pt idx="778">
                  <c:v>28.640200000000046</c:v>
                </c:pt>
                <c:pt idx="779">
                  <c:v>28.640300000000046</c:v>
                </c:pt>
                <c:pt idx="780">
                  <c:v>28.640400000000046</c:v>
                </c:pt>
                <c:pt idx="781">
                  <c:v>28.640500000000046</c:v>
                </c:pt>
                <c:pt idx="782">
                  <c:v>28.640600000000045</c:v>
                </c:pt>
                <c:pt idx="783">
                  <c:v>28.640700000000045</c:v>
                </c:pt>
                <c:pt idx="784">
                  <c:v>28.640800000000045</c:v>
                </c:pt>
                <c:pt idx="785">
                  <c:v>28.640900000000045</c:v>
                </c:pt>
                <c:pt idx="786">
                  <c:v>28.641000000000044</c:v>
                </c:pt>
                <c:pt idx="787">
                  <c:v>28.641100000000044</c:v>
                </c:pt>
                <c:pt idx="788">
                  <c:v>28.641200000000044</c:v>
                </c:pt>
                <c:pt idx="789">
                  <c:v>28.641300000000044</c:v>
                </c:pt>
                <c:pt idx="790">
                  <c:v>28.641400000000043</c:v>
                </c:pt>
                <c:pt idx="791">
                  <c:v>28.641500000000043</c:v>
                </c:pt>
                <c:pt idx="792">
                  <c:v>28.641600000000043</c:v>
                </c:pt>
                <c:pt idx="793">
                  <c:v>28.641700000000043</c:v>
                </c:pt>
                <c:pt idx="794">
                  <c:v>28.641800000000043</c:v>
                </c:pt>
                <c:pt idx="795">
                  <c:v>28.641900000000042</c:v>
                </c:pt>
                <c:pt idx="796">
                  <c:v>28.642000000000042</c:v>
                </c:pt>
                <c:pt idx="797">
                  <c:v>28.642100000000042</c:v>
                </c:pt>
                <c:pt idx="798">
                  <c:v>28.642200000000042</c:v>
                </c:pt>
                <c:pt idx="799">
                  <c:v>28.642300000000041</c:v>
                </c:pt>
                <c:pt idx="800">
                  <c:v>28.642400000000041</c:v>
                </c:pt>
                <c:pt idx="801">
                  <c:v>28.642500000000041</c:v>
                </c:pt>
                <c:pt idx="802">
                  <c:v>28.642600000000041</c:v>
                </c:pt>
                <c:pt idx="803">
                  <c:v>28.64270000000004</c:v>
                </c:pt>
                <c:pt idx="804">
                  <c:v>28.64280000000004</c:v>
                </c:pt>
                <c:pt idx="805">
                  <c:v>28.64290000000004</c:v>
                </c:pt>
                <c:pt idx="806">
                  <c:v>28.64300000000004</c:v>
                </c:pt>
                <c:pt idx="807">
                  <c:v>28.64310000000004</c:v>
                </c:pt>
                <c:pt idx="808">
                  <c:v>28.643200000000039</c:v>
                </c:pt>
                <c:pt idx="809">
                  <c:v>28.643300000000039</c:v>
                </c:pt>
                <c:pt idx="810">
                  <c:v>28.643400000000039</c:v>
                </c:pt>
                <c:pt idx="811">
                  <c:v>28.643500000000039</c:v>
                </c:pt>
                <c:pt idx="812">
                  <c:v>28.643600000000038</c:v>
                </c:pt>
                <c:pt idx="813">
                  <c:v>28.643700000000038</c:v>
                </c:pt>
                <c:pt idx="814">
                  <c:v>28.643800000000038</c:v>
                </c:pt>
                <c:pt idx="815">
                  <c:v>28.643900000000038</c:v>
                </c:pt>
                <c:pt idx="816">
                  <c:v>28.644000000000037</c:v>
                </c:pt>
                <c:pt idx="817">
                  <c:v>28.644100000000037</c:v>
                </c:pt>
                <c:pt idx="818">
                  <c:v>28.644200000000037</c:v>
                </c:pt>
                <c:pt idx="819">
                  <c:v>28.644300000000037</c:v>
                </c:pt>
                <c:pt idx="820">
                  <c:v>28.644400000000036</c:v>
                </c:pt>
                <c:pt idx="821">
                  <c:v>28.644500000000036</c:v>
                </c:pt>
                <c:pt idx="822">
                  <c:v>28.644600000000036</c:v>
                </c:pt>
                <c:pt idx="823">
                  <c:v>28.644700000000036</c:v>
                </c:pt>
                <c:pt idx="824">
                  <c:v>28.644800000000036</c:v>
                </c:pt>
                <c:pt idx="825">
                  <c:v>28.644900000000035</c:v>
                </c:pt>
                <c:pt idx="826">
                  <c:v>28.645000000000035</c:v>
                </c:pt>
                <c:pt idx="827">
                  <c:v>28.645100000000035</c:v>
                </c:pt>
                <c:pt idx="828">
                  <c:v>28.645200000000035</c:v>
                </c:pt>
                <c:pt idx="829">
                  <c:v>28.645300000000034</c:v>
                </c:pt>
                <c:pt idx="830">
                  <c:v>28.645400000000034</c:v>
                </c:pt>
                <c:pt idx="831">
                  <c:v>28.645500000000034</c:v>
                </c:pt>
                <c:pt idx="832">
                  <c:v>28.645600000000034</c:v>
                </c:pt>
                <c:pt idx="833">
                  <c:v>28.645700000000033</c:v>
                </c:pt>
                <c:pt idx="834">
                  <c:v>28.645800000000033</c:v>
                </c:pt>
                <c:pt idx="835">
                  <c:v>28.645900000000033</c:v>
                </c:pt>
                <c:pt idx="836">
                  <c:v>28.646000000000033</c:v>
                </c:pt>
                <c:pt idx="837">
                  <c:v>28.646100000000033</c:v>
                </c:pt>
                <c:pt idx="838">
                  <c:v>28.646200000000032</c:v>
                </c:pt>
                <c:pt idx="839">
                  <c:v>28.646300000000032</c:v>
                </c:pt>
                <c:pt idx="840">
                  <c:v>28.646400000000032</c:v>
                </c:pt>
                <c:pt idx="841">
                  <c:v>28.646500000000032</c:v>
                </c:pt>
                <c:pt idx="842">
                  <c:v>28.646600000000031</c:v>
                </c:pt>
                <c:pt idx="843">
                  <c:v>28.646700000000031</c:v>
                </c:pt>
                <c:pt idx="844">
                  <c:v>28.646800000000031</c:v>
                </c:pt>
                <c:pt idx="845">
                  <c:v>28.646900000000031</c:v>
                </c:pt>
                <c:pt idx="846">
                  <c:v>28.64700000000003</c:v>
                </c:pt>
                <c:pt idx="847">
                  <c:v>28.64710000000003</c:v>
                </c:pt>
                <c:pt idx="848">
                  <c:v>28.64720000000003</c:v>
                </c:pt>
                <c:pt idx="849">
                  <c:v>28.64730000000003</c:v>
                </c:pt>
                <c:pt idx="850">
                  <c:v>28.64740000000003</c:v>
                </c:pt>
                <c:pt idx="851">
                  <c:v>28.647500000000029</c:v>
                </c:pt>
                <c:pt idx="852">
                  <c:v>28.647600000000029</c:v>
                </c:pt>
                <c:pt idx="853">
                  <c:v>28.647700000000029</c:v>
                </c:pt>
                <c:pt idx="854">
                  <c:v>28.647800000000029</c:v>
                </c:pt>
                <c:pt idx="855">
                  <c:v>28.647900000000028</c:v>
                </c:pt>
                <c:pt idx="856">
                  <c:v>28.648000000000028</c:v>
                </c:pt>
                <c:pt idx="857">
                  <c:v>28.648100000000028</c:v>
                </c:pt>
                <c:pt idx="858">
                  <c:v>28.648200000000028</c:v>
                </c:pt>
                <c:pt idx="859">
                  <c:v>28.648300000000027</c:v>
                </c:pt>
                <c:pt idx="860">
                  <c:v>28.648400000000027</c:v>
                </c:pt>
                <c:pt idx="861">
                  <c:v>28.648500000000027</c:v>
                </c:pt>
                <c:pt idx="862">
                  <c:v>28.648600000000027</c:v>
                </c:pt>
                <c:pt idx="863">
                  <c:v>28.648700000000026</c:v>
                </c:pt>
                <c:pt idx="864">
                  <c:v>28.648800000000026</c:v>
                </c:pt>
                <c:pt idx="865">
                  <c:v>28.648900000000026</c:v>
                </c:pt>
                <c:pt idx="866">
                  <c:v>28.649000000000026</c:v>
                </c:pt>
                <c:pt idx="867">
                  <c:v>28.649100000000026</c:v>
                </c:pt>
                <c:pt idx="868">
                  <c:v>28.649200000000025</c:v>
                </c:pt>
                <c:pt idx="869">
                  <c:v>28.649300000000025</c:v>
                </c:pt>
                <c:pt idx="870">
                  <c:v>28.649400000000025</c:v>
                </c:pt>
                <c:pt idx="871">
                  <c:v>28.649500000000025</c:v>
                </c:pt>
                <c:pt idx="872">
                  <c:v>28.649600000000024</c:v>
                </c:pt>
                <c:pt idx="873">
                  <c:v>28.649700000000024</c:v>
                </c:pt>
                <c:pt idx="874">
                  <c:v>28.649800000000024</c:v>
                </c:pt>
                <c:pt idx="875">
                  <c:v>28.649900000000024</c:v>
                </c:pt>
                <c:pt idx="876">
                  <c:v>28.650000000000023</c:v>
                </c:pt>
                <c:pt idx="877">
                  <c:v>28.650100000000023</c:v>
                </c:pt>
                <c:pt idx="878">
                  <c:v>28.650200000000023</c:v>
                </c:pt>
                <c:pt idx="879">
                  <c:v>28.650300000000023</c:v>
                </c:pt>
                <c:pt idx="880">
                  <c:v>28.650400000000023</c:v>
                </c:pt>
                <c:pt idx="881">
                  <c:v>28.650500000000022</c:v>
                </c:pt>
                <c:pt idx="882">
                  <c:v>28.650600000000022</c:v>
                </c:pt>
                <c:pt idx="883">
                  <c:v>28.650700000000022</c:v>
                </c:pt>
                <c:pt idx="884">
                  <c:v>28.650800000000022</c:v>
                </c:pt>
                <c:pt idx="885">
                  <c:v>28.650900000000021</c:v>
                </c:pt>
                <c:pt idx="886">
                  <c:v>28.651000000000021</c:v>
                </c:pt>
                <c:pt idx="887">
                  <c:v>28.651100000000021</c:v>
                </c:pt>
                <c:pt idx="888">
                  <c:v>28.651200000000021</c:v>
                </c:pt>
                <c:pt idx="889">
                  <c:v>28.65130000000002</c:v>
                </c:pt>
                <c:pt idx="890">
                  <c:v>28.65140000000002</c:v>
                </c:pt>
                <c:pt idx="891">
                  <c:v>28.65150000000002</c:v>
                </c:pt>
                <c:pt idx="892">
                  <c:v>28.65160000000002</c:v>
                </c:pt>
                <c:pt idx="893">
                  <c:v>28.651700000000019</c:v>
                </c:pt>
                <c:pt idx="894">
                  <c:v>28.651800000000019</c:v>
                </c:pt>
                <c:pt idx="895">
                  <c:v>28.651900000000019</c:v>
                </c:pt>
                <c:pt idx="896">
                  <c:v>28.652000000000019</c:v>
                </c:pt>
                <c:pt idx="897">
                  <c:v>28.652100000000019</c:v>
                </c:pt>
                <c:pt idx="898">
                  <c:v>28.652200000000018</c:v>
                </c:pt>
                <c:pt idx="899">
                  <c:v>28.652300000000018</c:v>
                </c:pt>
                <c:pt idx="900">
                  <c:v>28.652400000000018</c:v>
                </c:pt>
                <c:pt idx="901">
                  <c:v>28.652500000000018</c:v>
                </c:pt>
                <c:pt idx="902">
                  <c:v>28.652600000000017</c:v>
                </c:pt>
                <c:pt idx="903">
                  <c:v>28.652700000000017</c:v>
                </c:pt>
                <c:pt idx="904">
                  <c:v>28.652800000000017</c:v>
                </c:pt>
                <c:pt idx="905">
                  <c:v>28.652900000000017</c:v>
                </c:pt>
                <c:pt idx="906">
                  <c:v>28.653000000000016</c:v>
                </c:pt>
                <c:pt idx="907">
                  <c:v>28.653100000000016</c:v>
                </c:pt>
                <c:pt idx="908">
                  <c:v>28.653200000000016</c:v>
                </c:pt>
                <c:pt idx="909">
                  <c:v>28.653300000000016</c:v>
                </c:pt>
                <c:pt idx="910">
                  <c:v>28.653400000000016</c:v>
                </c:pt>
                <c:pt idx="911">
                  <c:v>28.653500000000015</c:v>
                </c:pt>
                <c:pt idx="912">
                  <c:v>28.653600000000015</c:v>
                </c:pt>
                <c:pt idx="913">
                  <c:v>28.653700000000015</c:v>
                </c:pt>
                <c:pt idx="914">
                  <c:v>28.653800000000015</c:v>
                </c:pt>
                <c:pt idx="915">
                  <c:v>28.653900000000014</c:v>
                </c:pt>
                <c:pt idx="916">
                  <c:v>28.654000000000014</c:v>
                </c:pt>
                <c:pt idx="917">
                  <c:v>28.654100000000014</c:v>
                </c:pt>
                <c:pt idx="918">
                  <c:v>28.654200000000014</c:v>
                </c:pt>
                <c:pt idx="919">
                  <c:v>28.654300000000013</c:v>
                </c:pt>
                <c:pt idx="920">
                  <c:v>28.654400000000013</c:v>
                </c:pt>
                <c:pt idx="921">
                  <c:v>28.654500000000013</c:v>
                </c:pt>
                <c:pt idx="922">
                  <c:v>28.654600000000013</c:v>
                </c:pt>
                <c:pt idx="923">
                  <c:v>28.654700000000012</c:v>
                </c:pt>
                <c:pt idx="924">
                  <c:v>28.654800000000012</c:v>
                </c:pt>
                <c:pt idx="925">
                  <c:v>28.654900000000012</c:v>
                </c:pt>
                <c:pt idx="926">
                  <c:v>28.655000000000012</c:v>
                </c:pt>
                <c:pt idx="927">
                  <c:v>28.655100000000012</c:v>
                </c:pt>
                <c:pt idx="928">
                  <c:v>28.655200000000011</c:v>
                </c:pt>
                <c:pt idx="929">
                  <c:v>28.655300000000011</c:v>
                </c:pt>
                <c:pt idx="930">
                  <c:v>28.655400000000011</c:v>
                </c:pt>
                <c:pt idx="931">
                  <c:v>28.655500000000011</c:v>
                </c:pt>
                <c:pt idx="932">
                  <c:v>28.65560000000001</c:v>
                </c:pt>
                <c:pt idx="933">
                  <c:v>28.65570000000001</c:v>
                </c:pt>
                <c:pt idx="934">
                  <c:v>28.65580000000001</c:v>
                </c:pt>
                <c:pt idx="935">
                  <c:v>28.65590000000001</c:v>
                </c:pt>
                <c:pt idx="936">
                  <c:v>28.656000000000009</c:v>
                </c:pt>
                <c:pt idx="937">
                  <c:v>28.656100000000009</c:v>
                </c:pt>
                <c:pt idx="938">
                  <c:v>28.656200000000009</c:v>
                </c:pt>
                <c:pt idx="939">
                  <c:v>28.656300000000009</c:v>
                </c:pt>
                <c:pt idx="940">
                  <c:v>28.656400000000009</c:v>
                </c:pt>
                <c:pt idx="941">
                  <c:v>28.656500000000008</c:v>
                </c:pt>
                <c:pt idx="942">
                  <c:v>28.656600000000008</c:v>
                </c:pt>
                <c:pt idx="943">
                  <c:v>28.656700000000008</c:v>
                </c:pt>
                <c:pt idx="944">
                  <c:v>28.656800000000008</c:v>
                </c:pt>
                <c:pt idx="945">
                  <c:v>28.656900000000007</c:v>
                </c:pt>
                <c:pt idx="946">
                  <c:v>28.657000000000007</c:v>
                </c:pt>
                <c:pt idx="947">
                  <c:v>28.657100000000007</c:v>
                </c:pt>
                <c:pt idx="948">
                  <c:v>28.657200000000007</c:v>
                </c:pt>
                <c:pt idx="949">
                  <c:v>28.657300000000006</c:v>
                </c:pt>
                <c:pt idx="950">
                  <c:v>28.657400000000006</c:v>
                </c:pt>
                <c:pt idx="951">
                  <c:v>28.657500000000006</c:v>
                </c:pt>
                <c:pt idx="952">
                  <c:v>28.657600000000006</c:v>
                </c:pt>
                <c:pt idx="953">
                  <c:v>28.657700000000006</c:v>
                </c:pt>
                <c:pt idx="954">
                  <c:v>28.657800000000005</c:v>
                </c:pt>
                <c:pt idx="955">
                  <c:v>28.657900000000005</c:v>
                </c:pt>
                <c:pt idx="956">
                  <c:v>28.658000000000005</c:v>
                </c:pt>
                <c:pt idx="957">
                  <c:v>28.658100000000005</c:v>
                </c:pt>
                <c:pt idx="958">
                  <c:v>28.658200000000004</c:v>
                </c:pt>
                <c:pt idx="959">
                  <c:v>28.658300000000004</c:v>
                </c:pt>
                <c:pt idx="960">
                  <c:v>28.658400000000004</c:v>
                </c:pt>
                <c:pt idx="961">
                  <c:v>28.658500000000004</c:v>
                </c:pt>
                <c:pt idx="962">
                  <c:v>28.658600000000003</c:v>
                </c:pt>
                <c:pt idx="963">
                  <c:v>28.658700000000003</c:v>
                </c:pt>
                <c:pt idx="964">
                  <c:v>28.658800000000003</c:v>
                </c:pt>
                <c:pt idx="965">
                  <c:v>28.658900000000003</c:v>
                </c:pt>
                <c:pt idx="966">
                  <c:v>28.659000000000002</c:v>
                </c:pt>
                <c:pt idx="967">
                  <c:v>28.659100000000002</c:v>
                </c:pt>
                <c:pt idx="968">
                  <c:v>28.659200000000002</c:v>
                </c:pt>
                <c:pt idx="969">
                  <c:v>28.659300000000002</c:v>
                </c:pt>
                <c:pt idx="970">
                  <c:v>28.659400000000002</c:v>
                </c:pt>
                <c:pt idx="971">
                  <c:v>28.659500000000001</c:v>
                </c:pt>
                <c:pt idx="972">
                  <c:v>28.659600000000001</c:v>
                </c:pt>
                <c:pt idx="973">
                  <c:v>28.659700000000001</c:v>
                </c:pt>
                <c:pt idx="974">
                  <c:v>28.659800000000001</c:v>
                </c:pt>
                <c:pt idx="975">
                  <c:v>28.6599</c:v>
                </c:pt>
                <c:pt idx="976">
                  <c:v>28.66</c:v>
                </c:pt>
                <c:pt idx="977">
                  <c:v>28.6601</c:v>
                </c:pt>
                <c:pt idx="978">
                  <c:v>28.6602</c:v>
                </c:pt>
                <c:pt idx="979">
                  <c:v>28.660299999999999</c:v>
                </c:pt>
                <c:pt idx="980">
                  <c:v>28.660399999999999</c:v>
                </c:pt>
                <c:pt idx="981">
                  <c:v>28.660499999999999</c:v>
                </c:pt>
                <c:pt idx="982">
                  <c:v>28.660599999999999</c:v>
                </c:pt>
                <c:pt idx="983">
                  <c:v>28.660699999999999</c:v>
                </c:pt>
                <c:pt idx="984">
                  <c:v>28.660799999999998</c:v>
                </c:pt>
                <c:pt idx="985">
                  <c:v>28.660899999999998</c:v>
                </c:pt>
                <c:pt idx="986">
                  <c:v>28.660999999999998</c:v>
                </c:pt>
                <c:pt idx="987">
                  <c:v>28.661099999999998</c:v>
                </c:pt>
                <c:pt idx="988">
                  <c:v>28.661199999999997</c:v>
                </c:pt>
                <c:pt idx="989">
                  <c:v>28.661299999999997</c:v>
                </c:pt>
                <c:pt idx="990">
                  <c:v>28.661399999999997</c:v>
                </c:pt>
                <c:pt idx="991">
                  <c:v>28.661499999999997</c:v>
                </c:pt>
                <c:pt idx="992">
                  <c:v>28.661599999999996</c:v>
                </c:pt>
                <c:pt idx="993">
                  <c:v>28.661699999999996</c:v>
                </c:pt>
                <c:pt idx="994">
                  <c:v>28.661799999999996</c:v>
                </c:pt>
                <c:pt idx="995">
                  <c:v>28.661899999999996</c:v>
                </c:pt>
                <c:pt idx="996">
                  <c:v>28.661999999999995</c:v>
                </c:pt>
                <c:pt idx="997">
                  <c:v>28.662099999999995</c:v>
                </c:pt>
                <c:pt idx="998">
                  <c:v>28.662199999999995</c:v>
                </c:pt>
                <c:pt idx="999">
                  <c:v>28.662299999999995</c:v>
                </c:pt>
                <c:pt idx="1000">
                  <c:v>28.662399999999995</c:v>
                </c:pt>
              </c:numCache>
            </c:numRef>
          </c:xVal>
          <c:yVal>
            <c:numRef>
              <c:f>Calculs!$K$4:$K$1004</c:f>
              <c:numCache>
                <c:formatCode>0.00</c:formatCode>
                <c:ptCount val="1001"/>
                <c:pt idx="0">
                  <c:v>570.20506866099674</c:v>
                </c:pt>
                <c:pt idx="1">
                  <c:v>571.70180485420815</c:v>
                </c:pt>
                <c:pt idx="2">
                  <c:v>573.19555889131561</c:v>
                </c:pt>
                <c:pt idx="3">
                  <c:v>574.6863389760498</c:v>
                </c:pt>
                <c:pt idx="4">
                  <c:v>576.17415327135552</c:v>
                </c:pt>
                <c:pt idx="5">
                  <c:v>577.65900989965996</c:v>
                </c:pt>
                <c:pt idx="6">
                  <c:v>579.14091694313913</c:v>
                </c:pt>
                <c:pt idx="7">
                  <c:v>580.6198824439814</c:v>
                </c:pt>
                <c:pt idx="8">
                  <c:v>582.09591440464942</c:v>
                </c:pt>
                <c:pt idx="9">
                  <c:v>583.56902078813982</c:v>
                </c:pt>
                <c:pt idx="10">
                  <c:v>585.03920951824068</c:v>
                </c:pt>
                <c:pt idx="11">
                  <c:v>586.50648846886315</c:v>
                </c:pt>
                <c:pt idx="12">
                  <c:v>587.97086545361992</c:v>
                </c:pt>
                <c:pt idx="13">
                  <c:v>589.43234823749185</c:v>
                </c:pt>
                <c:pt idx="14">
                  <c:v>590.89094454823828</c:v>
                </c:pt>
                <c:pt idx="15">
                  <c:v>592.34666207663042</c:v>
                </c:pt>
                <c:pt idx="16">
                  <c:v>593.7995084766826</c:v>
                </c:pt>
                <c:pt idx="17">
                  <c:v>595.24949136588236</c:v>
                </c:pt>
                <c:pt idx="18">
                  <c:v>596.69661832541772</c:v>
                </c:pt>
                <c:pt idx="19">
                  <c:v>598.14089690040373</c:v>
                </c:pt>
                <c:pt idx="20">
                  <c:v>599.58233460010649</c:v>
                </c:pt>
                <c:pt idx="21">
                  <c:v>601.02093890362949</c:v>
                </c:pt>
                <c:pt idx="22">
                  <c:v>602.45671726547835</c:v>
                </c:pt>
                <c:pt idx="23">
                  <c:v>603.88967711007933</c:v>
                </c:pt>
                <c:pt idx="24">
                  <c:v>605.31982582641808</c:v>
                </c:pt>
                <c:pt idx="25">
                  <c:v>606.74717076826209</c:v>
                </c:pt>
                <c:pt idx="26">
                  <c:v>608.17171925438083</c:v>
                </c:pt>
                <c:pt idx="27">
                  <c:v>609.59347856876457</c:v>
                </c:pt>
                <c:pt idx="28">
                  <c:v>611.01245596084152</c:v>
                </c:pt>
                <c:pt idx="29">
                  <c:v>612.42865864569285</c:v>
                </c:pt>
                <c:pt idx="30">
                  <c:v>613.84209380426614</c:v>
                </c:pt>
                <c:pt idx="31">
                  <c:v>615.25276858358757</c:v>
                </c:pt>
                <c:pt idx="32">
                  <c:v>616.66069009697196</c:v>
                </c:pt>
                <c:pt idx="33">
                  <c:v>618.06586542423133</c:v>
                </c:pt>
                <c:pt idx="34">
                  <c:v>619.468301611882</c:v>
                </c:pt>
                <c:pt idx="35">
                  <c:v>620.86800567334967</c:v>
                </c:pt>
                <c:pt idx="36">
                  <c:v>622.26498458917342</c:v>
                </c:pt>
                <c:pt idx="37">
                  <c:v>623.6592453072077</c:v>
                </c:pt>
                <c:pt idx="38">
                  <c:v>625.05079474282297</c:v>
                </c:pt>
                <c:pt idx="39">
                  <c:v>626.43963977910482</c:v>
                </c:pt>
                <c:pt idx="40">
                  <c:v>627.82578726705128</c:v>
                </c:pt>
                <c:pt idx="41">
                  <c:v>629.20924402576895</c:v>
                </c:pt>
                <c:pt idx="42">
                  <c:v>630.5900168426673</c:v>
                </c:pt>
                <c:pt idx="43">
                  <c:v>631.96811247365179</c:v>
                </c:pt>
                <c:pt idx="44">
                  <c:v>633.34353764331524</c:v>
                </c:pt>
                <c:pt idx="45">
                  <c:v>634.71629904512793</c:v>
                </c:pt>
                <c:pt idx="46">
                  <c:v>636.08640334162612</c:v>
                </c:pt>
                <c:pt idx="47">
                  <c:v>637.45385716459896</c:v>
                </c:pt>
                <c:pt idx="48">
                  <c:v>638.81866711527448</c:v>
                </c:pt>
                <c:pt idx="49">
                  <c:v>640.18083976450373</c:v>
                </c:pt>
                <c:pt idx="50">
                  <c:v>641.54038165294355</c:v>
                </c:pt>
                <c:pt idx="51">
                  <c:v>642.89729929123826</c:v>
                </c:pt>
                <c:pt idx="52">
                  <c:v>644.25159916019936</c:v>
                </c:pt>
                <c:pt idx="53">
                  <c:v>645.60328771098477</c:v>
                </c:pt>
                <c:pt idx="54">
                  <c:v>646.95237136527589</c:v>
                </c:pt>
                <c:pt idx="55">
                  <c:v>648.29885651545351</c:v>
                </c:pt>
                <c:pt idx="56">
                  <c:v>649.64274952477285</c:v>
                </c:pt>
                <c:pt idx="57">
                  <c:v>650.98405672753677</c:v>
                </c:pt>
                <c:pt idx="58">
                  <c:v>652.32278442926781</c:v>
                </c:pt>
                <c:pt idx="59">
                  <c:v>653.65893890687914</c:v>
                </c:pt>
                <c:pt idx="60">
                  <c:v>654.9925264088439</c:v>
                </c:pt>
                <c:pt idx="61">
                  <c:v>656.32355315536358</c:v>
                </c:pt>
                <c:pt idx="62">
                  <c:v>657.65202533853494</c:v>
                </c:pt>
                <c:pt idx="63">
                  <c:v>658.97794912251584</c:v>
                </c:pt>
                <c:pt idx="64">
                  <c:v>660.30133064368943</c:v>
                </c:pt>
                <c:pt idx="65">
                  <c:v>661.62217601082773</c:v>
                </c:pt>
                <c:pt idx="66">
                  <c:v>662.94049130525377</c:v>
                </c:pt>
                <c:pt idx="67">
                  <c:v>664.25628258100221</c:v>
                </c:pt>
                <c:pt idx="68">
                  <c:v>665.56955586497907</c:v>
                </c:pt>
                <c:pt idx="69">
                  <c:v>666.8803171571202</c:v>
                </c:pt>
                <c:pt idx="70">
                  <c:v>668.18857243054867</c:v>
                </c:pt>
                <c:pt idx="71">
                  <c:v>669.49432763173104</c:v>
                </c:pt>
                <c:pt idx="72">
                  <c:v>670.79758868063209</c:v>
                </c:pt>
                <c:pt idx="73">
                  <c:v>672.09836147086878</c:v>
                </c:pt>
                <c:pt idx="74">
                  <c:v>673.39665186986304</c:v>
                </c:pt>
                <c:pt idx="75">
                  <c:v>674.6924657189935</c:v>
                </c:pt>
                <c:pt idx="76">
                  <c:v>675.98580883374575</c:v>
                </c:pt>
                <c:pt idx="77">
                  <c:v>677.27668700386187</c:v>
                </c:pt>
                <c:pt idx="78">
                  <c:v>678.56510599348883</c:v>
                </c:pt>
                <c:pt idx="79">
                  <c:v>679.8510715413255</c:v>
                </c:pt>
                <c:pt idx="80">
                  <c:v>681.13458936076893</c:v>
                </c:pt>
                <c:pt idx="81">
                  <c:v>682.41566514005956</c:v>
                </c:pt>
                <c:pt idx="82">
                  <c:v>683.69430454242513</c:v>
                </c:pt>
                <c:pt idx="83">
                  <c:v>684.9705132062237</c:v>
                </c:pt>
                <c:pt idx="84">
                  <c:v>686.24429674508565</c:v>
                </c:pt>
                <c:pt idx="85">
                  <c:v>687.51566074805453</c:v>
                </c:pt>
                <c:pt idx="86">
                  <c:v>688.78461077972702</c:v>
                </c:pt>
                <c:pt idx="87">
                  <c:v>690.05115238039207</c:v>
                </c:pt>
                <c:pt idx="88">
                  <c:v>691.31529106616847</c:v>
                </c:pt>
                <c:pt idx="89">
                  <c:v>692.57703232914184</c:v>
                </c:pt>
                <c:pt idx="90">
                  <c:v>693.83638163750084</c:v>
                </c:pt>
                <c:pt idx="91">
                  <c:v>695.09334443567195</c:v>
                </c:pt>
                <c:pt idx="92">
                  <c:v>696.34792614445337</c:v>
                </c:pt>
                <c:pt idx="93">
                  <c:v>697.60013216114817</c:v>
                </c:pt>
                <c:pt idx="94">
                  <c:v>698.84996785969645</c:v>
                </c:pt>
                <c:pt idx="95">
                  <c:v>700.09743859080641</c:v>
                </c:pt>
                <c:pt idx="96">
                  <c:v>701.34254968208461</c:v>
                </c:pt>
                <c:pt idx="97">
                  <c:v>702.58530643816516</c:v>
                </c:pt>
                <c:pt idx="98">
                  <c:v>703.82571414083839</c:v>
                </c:pt>
                <c:pt idx="99">
                  <c:v>705.06377804917781</c:v>
                </c:pt>
                <c:pt idx="100">
                  <c:v>706.29950339966729</c:v>
                </c:pt>
                <c:pt idx="101">
                  <c:v>718.52854005730728</c:v>
                </c:pt>
                <c:pt idx="102">
                  <c:v>730.52706813776001</c:v>
                </c:pt>
                <c:pt idx="103">
                  <c:v>742.30011104420862</c:v>
                </c:pt>
                <c:pt idx="104">
                  <c:v>753.85248213761804</c:v>
                </c:pt>
                <c:pt idx="105">
                  <c:v>765.18879596593888</c:v>
                </c:pt>
                <c:pt idx="106">
                  <c:v>776.31347873877621</c:v>
                </c:pt>
                <c:pt idx="107">
                  <c:v>787.23077810765699</c:v>
                </c:pt>
                <c:pt idx="108">
                  <c:v>797.94477230648795</c:v>
                </c:pt>
                <c:pt idx="109">
                  <c:v>808.45937870183184</c:v>
                </c:pt>
                <c:pt idx="110">
                  <c:v>818.77836179817598</c:v>
                </c:pt>
                <c:pt idx="111">
                  <c:v>828.9053407393659</c:v>
                </c:pt>
                <c:pt idx="112">
                  <c:v>838.84379634377626</c:v>
                </c:pt>
                <c:pt idx="113">
                  <c:v>848.59707770754767</c:v>
                </c:pt>
                <c:pt idx="114">
                  <c:v>858.16840840729094</c:v>
                </c:pt>
                <c:pt idx="115">
                  <c:v>867.56089233101488</c:v>
                </c:pt>
                <c:pt idx="116">
                  <c:v>876.77751916364275</c:v>
                </c:pt>
                <c:pt idx="117">
                  <c:v>885.82116955131448</c:v>
                </c:pt>
                <c:pt idx="118">
                  <c:v>894.69461996670725</c:v>
                </c:pt>
                <c:pt idx="119">
                  <c:v>903.40054729582175</c:v>
                </c:pt>
                <c:pt idx="120">
                  <c:v>911.94153316506015</c:v>
                </c:pt>
                <c:pt idx="121">
                  <c:v>920.32006802594503</c:v>
                </c:pt>
                <c:pt idx="122">
                  <c:v>928.53855501348335</c:v>
                </c:pt>
                <c:pt idx="123">
                  <c:v>936.59931359295331</c:v>
                </c:pt>
                <c:pt idx="124">
                  <c:v>944.50458300877074</c:v>
                </c:pt>
                <c:pt idx="125">
                  <c:v>952.25652554806913</c:v>
                </c:pt>
                <c:pt idx="126">
                  <c:v>959.85722963069009</c:v>
                </c:pt>
                <c:pt idx="127">
                  <c:v>967.30871273642288</c:v>
                </c:pt>
                <c:pt idx="128">
                  <c:v>974.61292417954712</c:v>
                </c:pt>
                <c:pt idx="129">
                  <c:v>981.77174774000912</c:v>
                </c:pt>
                <c:pt idx="130">
                  <c:v>988.7870041599017</c:v>
                </c:pt>
                <c:pt idx="131">
                  <c:v>995.66045351330865</c:v>
                </c:pt>
                <c:pt idx="132">
                  <c:v>1002.3937974570134</c:v>
                </c:pt>
                <c:pt idx="133">
                  <c:v>1008.9886813690589</c:v>
                </c:pt>
                <c:pt idx="134">
                  <c:v>1015.4466963816684</c:v>
                </c:pt>
                <c:pt idx="135">
                  <c:v>1021.7693813146013</c:v>
                </c:pt>
                <c:pt idx="136">
                  <c:v>1027.9582245146139</c:v>
                </c:pt>
                <c:pt idx="137">
                  <c:v>1034.0146656063216</c:v>
                </c:pt>
                <c:pt idx="138">
                  <c:v>1039.9400971594187</c:v>
                </c:pt>
                <c:pt idx="139">
                  <c:v>1045.7358662768895</c:v>
                </c:pt>
                <c:pt idx="140">
                  <c:v>1051.4032761085566</c:v>
                </c:pt>
                <c:pt idx="141">
                  <c:v>1056.9435872940346</c:v>
                </c:pt>
                <c:pt idx="142">
                  <c:v>1062.358019338915</c:v>
                </c:pt>
                <c:pt idx="143">
                  <c:v>1067.6477519277705</c:v>
                </c:pt>
                <c:pt idx="144">
                  <c:v>1072.8139261773536</c:v>
                </c:pt>
                <c:pt idx="145">
                  <c:v>1077.8576458331722</c:v>
                </c:pt>
                <c:pt idx="146">
                  <c:v>1082.7799784124368</c:v>
                </c:pt>
                <c:pt idx="147">
                  <c:v>1087.581956296209</c:v>
                </c:pt>
                <c:pt idx="148">
                  <c:v>1092.2645777734297</c:v>
                </c:pt>
                <c:pt idx="149">
                  <c:v>1096.8288080393572</c:v>
                </c:pt>
                <c:pt idx="150">
                  <c:v>1101.2755801508254</c:v>
                </c:pt>
                <c:pt idx="151">
                  <c:v>1105.6057959406037</c:v>
                </c:pt>
                <c:pt idx="152">
                  <c:v>1109.8203268930467</c:v>
                </c:pt>
                <c:pt idx="153">
                  <c:v>1113.9200149831147</c:v>
                </c:pt>
                <c:pt idx="154">
                  <c:v>1117.9056734807662</c:v>
                </c:pt>
                <c:pt idx="155">
                  <c:v>1121.778087722651</c:v>
                </c:pt>
                <c:pt idx="156">
                  <c:v>1125.538015852964</c:v>
                </c:pt>
                <c:pt idx="157">
                  <c:v>1129.1861895352679</c:v>
                </c:pt>
                <c:pt idx="158">
                  <c:v>1132.7233146370497</c:v>
                </c:pt>
                <c:pt idx="159">
                  <c:v>1136.1500718887457</c:v>
                </c:pt>
                <c:pt idx="160">
                  <c:v>1139.4671175189433</c:v>
                </c:pt>
                <c:pt idx="161">
                  <c:v>1142.675083867465</c:v>
                </c:pt>
                <c:pt idx="162">
                  <c:v>1145.7745799780389</c:v>
                </c:pt>
                <c:pt idx="163">
                  <c:v>1148.7661921722759</c:v>
                </c:pt>
                <c:pt idx="164">
                  <c:v>1151.6504846067069</c:v>
                </c:pt>
                <c:pt idx="165">
                  <c:v>1154.427999814674</c:v>
                </c:pt>
                <c:pt idx="166">
                  <c:v>1157.099259234931</c:v>
                </c:pt>
                <c:pt idx="167">
                  <c:v>1159.6647637288859</c:v>
                </c:pt>
                <c:pt idx="168">
                  <c:v>1162.1249940885091</c:v>
                </c:pt>
                <c:pt idx="169">
                  <c:v>1164.4804115370439</c:v>
                </c:pt>
                <c:pt idx="170">
                  <c:v>1166.7314582247839</c:v>
                </c:pt>
                <c:pt idx="171">
                  <c:v>1168.8785577223289</c:v>
                </c:pt>
                <c:pt idx="172">
                  <c:v>1170.9221155138948</c:v>
                </c:pt>
                <c:pt idx="173">
                  <c:v>1172.8625194934305</c:v>
                </c:pt>
                <c:pt idx="174">
                  <c:v>1174.7001404664852</c:v>
                </c:pt>
                <c:pt idx="175">
                  <c:v>1176.435332660968</c:v>
                </c:pt>
                <c:pt idx="176">
                  <c:v>1178.068434250132</c:v>
                </c:pt>
                <c:pt idx="177">
                  <c:v>1179.5997678913063</c:v>
                </c:pt>
                <c:pt idx="178">
                  <c:v>1181.0296412840548</c:v>
                </c:pt>
                <c:pt idx="179">
                  <c:v>1182.3583477515606</c:v>
                </c:pt>
                <c:pt idx="180">
                  <c:v>1183.5861668490923</c:v>
                </c:pt>
                <c:pt idx="181">
                  <c:v>1184.7133650033788</c:v>
                </c:pt>
                <c:pt idx="182">
                  <c:v>1185.7401961865703</c:v>
                </c:pt>
                <c:pt idx="183">
                  <c:v>1186.6669026281779</c:v>
                </c:pt>
                <c:pt idx="184">
                  <c:v>1187.4937155679215</c:v>
                </c:pt>
                <c:pt idx="185">
                  <c:v>1188.2208560517511</c:v>
                </c:pt>
                <c:pt idx="186">
                  <c:v>1188.8485357724333</c:v>
                </c:pt>
                <c:pt idx="187">
                  <c:v>1189.3769579549987</c:v>
                </c:pt>
                <c:pt idx="188">
                  <c:v>1189.806318286036</c:v>
                </c:pt>
                <c:pt idx="189">
                  <c:v>1190.1368058843445</c:v>
                </c:pt>
                <c:pt idx="190">
                  <c:v>1190.3686043088651</c:v>
                </c:pt>
                <c:pt idx="191">
                  <c:v>1190.5018925981813</c:v>
                </c:pt>
                <c:pt idx="192">
                  <c:v>1190.5368463343266</c:v>
                </c:pt>
                <c:pt idx="193">
                  <c:v>1190.4736387222511</c:v>
                </c:pt>
                <c:pt idx="194">
                  <c:v>1190.312441675205</c:v>
                </c:pt>
                <c:pt idx="195">
                  <c:v>1190.0534268955776</c:v>
                </c:pt>
                <c:pt idx="196">
                  <c:v>1189.6967669404496</c:v>
                </c:pt>
                <c:pt idx="197">
                  <c:v>1189.2426362613078</c:v>
                </c:pt>
                <c:pt idx="198">
                  <c:v>1188.6912122080053</c:v>
                </c:pt>
                <c:pt idx="199">
                  <c:v>1188.0426759880879</c:v>
                </c:pt>
                <c:pt idx="200">
                  <c:v>1187.2972135739467</c:v>
                </c:pt>
                <c:pt idx="201">
                  <c:v>1186.4550165517999</c:v>
                </c:pt>
                <c:pt idx="202">
                  <c:v>1185.5162829081405</c:v>
                </c:pt>
                <c:pt idx="203">
                  <c:v>1184.4812177509043</c:v>
                </c:pt>
                <c:pt idx="204">
                  <c:v>1183.350033964125</c:v>
                </c:pt>
                <c:pt idx="205">
                  <c:v>1182.1229527961902</c:v>
                </c:pt>
                <c:pt idx="206">
                  <c:v>1180.8002043829515</c:v>
                </c:pt>
                <c:pt idx="207">
                  <c:v>1179.3820282078477</c:v>
                </c:pt>
                <c:pt idx="208">
                  <c:v>1177.8686735018907</c:v>
                </c:pt>
                <c:pt idx="209">
                  <c:v>1176.2603995868394</c:v>
                </c:pt>
                <c:pt idx="210">
                  <c:v>1174.5574761651785</c:v>
                </c:pt>
                <c:pt idx="211">
                  <c:v>1172.7601835606608</c:v>
                </c:pt>
                <c:pt idx="212">
                  <c:v>1170.8688129131845</c:v>
                </c:pt>
                <c:pt idx="213">
                  <c:v>1168.8836663316988</c:v>
                </c:pt>
                <c:pt idx="214">
                  <c:v>1166.8050570086866</c:v>
                </c:pt>
                <c:pt idx="215">
                  <c:v>1164.6333092995758</c:v>
                </c:pt>
                <c:pt idx="216">
                  <c:v>1162.3687587702138</c:v>
                </c:pt>
                <c:pt idx="217">
                  <c:v>1160.0117522153046</c:v>
                </c:pt>
                <c:pt idx="218">
                  <c:v>1157.5626476504704</c:v>
                </c:pt>
                <c:pt idx="219">
                  <c:v>1155.0218142803715</c:v>
                </c:pt>
                <c:pt idx="220">
                  <c:v>1152.3896324450923</c:v>
                </c:pt>
                <c:pt idx="221">
                  <c:v>1149.6664935467991</c:v>
                </c:pt>
                <c:pt idx="222">
                  <c:v>1146.8527999584808</c:v>
                </c:pt>
                <c:pt idx="223">
                  <c:v>1143.9489649164091</c:v>
                </c:pt>
                <c:pt idx="224">
                  <c:v>1140.9554123977966</c:v>
                </c:pt>
                <c:pt idx="225">
                  <c:v>1137.8725769849893</c:v>
                </c:pt>
                <c:pt idx="226">
                  <c:v>1134.7009037174007</c:v>
                </c:pt>
                <c:pt idx="227">
                  <c:v>1131.4408479322826</c:v>
                </c:pt>
                <c:pt idx="228">
                  <c:v>1128.0928750953249</c:v>
                </c:pt>
                <c:pt idx="229">
                  <c:v>1124.6574606219904</c:v>
                </c:pt>
                <c:pt idx="230">
                  <c:v>1121.1350896904089</c:v>
                </c:pt>
                <c:pt idx="231">
                  <c:v>1117.5262570465852</c:v>
                </c:pt>
                <c:pt idx="232">
                  <c:v>1113.8314668026169</c:v>
                </c:pt>
                <c:pt idx="233">
                  <c:v>1110.0512322285595</c:v>
                </c:pt>
                <c:pt idx="234">
                  <c:v>1106.1860755385321</c:v>
                </c:pt>
                <c:pt idx="235">
                  <c:v>1102.2365276716125</c:v>
                </c:pt>
                <c:pt idx="236">
                  <c:v>1098.2031280680314</c:v>
                </c:pt>
                <c:pt idx="237">
                  <c:v>1094.0864244411462</c:v>
                </c:pt>
                <c:pt idx="238">
                  <c:v>1089.8869725456414</c:v>
                </c:pt>
                <c:pt idx="239">
                  <c:v>1085.6053359423775</c:v>
                </c:pt>
                <c:pt idx="240">
                  <c:v>1081.2420857602858</c:v>
                </c:pt>
                <c:pt idx="241">
                  <c:v>1076.7978004556867</c:v>
                </c:pt>
                <c:pt idx="242">
                  <c:v>1072.2730655693863</c:v>
                </c:pt>
                <c:pt idx="243">
                  <c:v>1067.6684734818934</c:v>
                </c:pt>
                <c:pt idx="244">
                  <c:v>1062.9846231670774</c:v>
                </c:pt>
                <c:pt idx="245">
                  <c:v>1058.2221199445773</c:v>
                </c:pt>
                <c:pt idx="246">
                  <c:v>1053.3815752312551</c:v>
                </c:pt>
                <c:pt idx="247">
                  <c:v>1048.4636062919762</c:v>
                </c:pt>
                <c:pt idx="248">
                  <c:v>1043.4688359899887</c:v>
                </c:pt>
                <c:pt idx="249">
                  <c:v>1038.3978925371553</c:v>
                </c:pt>
                <c:pt idx="250">
                  <c:v>1033.2514092442923</c:v>
                </c:pt>
                <c:pt idx="251">
                  <c:v>1028.0300242718508</c:v>
                </c:pt>
                <c:pt idx="252">
                  <c:v>1022.734380381169</c:v>
                </c:pt>
                <c:pt idx="253">
                  <c:v>1017.3651246865157</c:v>
                </c:pt>
                <c:pt idx="254">
                  <c:v>1011.9229084081372</c:v>
                </c:pt>
                <c:pt idx="255">
                  <c:v>1006.4083866265073</c:v>
                </c:pt>
                <c:pt idx="256">
                  <c:v>1000.8222180379773</c:v>
                </c:pt>
                <c:pt idx="257">
                  <c:v>995.16506471201035</c:v>
                </c:pt>
                <c:pt idx="258">
                  <c:v>989.43759185017893</c:v>
                </c:pt>
                <c:pt idx="259">
                  <c:v>983.64046754709648</c:v>
                </c:pt>
                <c:pt idx="260">
                  <c:v>977.77436255344571</c:v>
                </c:pt>
                <c:pt idx="261">
                  <c:v>971.83995004126007</c:v>
                </c:pt>
                <c:pt idx="262">
                  <c:v>965.83790537160655</c:v>
                </c:pt>
                <c:pt idx="263">
                  <c:v>959.76890586481136</c:v>
                </c:pt>
                <c:pt idx="264">
                  <c:v>953.63363057336358</c:v>
                </c:pt>
                <c:pt idx="265">
                  <c:v>947.43276005762357</c:v>
                </c:pt>
                <c:pt idx="266">
                  <c:v>941.16697616445788</c:v>
                </c:pt>
                <c:pt idx="267">
                  <c:v>934.83696180891479</c:v>
                </c:pt>
                <c:pt idx="268">
                  <c:v>928.44340075904779</c:v>
                </c:pt>
                <c:pt idx="269">
                  <c:v>921.98697742398906</c:v>
                </c:pt>
                <c:pt idx="270">
                  <c:v>915.46837664536702</c:v>
                </c:pt>
                <c:pt idx="271">
                  <c:v>908.8882834921576</c:v>
                </c:pt>
                <c:pt idx="272">
                  <c:v>902.24738305905123</c:v>
                </c:pt>
                <c:pt idx="273">
                  <c:v>895.54636026841217</c:v>
                </c:pt>
                <c:pt idx="274">
                  <c:v>888.78589967590131</c:v>
                </c:pt>
                <c:pt idx="275">
                  <c:v>881.96668527982638</c:v>
                </c:pt>
                <c:pt idx="276">
                  <c:v>875.08940033427973</c:v>
                </c:pt>
                <c:pt idx="277">
                  <c:v>868.15472716611669</c:v>
                </c:pt>
                <c:pt idx="278">
                  <c:v>861.16334699582274</c:v>
                </c:pt>
                <c:pt idx="279">
                  <c:v>854.11593976231234</c:v>
                </c:pt>
                <c:pt idx="280">
                  <c:v>847.01318395169699</c:v>
                </c:pt>
                <c:pt idx="281">
                  <c:v>839.85575643005473</c:v>
                </c:pt>
                <c:pt idx="282">
                  <c:v>832.64433228022926</c:v>
                </c:pt>
                <c:pt idx="283">
                  <c:v>825.37958464268092</c:v>
                </c:pt>
                <c:pt idx="284">
                  <c:v>818.06218456040733</c:v>
                </c:pt>
                <c:pt idx="285">
                  <c:v>810.69280082794796</c:v>
                </c:pt>
                <c:pt idx="286">
                  <c:v>803.27209984448075</c:v>
                </c:pt>
                <c:pt idx="287">
                  <c:v>795.80074547101628</c:v>
                </c:pt>
                <c:pt idx="288">
                  <c:v>788.27939889168965</c:v>
                </c:pt>
                <c:pt idx="289">
                  <c:v>780.70871847914668</c:v>
                </c:pt>
                <c:pt idx="290">
                  <c:v>773.08935966401737</c:v>
                </c:pt>
                <c:pt idx="291">
                  <c:v>765.42197480846573</c:v>
                </c:pt>
                <c:pt idx="292">
                  <c:v>757.70721308380087</c:v>
                </c:pt>
                <c:pt idx="293">
                  <c:v>749.94572035213184</c:v>
                </c:pt>
                <c:pt idx="294">
                  <c:v>742.13813905204449</c:v>
                </c:pt>
                <c:pt idx="295">
                  <c:v>734.28510808827616</c:v>
                </c:pt>
                <c:pt idx="296">
                  <c:v>726.38726272536087</c:v>
                </c:pt>
                <c:pt idx="297">
                  <c:v>718.44523448521329</c:v>
                </c:pt>
                <c:pt idx="298">
                  <c:v>710.45965104862046</c:v>
                </c:pt>
                <c:pt idx="299">
                  <c:v>702.43113616060327</c:v>
                </c:pt>
                <c:pt idx="300">
                  <c:v>694.36030953961119</c:v>
                </c:pt>
                <c:pt idx="301">
                  <c:v>686.24778679050814</c:v>
                </c:pt>
                <c:pt idx="302">
                  <c:v>678.09417932130782</c:v>
                </c:pt>
                <c:pt idx="303">
                  <c:v>669.90009426361337</c:v>
                </c:pt>
                <c:pt idx="304">
                  <c:v>661.66613439671357</c:v>
                </c:pt>
                <c:pt idx="305">
                  <c:v>653.39289807528792</c:v>
                </c:pt>
                <c:pt idx="306">
                  <c:v>645.08097916066959</c:v>
                </c:pt>
                <c:pt idx="307">
                  <c:v>636.73096695561435</c:v>
                </c:pt>
                <c:pt idx="308">
                  <c:v>628.34344614252234</c:v>
                </c:pt>
                <c:pt idx="309">
                  <c:v>619.91899672505679</c:v>
                </c:pt>
                <c:pt idx="310">
                  <c:v>611.4581939731047</c:v>
                </c:pt>
                <c:pt idx="311">
                  <c:v>602.96160837102173</c:v>
                </c:pt>
                <c:pt idx="312">
                  <c:v>594.429805569103</c:v>
                </c:pt>
                <c:pt idx="313">
                  <c:v>585.86334633822059</c:v>
                </c:pt>
                <c:pt idx="314">
                  <c:v>577.26278652756776</c:v>
                </c:pt>
                <c:pt idx="315">
                  <c:v>568.62867702544952</c:v>
                </c:pt>
                <c:pt idx="316">
                  <c:v>559.96156372305711</c:v>
                </c:pt>
                <c:pt idx="317">
                  <c:v>551.2619874811661</c:v>
                </c:pt>
                <c:pt idx="318">
                  <c:v>542.53048409969369</c:v>
                </c:pt>
                <c:pt idx="319">
                  <c:v>533.76758429005474</c:v>
                </c:pt>
                <c:pt idx="320">
                  <c:v>524.97381365025149</c:v>
                </c:pt>
                <c:pt idx="321">
                  <c:v>516.14969264263493</c:v>
                </c:pt>
                <c:pt idx="322">
                  <c:v>507.29573657427449</c:v>
                </c:pt>
                <c:pt idx="323">
                  <c:v>498.4124555798719</c:v>
                </c:pt>
                <c:pt idx="324">
                  <c:v>489.50035460715662</c:v>
                </c:pt>
                <c:pt idx="325">
                  <c:v>480.55993340469894</c:v>
                </c:pt>
                <c:pt idx="326">
                  <c:v>471.59168651207841</c:v>
                </c:pt>
                <c:pt idx="327">
                  <c:v>462.59610325234388</c:v>
                </c:pt>
                <c:pt idx="328">
                  <c:v>453.57366772670292</c:v>
                </c:pt>
                <c:pt idx="329">
                  <c:v>444.52485881137835</c:v>
                </c:pt>
                <c:pt idx="330">
                  <c:v>435.45015015656969</c:v>
                </c:pt>
                <c:pt idx="331">
                  <c:v>426.35001018745851</c:v>
                </c:pt>
                <c:pt idx="332">
                  <c:v>417.22490210719599</c:v>
                </c:pt>
                <c:pt idx="333">
                  <c:v>408.0752839018129</c:v>
                </c:pt>
                <c:pt idx="334">
                  <c:v>398.90160834699145</c:v>
                </c:pt>
                <c:pt idx="335">
                  <c:v>389.70432301664044</c:v>
                </c:pt>
                <c:pt idx="336">
                  <c:v>380.48387029321412</c:v>
                </c:pt>
                <c:pt idx="337">
                  <c:v>371.24068737971754</c:v>
                </c:pt>
                <c:pt idx="338">
                  <c:v>361.97520631334078</c:v>
                </c:pt>
                <c:pt idx="339">
                  <c:v>352.68785398066558</c:v>
                </c:pt>
                <c:pt idx="340">
                  <c:v>343.37905213438836</c:v>
                </c:pt>
                <c:pt idx="341">
                  <c:v>334.0492174115052</c:v>
                </c:pt>
                <c:pt idx="342">
                  <c:v>324.69876135290394</c:v>
                </c:pt>
                <c:pt idx="343">
                  <c:v>315.32809042431074</c:v>
                </c:pt>
                <c:pt idx="344">
                  <c:v>305.93760603853809</c:v>
                </c:pt>
                <c:pt idx="345">
                  <c:v>296.52770457898276</c:v>
                </c:pt>
                <c:pt idx="346">
                  <c:v>287.09877742432343</c:v>
                </c:pt>
                <c:pt idx="347">
                  <c:v>277.65121097436764</c:v>
                </c:pt>
                <c:pt idx="348">
                  <c:v>268.18538667699954</c:v>
                </c:pt>
                <c:pt idx="349">
                  <c:v>258.70168105618018</c:v>
                </c:pt>
                <c:pt idx="350">
                  <c:v>249.20046574095355</c:v>
                </c:pt>
                <c:pt idx="351">
                  <c:v>239.68210749541228</c:v>
                </c:pt>
                <c:pt idx="352">
                  <c:v>230.14696824957775</c:v>
                </c:pt>
                <c:pt idx="353">
                  <c:v>220.5954051311503</c:v>
                </c:pt>
                <c:pt idx="354">
                  <c:v>211.02777049808668</c:v>
                </c:pt>
                <c:pt idx="355">
                  <c:v>201.44441197196215</c:v>
                </c:pt>
                <c:pt idx="356">
                  <c:v>191.84567247207596</c:v>
                </c:pt>
                <c:pt idx="357">
                  <c:v>182.23189025025997</c:v>
                </c:pt>
                <c:pt idx="358">
                  <c:v>172.60339892635091</c:v>
                </c:pt>
                <c:pt idx="359">
                  <c:v>162.96052752428773</c:v>
                </c:pt>
                <c:pt idx="360">
                  <c:v>153.30360050879679</c:v>
                </c:pt>
                <c:pt idx="361">
                  <c:v>143.63293782262804</c:v>
                </c:pt>
                <c:pt idx="362">
                  <c:v>133.94885492430672</c:v>
                </c:pt>
                <c:pt idx="363">
                  <c:v>124.25166282636586</c:v>
                </c:pt>
                <c:pt idx="364">
                  <c:v>114.54166813402581</c:v>
                </c:pt>
                <c:pt idx="365">
                  <c:v>104.81917308428787</c:v>
                </c:pt>
                <c:pt idx="366">
                  <c:v>95.084475585410161</c:v>
                </c:pt>
                <c:pt idx="367">
                  <c:v>85.337869256734649</c:v>
                </c:pt>
                <c:pt idx="368">
                  <c:v>75.579643468835215</c:v>
                </c:pt>
                <c:pt idx="369">
                  <c:v>65.810083383957334</c:v>
                </c:pt>
                <c:pt idx="370">
                  <c:v>56.029469996721147</c:v>
                </c:pt>
                <c:pt idx="371">
                  <c:v>46.238080175060276</c:v>
                </c:pt>
                <c:pt idx="372">
                  <c:v>36.436186701369621</c:v>
                </c:pt>
                <c:pt idx="373">
                  <c:v>26.624058313836372</c:v>
                </c:pt>
                <c:pt idx="374">
                  <c:v>16.801959747929089</c:v>
                </c:pt>
                <c:pt idx="375">
                  <c:v>6.9701517780206697</c:v>
                </c:pt>
                <c:pt idx="376">
                  <c:v>-2.8711087408783076</c:v>
                </c:pt>
                <c:pt idx="377">
                  <c:v>-2.8809546684822815</c:v>
                </c:pt>
                <c:pt idx="378">
                  <c:v>-2.8908006051601789</c:v>
                </c:pt>
                <c:pt idx="379">
                  <c:v>-2.9006465509117527</c:v>
                </c:pt>
                <c:pt idx="380">
                  <c:v>-2.9104925057367566</c:v>
                </c:pt>
                <c:pt idx="381">
                  <c:v>-2.920338469634943</c:v>
                </c:pt>
                <c:pt idx="382">
                  <c:v>-2.9301844426060657</c:v>
                </c:pt>
                <c:pt idx="383">
                  <c:v>-2.9400304246498772</c:v>
                </c:pt>
                <c:pt idx="384">
                  <c:v>-2.949876415766131</c:v>
                </c:pt>
                <c:pt idx="385">
                  <c:v>-2.9597224159545799</c:v>
                </c:pt>
                <c:pt idx="386">
                  <c:v>-2.9695684252149772</c:v>
                </c:pt>
                <c:pt idx="387">
                  <c:v>-2.9794144435470762</c:v>
                </c:pt>
                <c:pt idx="388">
                  <c:v>-2.9892604709506299</c:v>
                </c:pt>
                <c:pt idx="389">
                  <c:v>-2.9991065074253913</c:v>
                </c:pt>
                <c:pt idx="390">
                  <c:v>-3.0089525529711136</c:v>
                </c:pt>
                <c:pt idx="391">
                  <c:v>-3.0187986075875504</c:v>
                </c:pt>
                <c:pt idx="392">
                  <c:v>-3.0286446712744541</c:v>
                </c:pt>
                <c:pt idx="393">
                  <c:v>-3.0384907440315785</c:v>
                </c:pt>
                <c:pt idx="394">
                  <c:v>-3.0483368258586765</c:v>
                </c:pt>
                <c:pt idx="395">
                  <c:v>-3.0581829167555012</c:v>
                </c:pt>
                <c:pt idx="396">
                  <c:v>-3.0680290167218058</c:v>
                </c:pt>
                <c:pt idx="397">
                  <c:v>-3.0778751257573433</c:v>
                </c:pt>
                <c:pt idx="398">
                  <c:v>-3.0877212438618673</c:v>
                </c:pt>
                <c:pt idx="399">
                  <c:v>-3.0975673710351304</c:v>
                </c:pt>
                <c:pt idx="400">
                  <c:v>-3.107413507276886</c:v>
                </c:pt>
                <c:pt idx="401">
                  <c:v>-3.1172596525868879</c:v>
                </c:pt>
                <c:pt idx="402">
                  <c:v>-3.1271058069648885</c:v>
                </c:pt>
                <c:pt idx="403">
                  <c:v>-3.1369519704106414</c:v>
                </c:pt>
                <c:pt idx="404">
                  <c:v>-3.1467981429238998</c:v>
                </c:pt>
                <c:pt idx="405">
                  <c:v>-3.1566443245044167</c:v>
                </c:pt>
                <c:pt idx="406">
                  <c:v>-3.1664905151519451</c:v>
                </c:pt>
                <c:pt idx="407">
                  <c:v>-3.1763367148662387</c:v>
                </c:pt>
                <c:pt idx="408">
                  <c:v>-3.1861829236470505</c:v>
                </c:pt>
                <c:pt idx="409">
                  <c:v>-3.1960291414941335</c:v>
                </c:pt>
                <c:pt idx="410">
                  <c:v>-3.2058753684072414</c:v>
                </c:pt>
                <c:pt idx="411">
                  <c:v>-3.2157216043861272</c:v>
                </c:pt>
                <c:pt idx="412">
                  <c:v>-3.225567849430544</c:v>
                </c:pt>
                <c:pt idx="413">
                  <c:v>-3.2354141035402453</c:v>
                </c:pt>
                <c:pt idx="414">
                  <c:v>-3.2452603667149842</c:v>
                </c:pt>
                <c:pt idx="415">
                  <c:v>-3.2551066389545138</c:v>
                </c:pt>
                <c:pt idx="416">
                  <c:v>-3.2649529202585872</c:v>
                </c:pt>
                <c:pt idx="417">
                  <c:v>-3.2747992106269579</c:v>
                </c:pt>
                <c:pt idx="418">
                  <c:v>-3.2846455100593794</c:v>
                </c:pt>
                <c:pt idx="419">
                  <c:v>-3.2944918185556045</c:v>
                </c:pt>
                <c:pt idx="420">
                  <c:v>-3.3043381361153865</c:v>
                </c:pt>
                <c:pt idx="421">
                  <c:v>-3.3141844627384791</c:v>
                </c:pt>
                <c:pt idx="422">
                  <c:v>-3.3240307984246353</c:v>
                </c:pt>
                <c:pt idx="423">
                  <c:v>-3.3338771431736083</c:v>
                </c:pt>
                <c:pt idx="424">
                  <c:v>-3.3437234969851515</c:v>
                </c:pt>
                <c:pt idx="425">
                  <c:v>-3.353569859859018</c:v>
                </c:pt>
                <c:pt idx="426">
                  <c:v>-3.363416231794961</c:v>
                </c:pt>
                <c:pt idx="427">
                  <c:v>-3.3732626127927339</c:v>
                </c:pt>
                <c:pt idx="428">
                  <c:v>-3.3831090028520903</c:v>
                </c:pt>
                <c:pt idx="429">
                  <c:v>-3.3929554019727828</c:v>
                </c:pt>
                <c:pt idx="430">
                  <c:v>-3.4028018101545654</c:v>
                </c:pt>
                <c:pt idx="431">
                  <c:v>-3.4126482273971912</c:v>
                </c:pt>
                <c:pt idx="432">
                  <c:v>-3.4224946537004133</c:v>
                </c:pt>
                <c:pt idx="433">
                  <c:v>-3.4323410890639852</c:v>
                </c:pt>
                <c:pt idx="434">
                  <c:v>-3.4421875334876599</c:v>
                </c:pt>
                <c:pt idx="435">
                  <c:v>-3.4520339869711911</c:v>
                </c:pt>
                <c:pt idx="436">
                  <c:v>-3.4618804495143318</c:v>
                </c:pt>
                <c:pt idx="437">
                  <c:v>-3.4717269211168356</c:v>
                </c:pt>
                <c:pt idx="438">
                  <c:v>-3.4815734017784554</c:v>
                </c:pt>
                <c:pt idx="439">
                  <c:v>-3.4914198914989449</c:v>
                </c:pt>
                <c:pt idx="440">
                  <c:v>-3.5012663902780576</c:v>
                </c:pt>
                <c:pt idx="441">
                  <c:v>-3.5111128981155466</c:v>
                </c:pt>
                <c:pt idx="442">
                  <c:v>-3.5209594150111654</c:v>
                </c:pt>
                <c:pt idx="443">
                  <c:v>-3.530805940964667</c:v>
                </c:pt>
                <c:pt idx="444">
                  <c:v>-3.5406524759758051</c:v>
                </c:pt>
                <c:pt idx="445">
                  <c:v>-3.5504990200443327</c:v>
                </c:pt>
                <c:pt idx="446">
                  <c:v>-3.5603455731700033</c:v>
                </c:pt>
                <c:pt idx="447">
                  <c:v>-3.5701921353525701</c:v>
                </c:pt>
                <c:pt idx="448">
                  <c:v>-3.5800387065917869</c:v>
                </c:pt>
                <c:pt idx="449">
                  <c:v>-3.5898852868874069</c:v>
                </c:pt>
                <c:pt idx="450">
                  <c:v>-3.5997318762391832</c:v>
                </c:pt>
                <c:pt idx="451">
                  <c:v>-3.6095784746468693</c:v>
                </c:pt>
                <c:pt idx="452">
                  <c:v>-3.6194250821102187</c:v>
                </c:pt>
                <c:pt idx="453">
                  <c:v>-3.6292716986289846</c:v>
                </c:pt>
                <c:pt idx="454">
                  <c:v>-3.6391183242029204</c:v>
                </c:pt>
                <c:pt idx="455">
                  <c:v>-3.6489649588317796</c:v>
                </c:pt>
                <c:pt idx="456">
                  <c:v>-3.6588116025153159</c:v>
                </c:pt>
                <c:pt idx="457">
                  <c:v>-3.6686582552532823</c:v>
                </c:pt>
                <c:pt idx="458">
                  <c:v>-3.6785049170454323</c:v>
                </c:pt>
                <c:pt idx="459">
                  <c:v>-3.688351587891519</c:v>
                </c:pt>
                <c:pt idx="460">
                  <c:v>-3.6981982677912963</c:v>
                </c:pt>
                <c:pt idx="461">
                  <c:v>-3.7080449567445175</c:v>
                </c:pt>
                <c:pt idx="462">
                  <c:v>-3.7178916547509355</c:v>
                </c:pt>
                <c:pt idx="463">
                  <c:v>-3.7277383618103044</c:v>
                </c:pt>
                <c:pt idx="464">
                  <c:v>-3.7375850779223772</c:v>
                </c:pt>
                <c:pt idx="465">
                  <c:v>-3.7474318030869074</c:v>
                </c:pt>
                <c:pt idx="466">
                  <c:v>-3.7572785373036486</c:v>
                </c:pt>
                <c:pt idx="467">
                  <c:v>-3.7671252805723543</c:v>
                </c:pt>
                <c:pt idx="468">
                  <c:v>-3.7769720328927776</c:v>
                </c:pt>
                <c:pt idx="469">
                  <c:v>-3.7868187942646721</c:v>
                </c:pt>
                <c:pt idx="470">
                  <c:v>-3.7966655646877912</c:v>
                </c:pt>
                <c:pt idx="471">
                  <c:v>-3.8065123441618884</c:v>
                </c:pt>
                <c:pt idx="472">
                  <c:v>-3.8163591326867174</c:v>
                </c:pt>
                <c:pt idx="473">
                  <c:v>-3.8262059302620313</c:v>
                </c:pt>
                <c:pt idx="474">
                  <c:v>-3.8360527368875834</c:v>
                </c:pt>
                <c:pt idx="475">
                  <c:v>-3.8458995525631274</c:v>
                </c:pt>
                <c:pt idx="476">
                  <c:v>-3.8557463772884168</c:v>
                </c:pt>
                <c:pt idx="477">
                  <c:v>-3.8655932110632052</c:v>
                </c:pt>
                <c:pt idx="478">
                  <c:v>-3.875440053887246</c:v>
                </c:pt>
                <c:pt idx="479">
                  <c:v>-3.8852869057602928</c:v>
                </c:pt>
                <c:pt idx="480">
                  <c:v>-3.8951337666820987</c:v>
                </c:pt>
                <c:pt idx="481">
                  <c:v>-3.9049806366524171</c:v>
                </c:pt>
                <c:pt idx="482">
                  <c:v>-3.9148275156710022</c:v>
                </c:pt>
                <c:pt idx="483">
                  <c:v>-3.9246744037376069</c:v>
                </c:pt>
                <c:pt idx="484">
                  <c:v>-3.9345213008519848</c:v>
                </c:pt>
                <c:pt idx="485">
                  <c:v>-3.9443682070138895</c:v>
                </c:pt>
                <c:pt idx="486">
                  <c:v>-3.9542151222230744</c:v>
                </c:pt>
                <c:pt idx="487">
                  <c:v>-3.9640620464792931</c:v>
                </c:pt>
                <c:pt idx="488">
                  <c:v>-3.9739089797822991</c:v>
                </c:pt>
                <c:pt idx="489">
                  <c:v>-3.9837559221318459</c:v>
                </c:pt>
                <c:pt idx="490">
                  <c:v>-3.9936028735276872</c:v>
                </c:pt>
                <c:pt idx="491">
                  <c:v>-4.0034498339695759</c:v>
                </c:pt>
                <c:pt idx="492">
                  <c:v>-4.0132968034572665</c:v>
                </c:pt>
                <c:pt idx="493">
                  <c:v>-4.0231437819905116</c:v>
                </c:pt>
                <c:pt idx="494">
                  <c:v>-4.0329907695690652</c:v>
                </c:pt>
                <c:pt idx="495">
                  <c:v>-4.0428377661926804</c:v>
                </c:pt>
                <c:pt idx="496">
                  <c:v>-4.0526847718611112</c:v>
                </c:pt>
                <c:pt idx="497">
                  <c:v>-4.0625317865741115</c:v>
                </c:pt>
                <c:pt idx="498">
                  <c:v>-4.0723788103314345</c:v>
                </c:pt>
                <c:pt idx="499">
                  <c:v>-4.0822258431328331</c:v>
                </c:pt>
                <c:pt idx="500">
                  <c:v>-4.0920728849780614</c:v>
                </c:pt>
                <c:pt idx="501">
                  <c:v>-4.1019199358668734</c:v>
                </c:pt>
                <c:pt idx="502">
                  <c:v>-4.1117669957990222</c:v>
                </c:pt>
                <c:pt idx="503">
                  <c:v>-4.1216140647742616</c:v>
                </c:pt>
                <c:pt idx="504">
                  <c:v>-4.1314611427923449</c:v>
                </c:pt>
                <c:pt idx="505">
                  <c:v>-4.1413082298530259</c:v>
                </c:pt>
                <c:pt idx="506">
                  <c:v>-4.1511553259560579</c:v>
                </c:pt>
                <c:pt idx="507">
                  <c:v>-4.1610024311011946</c:v>
                </c:pt>
                <c:pt idx="508">
                  <c:v>-4.1708495452881893</c:v>
                </c:pt>
                <c:pt idx="509">
                  <c:v>-4.1806966685167959</c:v>
                </c:pt>
                <c:pt idx="510">
                  <c:v>-4.1905438007867684</c:v>
                </c:pt>
                <c:pt idx="511">
                  <c:v>-4.2003909420978598</c:v>
                </c:pt>
                <c:pt idx="512">
                  <c:v>-4.2102380924498233</c:v>
                </c:pt>
                <c:pt idx="513">
                  <c:v>-4.2200852518424137</c:v>
                </c:pt>
                <c:pt idx="514">
                  <c:v>-4.2299324202753841</c:v>
                </c:pt>
                <c:pt idx="515">
                  <c:v>-4.2397795977484876</c:v>
                </c:pt>
                <c:pt idx="516">
                  <c:v>-4.2496267842614781</c:v>
                </c:pt>
                <c:pt idx="517">
                  <c:v>-4.2594739798141097</c:v>
                </c:pt>
                <c:pt idx="518">
                  <c:v>-4.2693211844061354</c:v>
                </c:pt>
                <c:pt idx="519">
                  <c:v>-4.2791683980373092</c:v>
                </c:pt>
                <c:pt idx="520">
                  <c:v>-4.2890156207073842</c:v>
                </c:pt>
                <c:pt idx="521">
                  <c:v>-4.2988628524161152</c:v>
                </c:pt>
                <c:pt idx="522">
                  <c:v>-4.3087100931632545</c:v>
                </c:pt>
                <c:pt idx="523">
                  <c:v>-4.3185573429485569</c:v>
                </c:pt>
                <c:pt idx="524">
                  <c:v>-4.3284046017717754</c:v>
                </c:pt>
                <c:pt idx="525">
                  <c:v>-4.3382518696326633</c:v>
                </c:pt>
                <c:pt idx="526">
                  <c:v>-4.3480991465309753</c:v>
                </c:pt>
                <c:pt idx="527">
                  <c:v>-4.3579464324664636</c:v>
                </c:pt>
                <c:pt idx="528">
                  <c:v>-4.3677937274388832</c:v>
                </c:pt>
                <c:pt idx="529">
                  <c:v>-4.377641031447987</c:v>
                </c:pt>
                <c:pt idx="530">
                  <c:v>-4.3874883444935291</c:v>
                </c:pt>
                <c:pt idx="531">
                  <c:v>-4.3973356665752634</c:v>
                </c:pt>
                <c:pt idx="532">
                  <c:v>-4.4071829976929431</c:v>
                </c:pt>
                <c:pt idx="533">
                  <c:v>-4.417030337846322</c:v>
                </c:pt>
                <c:pt idx="534">
                  <c:v>-4.4268776870351534</c:v>
                </c:pt>
                <c:pt idx="535">
                  <c:v>-4.4367250452591911</c:v>
                </c:pt>
                <c:pt idx="536">
                  <c:v>-4.4465724125181891</c:v>
                </c:pt>
                <c:pt idx="537">
                  <c:v>-4.4564197888119015</c:v>
                </c:pt>
                <c:pt idx="538">
                  <c:v>-4.4662671741400812</c:v>
                </c:pt>
                <c:pt idx="539">
                  <c:v>-4.4761145685024823</c:v>
                </c:pt>
                <c:pt idx="540">
                  <c:v>-4.4859619718988588</c:v>
                </c:pt>
                <c:pt idx="541">
                  <c:v>-4.4958093843289637</c:v>
                </c:pt>
                <c:pt idx="542">
                  <c:v>-4.505656805792551</c:v>
                </c:pt>
                <c:pt idx="543">
                  <c:v>-4.5155042362893747</c:v>
                </c:pt>
                <c:pt idx="544">
                  <c:v>-4.5253516758191878</c:v>
                </c:pt>
                <c:pt idx="545">
                  <c:v>-4.5351991243817453</c:v>
                </c:pt>
                <c:pt idx="546">
                  <c:v>-4.5450465819767993</c:v>
                </c:pt>
                <c:pt idx="547">
                  <c:v>-4.5548940486041047</c:v>
                </c:pt>
                <c:pt idx="548">
                  <c:v>-4.5647415242634155</c:v>
                </c:pt>
                <c:pt idx="549">
                  <c:v>-4.5745890089544847</c:v>
                </c:pt>
                <c:pt idx="550">
                  <c:v>-4.5844365026770655</c:v>
                </c:pt>
                <c:pt idx="551">
                  <c:v>-4.5942840054309126</c:v>
                </c:pt>
                <c:pt idx="552">
                  <c:v>-4.6041315172157793</c:v>
                </c:pt>
                <c:pt idx="553">
                  <c:v>-4.6139790380314203</c:v>
                </c:pt>
                <c:pt idx="554">
                  <c:v>-4.6238265678775878</c:v>
                </c:pt>
                <c:pt idx="555">
                  <c:v>-4.6336741067540368</c:v>
                </c:pt>
                <c:pt idx="556">
                  <c:v>-4.6435216546605202</c:v>
                </c:pt>
                <c:pt idx="557">
                  <c:v>-4.6533692115967931</c:v>
                </c:pt>
                <c:pt idx="558">
                  <c:v>-4.6632167775626074</c:v>
                </c:pt>
                <c:pt idx="559">
                  <c:v>-4.6730643525577182</c:v>
                </c:pt>
                <c:pt idx="560">
                  <c:v>-4.6829119365818794</c:v>
                </c:pt>
                <c:pt idx="561">
                  <c:v>-4.6927595296348441</c:v>
                </c:pt>
                <c:pt idx="562">
                  <c:v>-4.7026071317163662</c:v>
                </c:pt>
                <c:pt idx="563">
                  <c:v>-4.7124547428261998</c:v>
                </c:pt>
                <c:pt idx="564">
                  <c:v>-4.7223023629640988</c:v>
                </c:pt>
                <c:pt idx="565">
                  <c:v>-4.7321499921298162</c:v>
                </c:pt>
                <c:pt idx="566">
                  <c:v>-4.7419976303231062</c:v>
                </c:pt>
                <c:pt idx="567">
                  <c:v>-4.7518452775437225</c:v>
                </c:pt>
                <c:pt idx="568">
                  <c:v>-4.7616929337914193</c:v>
                </c:pt>
                <c:pt idx="569">
                  <c:v>-4.7715405990659505</c:v>
                </c:pt>
                <c:pt idx="570">
                  <c:v>-4.7813882733670692</c:v>
                </c:pt>
                <c:pt idx="571">
                  <c:v>-4.7912359566945302</c:v>
                </c:pt>
                <c:pt idx="572">
                  <c:v>-4.8010836490480866</c:v>
                </c:pt>
                <c:pt idx="573">
                  <c:v>-4.8109313504274924</c:v>
                </c:pt>
                <c:pt idx="574">
                  <c:v>-4.8207790608325016</c:v>
                </c:pt>
                <c:pt idx="575">
                  <c:v>-4.8306267802628682</c:v>
                </c:pt>
                <c:pt idx="576">
                  <c:v>-4.8404745087183452</c:v>
                </c:pt>
                <c:pt idx="577">
                  <c:v>-4.8503222461986875</c:v>
                </c:pt>
                <c:pt idx="578">
                  <c:v>-4.8601699927036481</c:v>
                </c:pt>
                <c:pt idx="579">
                  <c:v>-4.8700177482329812</c:v>
                </c:pt>
                <c:pt idx="580">
                  <c:v>-4.8798655127864405</c:v>
                </c:pt>
                <c:pt idx="581">
                  <c:v>-4.8897132863637802</c:v>
                </c:pt>
                <c:pt idx="582">
                  <c:v>-4.8995610689647542</c:v>
                </c:pt>
                <c:pt idx="583">
                  <c:v>-4.9094088605891155</c:v>
                </c:pt>
                <c:pt idx="584">
                  <c:v>-4.9192566612366191</c:v>
                </c:pt>
                <c:pt idx="585">
                  <c:v>-4.929104470907018</c:v>
                </c:pt>
                <c:pt idx="586">
                  <c:v>-4.938952289600067</c:v>
                </c:pt>
                <c:pt idx="587">
                  <c:v>-4.9488001173155194</c:v>
                </c:pt>
                <c:pt idx="588">
                  <c:v>-4.958647954053129</c:v>
                </c:pt>
                <c:pt idx="589">
                  <c:v>-4.9684957998126498</c:v>
                </c:pt>
                <c:pt idx="590">
                  <c:v>-4.9783436545938358</c:v>
                </c:pt>
                <c:pt idx="591">
                  <c:v>-4.9881915183964409</c:v>
                </c:pt>
                <c:pt idx="592">
                  <c:v>-4.9980393912202183</c:v>
                </c:pt>
                <c:pt idx="593">
                  <c:v>-5.0078872730649229</c:v>
                </c:pt>
                <c:pt idx="594">
                  <c:v>-5.0177351639303085</c:v>
                </c:pt>
                <c:pt idx="595">
                  <c:v>-5.0275830638161283</c:v>
                </c:pt>
                <c:pt idx="596">
                  <c:v>-5.0374309727221371</c:v>
                </c:pt>
                <c:pt idx="597">
                  <c:v>-5.0472788906480881</c:v>
                </c:pt>
                <c:pt idx="598">
                  <c:v>-5.0571268175937352</c:v>
                </c:pt>
                <c:pt idx="599">
                  <c:v>-5.0669747535588332</c:v>
                </c:pt>
                <c:pt idx="600">
                  <c:v>-5.0768226985431353</c:v>
                </c:pt>
                <c:pt idx="601">
                  <c:v>-5.0866706525463954</c:v>
                </c:pt>
                <c:pt idx="602">
                  <c:v>-5.0965186155683675</c:v>
                </c:pt>
                <c:pt idx="603">
                  <c:v>-5.1063665876088056</c:v>
                </c:pt>
                <c:pt idx="604">
                  <c:v>-5.1162145686674636</c:v>
                </c:pt>
                <c:pt idx="605">
                  <c:v>-5.1260625587440956</c:v>
                </c:pt>
                <c:pt idx="606">
                  <c:v>-5.1359105578384554</c:v>
                </c:pt>
                <c:pt idx="607">
                  <c:v>-5.1457585659502971</c:v>
                </c:pt>
                <c:pt idx="608">
                  <c:v>-5.1556065830793747</c:v>
                </c:pt>
                <c:pt idx="609">
                  <c:v>-5.1654546092254421</c:v>
                </c:pt>
                <c:pt idx="610">
                  <c:v>-5.1753026443882533</c:v>
                </c:pt>
                <c:pt idx="611">
                  <c:v>-5.1851506885675622</c:v>
                </c:pt>
                <c:pt idx="612">
                  <c:v>-5.1949987417631229</c:v>
                </c:pt>
                <c:pt idx="613">
                  <c:v>-5.2048468039746894</c:v>
                </c:pt>
                <c:pt idx="614">
                  <c:v>-5.2146948752020155</c:v>
                </c:pt>
                <c:pt idx="615">
                  <c:v>-5.2245429554448553</c:v>
                </c:pt>
                <c:pt idx="616">
                  <c:v>-5.2343910447029627</c:v>
                </c:pt>
                <c:pt idx="617">
                  <c:v>-5.2442391429760917</c:v>
                </c:pt>
                <c:pt idx="618">
                  <c:v>-5.2540872502639964</c:v>
                </c:pt>
                <c:pt idx="619">
                  <c:v>-5.2639353665664306</c:v>
                </c:pt>
                <c:pt idx="620">
                  <c:v>-5.2737834918831483</c:v>
                </c:pt>
                <c:pt idx="621">
                  <c:v>-5.2836316262139045</c:v>
                </c:pt>
                <c:pt idx="622">
                  <c:v>-5.2934797695584521</c:v>
                </c:pt>
                <c:pt idx="623">
                  <c:v>-5.3033279219165452</c:v>
                </c:pt>
                <c:pt idx="624">
                  <c:v>-5.3131760832879378</c:v>
                </c:pt>
                <c:pt idx="625">
                  <c:v>-5.3230242536723846</c:v>
                </c:pt>
                <c:pt idx="626">
                  <c:v>-5.3328724330696389</c:v>
                </c:pt>
                <c:pt idx="627">
                  <c:v>-5.3427206214794554</c:v>
                </c:pt>
                <c:pt idx="628">
                  <c:v>-5.3525688189015872</c:v>
                </c:pt>
                <c:pt idx="629">
                  <c:v>-5.3624170253357892</c:v>
                </c:pt>
                <c:pt idx="630">
                  <c:v>-5.3722652407818146</c:v>
                </c:pt>
                <c:pt idx="631">
                  <c:v>-5.382113465239418</c:v>
                </c:pt>
                <c:pt idx="632">
                  <c:v>-5.3919616987083536</c:v>
                </c:pt>
                <c:pt idx="633">
                  <c:v>-5.4018099411883753</c:v>
                </c:pt>
                <c:pt idx="634">
                  <c:v>-5.4116581926792371</c:v>
                </c:pt>
                <c:pt idx="635">
                  <c:v>-5.4215064531806929</c:v>
                </c:pt>
                <c:pt idx="636">
                  <c:v>-5.4313547226924968</c:v>
                </c:pt>
                <c:pt idx="637">
                  <c:v>-5.4412030012144035</c:v>
                </c:pt>
                <c:pt idx="638">
                  <c:v>-5.4510512887461662</c:v>
                </c:pt>
                <c:pt idx="639">
                  <c:v>-5.4608995852875397</c:v>
                </c:pt>
                <c:pt idx="640">
                  <c:v>-5.4707478908382781</c:v>
                </c:pt>
                <c:pt idx="641">
                  <c:v>-5.4805962053981343</c:v>
                </c:pt>
                <c:pt idx="642">
                  <c:v>-5.4904445289668633</c:v>
                </c:pt>
                <c:pt idx="643">
                  <c:v>-5.500292861544219</c:v>
                </c:pt>
                <c:pt idx="644">
                  <c:v>-5.5101412031299564</c:v>
                </c:pt>
                <c:pt idx="645">
                  <c:v>-5.5199895537238284</c:v>
                </c:pt>
                <c:pt idx="646">
                  <c:v>-5.529837913325589</c:v>
                </c:pt>
                <c:pt idx="647">
                  <c:v>-5.5396862819349932</c:v>
                </c:pt>
                <c:pt idx="648">
                  <c:v>-5.5495346595517949</c:v>
                </c:pt>
                <c:pt idx="649">
                  <c:v>-5.5593830461757481</c:v>
                </c:pt>
                <c:pt idx="650">
                  <c:v>-5.5692314418066067</c:v>
                </c:pt>
                <c:pt idx="651">
                  <c:v>-5.5790798464441247</c:v>
                </c:pt>
                <c:pt idx="652">
                  <c:v>-5.588928260088057</c:v>
                </c:pt>
                <c:pt idx="653">
                  <c:v>-5.5987766827381567</c:v>
                </c:pt>
                <c:pt idx="654">
                  <c:v>-5.6086251143941785</c:v>
                </c:pt>
                <c:pt idx="655">
                  <c:v>-5.6184735550558766</c:v>
                </c:pt>
                <c:pt idx="656">
                  <c:v>-5.6283220047230049</c:v>
                </c:pt>
                <c:pt idx="657">
                  <c:v>-5.6381704633953182</c:v>
                </c:pt>
                <c:pt idx="658">
                  <c:v>-5.6480189310725697</c:v>
                </c:pt>
                <c:pt idx="659">
                  <c:v>-5.6578674077545141</c:v>
                </c:pt>
                <c:pt idx="660">
                  <c:v>-5.6677158934409055</c:v>
                </c:pt>
                <c:pt idx="661">
                  <c:v>-5.6775643881314979</c:v>
                </c:pt>
                <c:pt idx="662">
                  <c:v>-5.687412891826046</c:v>
                </c:pt>
                <c:pt idx="663">
                  <c:v>-5.6972614045243031</c:v>
                </c:pt>
                <c:pt idx="664">
                  <c:v>-5.7071099262260239</c:v>
                </c:pt>
                <c:pt idx="665">
                  <c:v>-5.7169584569309624</c:v>
                </c:pt>
                <c:pt idx="666">
                  <c:v>-5.7268069966388726</c:v>
                </c:pt>
                <c:pt idx="667">
                  <c:v>-5.7366555453495094</c:v>
                </c:pt>
                <c:pt idx="668">
                  <c:v>-5.7465041030626267</c:v>
                </c:pt>
                <c:pt idx="669">
                  <c:v>-5.7563526697779785</c:v>
                </c:pt>
                <c:pt idx="670">
                  <c:v>-5.7662012454953189</c:v>
                </c:pt>
                <c:pt idx="671">
                  <c:v>-5.7760498302144017</c:v>
                </c:pt>
                <c:pt idx="672">
                  <c:v>-5.7858984239349818</c:v>
                </c:pt>
                <c:pt idx="673">
                  <c:v>-5.7957470266568132</c:v>
                </c:pt>
                <c:pt idx="674">
                  <c:v>-5.8055956383796499</c:v>
                </c:pt>
                <c:pt idx="675">
                  <c:v>-5.8154442591032467</c:v>
                </c:pt>
                <c:pt idx="676">
                  <c:v>-5.8252928888273567</c:v>
                </c:pt>
                <c:pt idx="677">
                  <c:v>-5.8351415275517358</c:v>
                </c:pt>
                <c:pt idx="678">
                  <c:v>-5.8449901752761368</c:v>
                </c:pt>
                <c:pt idx="679">
                  <c:v>-5.854838832000314</c:v>
                </c:pt>
                <c:pt idx="680">
                  <c:v>-5.864687497724022</c:v>
                </c:pt>
                <c:pt idx="681">
                  <c:v>-5.8745361724470158</c:v>
                </c:pt>
                <c:pt idx="682">
                  <c:v>-5.8843848561690484</c:v>
                </c:pt>
                <c:pt idx="683">
                  <c:v>-5.8942335488898747</c:v>
                </c:pt>
                <c:pt idx="684">
                  <c:v>-5.9040822506092487</c:v>
                </c:pt>
                <c:pt idx="685">
                  <c:v>-5.9139309613269244</c:v>
                </c:pt>
                <c:pt idx="686">
                  <c:v>-5.9237796810426566</c:v>
                </c:pt>
                <c:pt idx="687">
                  <c:v>-5.9336284097561993</c:v>
                </c:pt>
                <c:pt idx="688">
                  <c:v>-5.9434771474673074</c:v>
                </c:pt>
                <c:pt idx="689">
                  <c:v>-5.9533258941757339</c:v>
                </c:pt>
                <c:pt idx="690">
                  <c:v>-5.9631746498812337</c:v>
                </c:pt>
                <c:pt idx="691">
                  <c:v>-5.9730234145835617</c:v>
                </c:pt>
                <c:pt idx="692">
                  <c:v>-5.9828721882824709</c:v>
                </c:pt>
                <c:pt idx="693">
                  <c:v>-5.9927209709777163</c:v>
                </c:pt>
                <c:pt idx="694">
                  <c:v>-6.0025697626690526</c:v>
                </c:pt>
                <c:pt idx="695">
                  <c:v>-6.012418563356233</c:v>
                </c:pt>
                <c:pt idx="696">
                  <c:v>-6.0222673730390124</c:v>
                </c:pt>
                <c:pt idx="697">
                  <c:v>-6.0321161917171455</c:v>
                </c:pt>
                <c:pt idx="698">
                  <c:v>-6.0419650193903864</c:v>
                </c:pt>
                <c:pt idx="699">
                  <c:v>-6.0518138560584891</c:v>
                </c:pt>
                <c:pt idx="700">
                  <c:v>-6.0616627017212075</c:v>
                </c:pt>
                <c:pt idx="701">
                  <c:v>-6.0715115563782964</c:v>
                </c:pt>
                <c:pt idx="702">
                  <c:v>-6.0813604200295108</c:v>
                </c:pt>
                <c:pt idx="703">
                  <c:v>-6.0912092926746038</c:v>
                </c:pt>
                <c:pt idx="704">
                  <c:v>-6.1010581743133301</c:v>
                </c:pt>
                <c:pt idx="705">
                  <c:v>-6.1109070649454447</c:v>
                </c:pt>
                <c:pt idx="706">
                  <c:v>-6.1207559645707015</c:v>
                </c:pt>
                <c:pt idx="707">
                  <c:v>-6.1306048731888545</c:v>
                </c:pt>
                <c:pt idx="708">
                  <c:v>-6.1404537907996586</c:v>
                </c:pt>
                <c:pt idx="709">
                  <c:v>-6.1503027174028677</c:v>
                </c:pt>
                <c:pt idx="710">
                  <c:v>-6.1601516529982359</c:v>
                </c:pt>
                <c:pt idx="711">
                  <c:v>-6.1700005975855179</c:v>
                </c:pt>
                <c:pt idx="712">
                  <c:v>-6.1798495511644678</c:v>
                </c:pt>
                <c:pt idx="713">
                  <c:v>-6.1896985137348404</c:v>
                </c:pt>
                <c:pt idx="714">
                  <c:v>-6.1995474852963897</c:v>
                </c:pt>
                <c:pt idx="715">
                  <c:v>-6.2093964658488705</c:v>
                </c:pt>
                <c:pt idx="716">
                  <c:v>-6.2192454553920369</c:v>
                </c:pt>
                <c:pt idx="717">
                  <c:v>-6.2290944539256428</c:v>
                </c:pt>
                <c:pt idx="718">
                  <c:v>-6.238943461449443</c:v>
                </c:pt>
                <c:pt idx="719">
                  <c:v>-6.2487924779631925</c:v>
                </c:pt>
                <c:pt idx="720">
                  <c:v>-6.2586415034666452</c:v>
                </c:pt>
                <c:pt idx="721">
                  <c:v>-6.268490537959555</c:v>
                </c:pt>
                <c:pt idx="722">
                  <c:v>-6.2783395814416769</c:v>
                </c:pt>
                <c:pt idx="723">
                  <c:v>-6.2881886339127648</c:v>
                </c:pt>
                <c:pt idx="724">
                  <c:v>-6.2980376953725736</c:v>
                </c:pt>
                <c:pt idx="725">
                  <c:v>-6.3078867658208573</c:v>
                </c:pt>
                <c:pt idx="726">
                  <c:v>-6.3177358452573706</c:v>
                </c:pt>
                <c:pt idx="727">
                  <c:v>-6.3275849336818677</c:v>
                </c:pt>
                <c:pt idx="728">
                  <c:v>-6.3374340310941024</c:v>
                </c:pt>
                <c:pt idx="729">
                  <c:v>-6.3472831374938306</c:v>
                </c:pt>
                <c:pt idx="730">
                  <c:v>-6.3571322528808052</c:v>
                </c:pt>
                <c:pt idx="731">
                  <c:v>-6.3669813772547812</c:v>
                </c:pt>
                <c:pt idx="732">
                  <c:v>-6.3768305106155134</c:v>
                </c:pt>
                <c:pt idx="733">
                  <c:v>-6.3866796529627559</c:v>
                </c:pt>
                <c:pt idx="734">
                  <c:v>-6.3965288042962634</c:v>
                </c:pt>
                <c:pt idx="735">
                  <c:v>-6.4063779646157899</c:v>
                </c:pt>
                <c:pt idx="736">
                  <c:v>-6.4162271339210903</c:v>
                </c:pt>
                <c:pt idx="737">
                  <c:v>-6.4260763122119187</c:v>
                </c:pt>
                <c:pt idx="738">
                  <c:v>-6.4359254994880297</c:v>
                </c:pt>
                <c:pt idx="739">
                  <c:v>-6.4457746957491775</c:v>
                </c:pt>
                <c:pt idx="740">
                  <c:v>-6.4556239009951168</c:v>
                </c:pt>
                <c:pt idx="741">
                  <c:v>-6.4654731152256018</c:v>
                </c:pt>
                <c:pt idx="742">
                  <c:v>-6.4753223384403871</c:v>
                </c:pt>
                <c:pt idx="743">
                  <c:v>-6.4851715706392277</c:v>
                </c:pt>
                <c:pt idx="744">
                  <c:v>-6.4950208118218775</c:v>
                </c:pt>
                <c:pt idx="745">
                  <c:v>-6.5048700619880906</c:v>
                </c:pt>
                <c:pt idx="746">
                  <c:v>-6.5147193211376226</c:v>
                </c:pt>
                <c:pt idx="747">
                  <c:v>-6.5245685892702268</c:v>
                </c:pt>
                <c:pt idx="748">
                  <c:v>-6.5344178663856587</c:v>
                </c:pt>
                <c:pt idx="749">
                  <c:v>-6.5442671524836724</c:v>
                </c:pt>
                <c:pt idx="750">
                  <c:v>-6.5541164475640219</c:v>
                </c:pt>
                <c:pt idx="751">
                  <c:v>-6.563965751626462</c:v>
                </c:pt>
                <c:pt idx="752">
                  <c:v>-6.5738150646707476</c:v>
                </c:pt>
                <c:pt idx="753">
                  <c:v>-6.5836643866966327</c:v>
                </c:pt>
                <c:pt idx="754">
                  <c:v>-6.5935137177038721</c:v>
                </c:pt>
                <c:pt idx="755">
                  <c:v>-6.6033630576922198</c:v>
                </c:pt>
                <c:pt idx="756">
                  <c:v>-6.6132124066614306</c:v>
                </c:pt>
                <c:pt idx="757">
                  <c:v>-6.6230617646112595</c:v>
                </c:pt>
                <c:pt idx="758">
                  <c:v>-6.6329111315414604</c:v>
                </c:pt>
                <c:pt idx="759">
                  <c:v>-6.6427605074517881</c:v>
                </c:pt>
                <c:pt idx="760">
                  <c:v>-6.6526098923419976</c:v>
                </c:pt>
                <c:pt idx="761">
                  <c:v>-6.6624592862118428</c:v>
                </c:pt>
                <c:pt idx="762">
                  <c:v>-6.6723086890610785</c:v>
                </c:pt>
                <c:pt idx="763">
                  <c:v>-6.6821581008894588</c:v>
                </c:pt>
                <c:pt idx="764">
                  <c:v>-6.6920075216967385</c:v>
                </c:pt>
                <c:pt idx="765">
                  <c:v>-6.7018569514826725</c:v>
                </c:pt>
                <c:pt idx="766">
                  <c:v>-6.7117063902470147</c:v>
                </c:pt>
                <c:pt idx="767">
                  <c:v>-6.7215558379895199</c:v>
                </c:pt>
                <c:pt idx="768">
                  <c:v>-6.7314052947099432</c:v>
                </c:pt>
                <c:pt idx="769">
                  <c:v>-6.7412547604080384</c:v>
                </c:pt>
                <c:pt idx="770">
                  <c:v>-6.7511042350835604</c:v>
                </c:pt>
                <c:pt idx="771">
                  <c:v>-6.7609537187362641</c:v>
                </c:pt>
                <c:pt idx="772">
                  <c:v>-6.7708032113659034</c:v>
                </c:pt>
                <c:pt idx="773">
                  <c:v>-6.7806527129722332</c:v>
                </c:pt>
                <c:pt idx="774">
                  <c:v>-6.7905022235550083</c:v>
                </c:pt>
                <c:pt idx="775">
                  <c:v>-6.8003517431139828</c:v>
                </c:pt>
                <c:pt idx="776">
                  <c:v>-6.8102012716489115</c:v>
                </c:pt>
                <c:pt idx="777">
                  <c:v>-6.8200508091595493</c:v>
                </c:pt>
                <c:pt idx="778">
                  <c:v>-6.829900355645651</c:v>
                </c:pt>
                <c:pt idx="779">
                  <c:v>-6.8397499111069706</c:v>
                </c:pt>
                <c:pt idx="780">
                  <c:v>-6.849599475543263</c:v>
                </c:pt>
                <c:pt idx="781">
                  <c:v>-6.8594490489542821</c:v>
                </c:pt>
                <c:pt idx="782">
                  <c:v>-6.8692986313397837</c:v>
                </c:pt>
                <c:pt idx="783">
                  <c:v>-6.8791482226995218</c:v>
                </c:pt>
                <c:pt idx="784">
                  <c:v>-6.8889978230332503</c:v>
                </c:pt>
                <c:pt idx="785">
                  <c:v>-6.8988474323407249</c:v>
                </c:pt>
                <c:pt idx="786">
                  <c:v>-6.9086970506216998</c:v>
                </c:pt>
                <c:pt idx="787">
                  <c:v>-6.9185466778759297</c:v>
                </c:pt>
                <c:pt idx="788">
                  <c:v>-6.9283963141031695</c:v>
                </c:pt>
                <c:pt idx="789">
                  <c:v>-6.9382459593031731</c:v>
                </c:pt>
                <c:pt idx="790">
                  <c:v>-6.9480956134756964</c:v>
                </c:pt>
                <c:pt idx="791">
                  <c:v>-6.9579452766204923</c:v>
                </c:pt>
                <c:pt idx="792">
                  <c:v>-6.9677949487373168</c:v>
                </c:pt>
                <c:pt idx="793">
                  <c:v>-6.9776446298259245</c:v>
                </c:pt>
                <c:pt idx="794">
                  <c:v>-6.9874943198860695</c:v>
                </c:pt>
                <c:pt idx="795">
                  <c:v>-6.9973440189175067</c:v>
                </c:pt>
                <c:pt idx="796">
                  <c:v>-7.0071937269199909</c:v>
                </c:pt>
                <c:pt idx="797">
                  <c:v>-7.0170434438932761</c:v>
                </c:pt>
                <c:pt idx="798">
                  <c:v>-7.026893169837118</c:v>
                </c:pt>
                <c:pt idx="799">
                  <c:v>-7.0367429047512706</c:v>
                </c:pt>
                <c:pt idx="800">
                  <c:v>-7.0465926486354888</c:v>
                </c:pt>
                <c:pt idx="801">
                  <c:v>-7.0564424014895266</c:v>
                </c:pt>
                <c:pt idx="802">
                  <c:v>-7.0662921633131397</c:v>
                </c:pt>
                <c:pt idx="803">
                  <c:v>-7.0761419341060821</c:v>
                </c:pt>
                <c:pt idx="804">
                  <c:v>-7.0859917138681086</c:v>
                </c:pt>
                <c:pt idx="805">
                  <c:v>-7.0958415025989741</c:v>
                </c:pt>
                <c:pt idx="806">
                  <c:v>-7.1056913002984334</c:v>
                </c:pt>
                <c:pt idx="807">
                  <c:v>-7.1155411069662415</c:v>
                </c:pt>
                <c:pt idx="808">
                  <c:v>-7.1253909226021523</c:v>
                </c:pt>
                <c:pt idx="809">
                  <c:v>-7.1352407472059207</c:v>
                </c:pt>
                <c:pt idx="810">
                  <c:v>-7.1450905807773015</c:v>
                </c:pt>
                <c:pt idx="811">
                  <c:v>-7.1549404233160496</c:v>
                </c:pt>
                <c:pt idx="812">
                  <c:v>-7.1647902748219199</c:v>
                </c:pt>
                <c:pt idx="813">
                  <c:v>-7.1746401352946672</c:v>
                </c:pt>
                <c:pt idx="814">
                  <c:v>-7.1844900047340454</c:v>
                </c:pt>
                <c:pt idx="815">
                  <c:v>-7.1943398831398095</c:v>
                </c:pt>
                <c:pt idx="816">
                  <c:v>-7.2041897705117153</c:v>
                </c:pt>
                <c:pt idx="817">
                  <c:v>-7.2140396668495166</c:v>
                </c:pt>
                <c:pt idx="818">
                  <c:v>-7.2238895721529683</c:v>
                </c:pt>
                <c:pt idx="819">
                  <c:v>-7.2337394864218245</c:v>
                </c:pt>
                <c:pt idx="820">
                  <c:v>-7.2435894096558409</c:v>
                </c:pt>
                <c:pt idx="821">
                  <c:v>-7.2534393418547722</c:v>
                </c:pt>
                <c:pt idx="822">
                  <c:v>-7.2632892830183726</c:v>
                </c:pt>
                <c:pt idx="823">
                  <c:v>-7.2731392331463969</c:v>
                </c:pt>
                <c:pt idx="824">
                  <c:v>-7.2829891922385999</c:v>
                </c:pt>
                <c:pt idx="825">
                  <c:v>-7.2928391602947373</c:v>
                </c:pt>
                <c:pt idx="826">
                  <c:v>-7.3026891373145633</c:v>
                </c:pt>
                <c:pt idx="827">
                  <c:v>-7.3125391232978316</c:v>
                </c:pt>
                <c:pt idx="828">
                  <c:v>-7.3223891182442982</c:v>
                </c:pt>
                <c:pt idx="829">
                  <c:v>-7.3322391221537178</c:v>
                </c:pt>
                <c:pt idx="830">
                  <c:v>-7.3420891350258453</c:v>
                </c:pt>
                <c:pt idx="831">
                  <c:v>-7.3519391568604346</c:v>
                </c:pt>
                <c:pt idx="832">
                  <c:v>-7.3617891876572417</c:v>
                </c:pt>
                <c:pt idx="833">
                  <c:v>-7.3716392274160203</c:v>
                </c:pt>
                <c:pt idx="834">
                  <c:v>-7.3814892761365254</c:v>
                </c:pt>
                <c:pt idx="835">
                  <c:v>-7.3913393338185127</c:v>
                </c:pt>
                <c:pt idx="836">
                  <c:v>-7.4011894004617362</c:v>
                </c:pt>
                <c:pt idx="837">
                  <c:v>-7.4110394760659508</c:v>
                </c:pt>
                <c:pt idx="838">
                  <c:v>-7.4208895606309113</c:v>
                </c:pt>
                <c:pt idx="839">
                  <c:v>-7.4307396541563726</c:v>
                </c:pt>
                <c:pt idx="840">
                  <c:v>-7.4405897566420904</c:v>
                </c:pt>
                <c:pt idx="841">
                  <c:v>-7.4504398680878188</c:v>
                </c:pt>
                <c:pt idx="842">
                  <c:v>-7.4602899884933125</c:v>
                </c:pt>
                <c:pt idx="843">
                  <c:v>-7.4701401178583255</c:v>
                </c:pt>
                <c:pt idx="844">
                  <c:v>-7.4799902561826137</c:v>
                </c:pt>
                <c:pt idx="845">
                  <c:v>-7.4898404034659318</c:v>
                </c:pt>
                <c:pt idx="846">
                  <c:v>-7.4996905597080348</c:v>
                </c:pt>
                <c:pt idx="847">
                  <c:v>-7.5095407249086774</c:v>
                </c:pt>
                <c:pt idx="848">
                  <c:v>-7.5193908990676146</c:v>
                </c:pt>
                <c:pt idx="849">
                  <c:v>-7.5292410821846012</c:v>
                </c:pt>
                <c:pt idx="850">
                  <c:v>-7.5390912742593921</c:v>
                </c:pt>
                <c:pt idx="851">
                  <c:v>-7.5489414752917421</c:v>
                </c:pt>
                <c:pt idx="852">
                  <c:v>-7.5587916852814061</c:v>
                </c:pt>
                <c:pt idx="853">
                  <c:v>-7.5686419042281381</c:v>
                </c:pt>
                <c:pt idx="854">
                  <c:v>-7.5784921321316938</c:v>
                </c:pt>
                <c:pt idx="855">
                  <c:v>-7.5883423689918281</c:v>
                </c:pt>
                <c:pt idx="856">
                  <c:v>-7.5981926148082959</c:v>
                </c:pt>
                <c:pt idx="857">
                  <c:v>-7.608042869580852</c:v>
                </c:pt>
                <c:pt idx="858">
                  <c:v>-7.6178931333092512</c:v>
                </c:pt>
                <c:pt idx="859">
                  <c:v>-7.6277434059932494</c:v>
                </c:pt>
                <c:pt idx="860">
                  <c:v>-7.6375936876326005</c:v>
                </c:pt>
                <c:pt idx="861">
                  <c:v>-7.6474439782270593</c:v>
                </c:pt>
                <c:pt idx="862">
                  <c:v>-7.6572942777763808</c:v>
                </c:pt>
                <c:pt idx="863">
                  <c:v>-7.6671445862803198</c:v>
                </c:pt>
                <c:pt idx="864">
                  <c:v>-7.676994903738632</c:v>
                </c:pt>
                <c:pt idx="865">
                  <c:v>-7.6868452301510715</c:v>
                </c:pt>
                <c:pt idx="866">
                  <c:v>-7.6966955655173939</c:v>
                </c:pt>
                <c:pt idx="867">
                  <c:v>-7.7065459098373532</c:v>
                </c:pt>
                <c:pt idx="868">
                  <c:v>-7.7163962631107053</c:v>
                </c:pt>
                <c:pt idx="869">
                  <c:v>-7.7262466253372049</c:v>
                </c:pt>
                <c:pt idx="870">
                  <c:v>-7.736096996516606</c:v>
                </c:pt>
                <c:pt idx="871">
                  <c:v>-7.7459473766486644</c:v>
                </c:pt>
                <c:pt idx="872">
                  <c:v>-7.755797765733135</c:v>
                </c:pt>
                <c:pt idx="873">
                  <c:v>-7.7656481637697725</c:v>
                </c:pt>
                <c:pt idx="874">
                  <c:v>-7.7754985707583328</c:v>
                </c:pt>
                <c:pt idx="875">
                  <c:v>-7.7853489866985699</c:v>
                </c:pt>
                <c:pt idx="876">
                  <c:v>-7.7951994115902385</c:v>
                </c:pt>
                <c:pt idx="877">
                  <c:v>-7.8050498454330945</c:v>
                </c:pt>
                <c:pt idx="878">
                  <c:v>-7.8149002882268928</c:v>
                </c:pt>
                <c:pt idx="879">
                  <c:v>-7.8247507399713871</c:v>
                </c:pt>
                <c:pt idx="880">
                  <c:v>-7.8346012006663335</c:v>
                </c:pt>
                <c:pt idx="881">
                  <c:v>-7.8444516703114866</c:v>
                </c:pt>
                <c:pt idx="882">
                  <c:v>-7.8543021489066014</c:v>
                </c:pt>
                <c:pt idx="883">
                  <c:v>-7.8641526364514336</c:v>
                </c:pt>
                <c:pt idx="884">
                  <c:v>-7.8740031329457372</c:v>
                </c:pt>
                <c:pt idx="885">
                  <c:v>-7.8838536383892679</c:v>
                </c:pt>
                <c:pt idx="886">
                  <c:v>-7.8937041527817806</c:v>
                </c:pt>
                <c:pt idx="887">
                  <c:v>-7.9035546761230293</c:v>
                </c:pt>
                <c:pt idx="888">
                  <c:v>-7.9134052084127706</c:v>
                </c:pt>
                <c:pt idx="889">
                  <c:v>-7.9232557496507585</c:v>
                </c:pt>
                <c:pt idx="890">
                  <c:v>-7.9331062998367479</c:v>
                </c:pt>
                <c:pt idx="891">
                  <c:v>-7.9429568589704944</c:v>
                </c:pt>
                <c:pt idx="892">
                  <c:v>-7.952807427051753</c:v>
                </c:pt>
                <c:pt idx="893">
                  <c:v>-7.9626580040802777</c:v>
                </c:pt>
                <c:pt idx="894">
                  <c:v>-7.972508590055825</c:v>
                </c:pt>
                <c:pt idx="895">
                  <c:v>-7.982359184978149</c:v>
                </c:pt>
                <c:pt idx="896">
                  <c:v>-7.9922097888470045</c:v>
                </c:pt>
                <c:pt idx="897">
                  <c:v>-8.0020604016621473</c:v>
                </c:pt>
                <c:pt idx="898">
                  <c:v>-8.0119110234233322</c:v>
                </c:pt>
                <c:pt idx="899">
                  <c:v>-8.0217616541303141</c:v>
                </c:pt>
                <c:pt idx="900">
                  <c:v>-8.0316122937828478</c:v>
                </c:pt>
                <c:pt idx="901">
                  <c:v>-8.04146294238069</c:v>
                </c:pt>
                <c:pt idx="902">
                  <c:v>-8.0513135999235939</c:v>
                </c:pt>
                <c:pt idx="903">
                  <c:v>-8.0611642664113141</c:v>
                </c:pt>
                <c:pt idx="904">
                  <c:v>-8.0710149418436075</c:v>
                </c:pt>
                <c:pt idx="905">
                  <c:v>-8.0808656262202287</c:v>
                </c:pt>
                <c:pt idx="906">
                  <c:v>-8.0907163195409328</c:v>
                </c:pt>
                <c:pt idx="907">
                  <c:v>-8.1005670218054746</c:v>
                </c:pt>
                <c:pt idx="908">
                  <c:v>-8.1104177330136089</c:v>
                </c:pt>
                <c:pt idx="909">
                  <c:v>-8.1202684531650906</c:v>
                </c:pt>
                <c:pt idx="910">
                  <c:v>-8.1301191822596746</c:v>
                </c:pt>
                <c:pt idx="911">
                  <c:v>-8.1399699202971174</c:v>
                </c:pt>
                <c:pt idx="912">
                  <c:v>-8.1498206672771722</c:v>
                </c:pt>
                <c:pt idx="913">
                  <c:v>-8.1596714231995957</c:v>
                </c:pt>
                <c:pt idx="914">
                  <c:v>-8.1695221880641427</c:v>
                </c:pt>
                <c:pt idx="915">
                  <c:v>-8.1793729618705679</c:v>
                </c:pt>
                <c:pt idx="916">
                  <c:v>-8.1892237446186265</c:v>
                </c:pt>
                <c:pt idx="917">
                  <c:v>-8.199074536308073</c:v>
                </c:pt>
                <c:pt idx="918">
                  <c:v>-8.2089253369386643</c:v>
                </c:pt>
                <c:pt idx="919">
                  <c:v>-8.2187761465101552</c:v>
                </c:pt>
                <c:pt idx="920">
                  <c:v>-8.2286269650222987</c:v>
                </c:pt>
                <c:pt idx="921">
                  <c:v>-8.2384777924748516</c:v>
                </c:pt>
                <c:pt idx="922">
                  <c:v>-8.2483286288675686</c:v>
                </c:pt>
                <c:pt idx="923">
                  <c:v>-8.2581794742002046</c:v>
                </c:pt>
                <c:pt idx="924">
                  <c:v>-8.2680303284725163</c:v>
                </c:pt>
                <c:pt idx="925">
                  <c:v>-8.2778811916842567</c:v>
                </c:pt>
                <c:pt idx="926">
                  <c:v>-8.2877320638351826</c:v>
                </c:pt>
                <c:pt idx="927">
                  <c:v>-8.2975829449250487</c:v>
                </c:pt>
                <c:pt idx="928">
                  <c:v>-8.3074338349536099</c:v>
                </c:pt>
                <c:pt idx="929">
                  <c:v>-8.3172847339206211</c:v>
                </c:pt>
                <c:pt idx="930">
                  <c:v>-8.3271356418258371</c:v>
                </c:pt>
                <c:pt idx="931">
                  <c:v>-8.3369865586690146</c:v>
                </c:pt>
                <c:pt idx="932">
                  <c:v>-8.3468374844499067</c:v>
                </c:pt>
                <c:pt idx="933">
                  <c:v>-8.35668841916827</c:v>
                </c:pt>
                <c:pt idx="934">
                  <c:v>-8.3665393628238593</c:v>
                </c:pt>
                <c:pt idx="935">
                  <c:v>-8.3763903154164296</c:v>
                </c:pt>
                <c:pt idx="936">
                  <c:v>-8.3862412769457375</c:v>
                </c:pt>
                <c:pt idx="937">
                  <c:v>-8.396092247411536</c:v>
                </c:pt>
                <c:pt idx="938">
                  <c:v>-8.4059432268135819</c:v>
                </c:pt>
                <c:pt idx="939">
                  <c:v>-8.4157942151516298</c:v>
                </c:pt>
                <c:pt idx="940">
                  <c:v>-8.4256452124254348</c:v>
                </c:pt>
                <c:pt idx="941">
                  <c:v>-8.4354962186347535</c:v>
                </c:pt>
                <c:pt idx="942">
                  <c:v>-8.4453472337793389</c:v>
                </c:pt>
                <c:pt idx="943">
                  <c:v>-8.4551982578589477</c:v>
                </c:pt>
                <c:pt idx="944">
                  <c:v>-8.4650492908733348</c:v>
                </c:pt>
                <c:pt idx="945">
                  <c:v>-8.474900332822255</c:v>
                </c:pt>
                <c:pt idx="946">
                  <c:v>-8.4847513837054631</c:v>
                </c:pt>
                <c:pt idx="947">
                  <c:v>-8.4946024435227159</c:v>
                </c:pt>
                <c:pt idx="948">
                  <c:v>-8.5044535122737663</c:v>
                </c:pt>
                <c:pt idx="949">
                  <c:v>-8.5143045899583711</c:v>
                </c:pt>
                <c:pt idx="950">
                  <c:v>-8.5241556765762851</c:v>
                </c:pt>
                <c:pt idx="951">
                  <c:v>-8.534006772127265</c:v>
                </c:pt>
                <c:pt idx="952">
                  <c:v>-8.5438578766110638</c:v>
                </c:pt>
                <c:pt idx="953">
                  <c:v>-8.5537089900274381</c:v>
                </c:pt>
                <c:pt idx="954">
                  <c:v>-8.5635601123761429</c:v>
                </c:pt>
                <c:pt idx="955">
                  <c:v>-8.573411243656933</c:v>
                </c:pt>
                <c:pt idx="956">
                  <c:v>-8.583262383869565</c:v>
                </c:pt>
                <c:pt idx="957">
                  <c:v>-8.5931135330137938</c:v>
                </c:pt>
                <c:pt idx="958">
                  <c:v>-8.6029646910893742</c:v>
                </c:pt>
                <c:pt idx="959">
                  <c:v>-8.6128158580960612</c:v>
                </c:pt>
                <c:pt idx="960">
                  <c:v>-8.6226670340336096</c:v>
                </c:pt>
                <c:pt idx="961">
                  <c:v>-8.632518218901776</c:v>
                </c:pt>
                <c:pt idx="962">
                  <c:v>-8.6423694127003134</c:v>
                </c:pt>
                <c:pt idx="963">
                  <c:v>-8.6522206154289805</c:v>
                </c:pt>
                <c:pt idx="964">
                  <c:v>-8.6620718270875301</c:v>
                </c:pt>
                <c:pt idx="965">
                  <c:v>-8.6719230476757172</c:v>
                </c:pt>
                <c:pt idx="966">
                  <c:v>-8.6817742771932984</c:v>
                </c:pt>
                <c:pt idx="967">
                  <c:v>-8.6916255156400286</c:v>
                </c:pt>
                <c:pt idx="968">
                  <c:v>-8.7014767630156644</c:v>
                </c:pt>
                <c:pt idx="969">
                  <c:v>-8.7113280193199589</c:v>
                </c:pt>
                <c:pt idx="970">
                  <c:v>-8.7211792845526688</c:v>
                </c:pt>
                <c:pt idx="971">
                  <c:v>-8.7310305587135488</c:v>
                </c:pt>
                <c:pt idx="972">
                  <c:v>-8.7408818418023539</c:v>
                </c:pt>
                <c:pt idx="973">
                  <c:v>-8.7507331338188408</c:v>
                </c:pt>
                <c:pt idx="974">
                  <c:v>-8.7605844347627642</c:v>
                </c:pt>
                <c:pt idx="975">
                  <c:v>-8.770435744633879</c:v>
                </c:pt>
                <c:pt idx="976">
                  <c:v>-8.7802870634319401</c:v>
                </c:pt>
                <c:pt idx="977">
                  <c:v>-8.7901383911567041</c:v>
                </c:pt>
                <c:pt idx="978">
                  <c:v>-8.799989727807926</c:v>
                </c:pt>
                <c:pt idx="979">
                  <c:v>-8.8098410733853605</c:v>
                </c:pt>
                <c:pt idx="980">
                  <c:v>-8.8196924278887625</c:v>
                </c:pt>
                <c:pt idx="981">
                  <c:v>-8.8295437913178887</c:v>
                </c:pt>
                <c:pt idx="982">
                  <c:v>-8.8393951636724939</c:v>
                </c:pt>
                <c:pt idx="983">
                  <c:v>-8.849246544952333</c:v>
                </c:pt>
                <c:pt idx="984">
                  <c:v>-8.8590979351571626</c:v>
                </c:pt>
                <c:pt idx="985">
                  <c:v>-8.8689493342867376</c:v>
                </c:pt>
                <c:pt idx="986">
                  <c:v>-8.8788007423408128</c:v>
                </c:pt>
                <c:pt idx="987">
                  <c:v>-8.8886521593191432</c:v>
                </c:pt>
                <c:pt idx="988">
                  <c:v>-8.8985035852214853</c:v>
                </c:pt>
                <c:pt idx="989">
                  <c:v>-8.9083550200475941</c:v>
                </c:pt>
                <c:pt idx="990">
                  <c:v>-8.918206463797226</c:v>
                </c:pt>
                <c:pt idx="991">
                  <c:v>-8.9280579164701344</c:v>
                </c:pt>
                <c:pt idx="992">
                  <c:v>-8.9379093780660757</c:v>
                </c:pt>
                <c:pt idx="993">
                  <c:v>-8.9477608485848048</c:v>
                </c:pt>
                <c:pt idx="994">
                  <c:v>-8.9576123280260784</c:v>
                </c:pt>
                <c:pt idx="995">
                  <c:v>-8.9674638163896514</c:v>
                </c:pt>
                <c:pt idx="996">
                  <c:v>-8.9773153136752786</c:v>
                </c:pt>
                <c:pt idx="997">
                  <c:v>-8.9871668198827148</c:v>
                </c:pt>
                <c:pt idx="998">
                  <c:v>-8.9970183350117168</c:v>
                </c:pt>
                <c:pt idx="999">
                  <c:v>-9.0068698590620393</c:v>
                </c:pt>
                <c:pt idx="1000">
                  <c:v>-9.0167213920334373</c:v>
                </c:pt>
              </c:numCache>
            </c:numRef>
          </c:yVal>
          <c:smooth val="1"/>
          <c:extLst>
            <c:ext xmlns:c16="http://schemas.microsoft.com/office/drawing/2014/chart" uri="{C3380CC4-5D6E-409C-BE32-E72D297353CC}">
              <c16:uniqueId val="{00000002-4C7F-469F-ADED-1B0B28F452E1}"/>
            </c:ext>
          </c:extLst>
        </c:ser>
        <c:ser>
          <c:idx val="2"/>
          <c:order val="3"/>
          <c:tx>
            <c:strRef>
              <c:f>Trajecto!$B$109</c:f>
              <c:strCache>
                <c:ptCount val="1"/>
                <c:pt idx="0">
                  <c:v>Fusée sous parachute</c:v>
                </c:pt>
              </c:strCache>
            </c:strRef>
          </c:tx>
          <c:spPr>
            <a:ln w="25400">
              <a:solidFill>
                <a:srgbClr val="008000"/>
              </a:solidFill>
              <a:prstDash val="solid"/>
            </a:ln>
          </c:spPr>
          <c:marker>
            <c:symbol val="none"/>
          </c:marker>
          <c:dLbls>
            <c:dLbl>
              <c:idx val="1"/>
              <c:spPr>
                <a:noFill/>
                <a:ln w="25400">
                  <a:noFill/>
                </a:ln>
              </c:spPr>
              <c:txPr>
                <a:bodyPr/>
                <a:lstStyle/>
                <a:p>
                  <a:pPr>
                    <a:defRPr sz="700" b="1" i="0" u="none" strike="noStrike" baseline="0">
                      <a:solidFill>
                        <a:srgbClr val="008000"/>
                      </a:solidFill>
                      <a:latin typeface="Arial"/>
                      <a:ea typeface="Arial"/>
                      <a:cs typeface="Arial"/>
                    </a:defRPr>
                  </a:pPr>
                  <a:endParaRPr lang="fr-FR"/>
                </a:p>
              </c:txP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3-4C7F-469F-ADED-1B0B28F452E1}"/>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Trajecto!$B$132:$B$138</c:f>
              <c:numCache>
                <c:formatCode>0.0</c:formatCode>
                <c:ptCount val="7"/>
                <c:pt idx="0">
                  <c:v>11.1</c:v>
                </c:pt>
                <c:pt idx="1">
                  <c:v>60.416429610856419</c:v>
                </c:pt>
                <c:pt idx="2">
                  <c:v>109.73285922171284</c:v>
                </c:pt>
                <c:pt idx="3">
                  <c:v>108.59216180824126</c:v>
                </c:pt>
                <c:pt idx="4">
                  <c:v>109.73285922171284</c:v>
                </c:pt>
                <c:pt idx="5">
                  <c:v>105.73216180824124</c:v>
                </c:pt>
                <c:pt idx="6">
                  <c:v>109.73285922171284</c:v>
                </c:pt>
              </c:numCache>
            </c:numRef>
          </c:xVal>
          <c:yVal>
            <c:numRef>
              <c:f>Trajecto!$C$132:$C$138</c:f>
              <c:numCache>
                <c:formatCode>0</c:formatCode>
                <c:ptCount val="7"/>
                <c:pt idx="0">
                  <c:v>1186.4550165517999</c:v>
                </c:pt>
                <c:pt idx="1">
                  <c:v>593.22750827589994</c:v>
                </c:pt>
                <c:pt idx="2">
                  <c:v>0</c:v>
                </c:pt>
                <c:pt idx="3">
                  <c:v>44.973269773981343</c:v>
                </c:pt>
                <c:pt idx="4">
                  <c:v>0</c:v>
                </c:pt>
                <c:pt idx="5">
                  <c:v>17.083536855861766</c:v>
                </c:pt>
                <c:pt idx="6">
                  <c:v>0</c:v>
                </c:pt>
              </c:numCache>
            </c:numRef>
          </c:yVal>
          <c:smooth val="0"/>
          <c:extLst>
            <c:ext xmlns:c16="http://schemas.microsoft.com/office/drawing/2014/chart" uri="{C3380CC4-5D6E-409C-BE32-E72D297353CC}">
              <c16:uniqueId val="{00000004-4C7F-469F-ADED-1B0B28F452E1}"/>
            </c:ext>
          </c:extLst>
        </c:ser>
        <c:ser>
          <c:idx val="3"/>
          <c:order val="4"/>
          <c:tx>
            <c:strRef>
              <c:f>Trajecto!$B$110</c:f>
              <c:strCache>
                <c:ptCount val="1"/>
              </c:strCache>
            </c:strRef>
          </c:tx>
          <c:spPr>
            <a:ln w="25400">
              <a:solidFill>
                <a:srgbClr val="FF6600"/>
              </a:solidFill>
              <a:prstDash val="solid"/>
            </a:ln>
          </c:spPr>
          <c:marker>
            <c:symbol val="none"/>
          </c:marker>
          <c:dLbls>
            <c:dLbl>
              <c:idx val="1"/>
              <c:spPr>
                <a:noFill/>
                <a:ln w="25400">
                  <a:noFill/>
                </a:ln>
              </c:spPr>
              <c:txPr>
                <a:bodyPr/>
                <a:lstStyle/>
                <a:p>
                  <a:pPr>
                    <a:defRPr sz="700" b="1" i="0" u="none" strike="noStrike" baseline="0">
                      <a:solidFill>
                        <a:srgbClr val="FF6600"/>
                      </a:solidFill>
                      <a:latin typeface="Arial"/>
                      <a:ea typeface="Arial"/>
                      <a:cs typeface="Arial"/>
                    </a:defRPr>
                  </a:pPr>
                  <a:endParaRPr lang="fr-FR"/>
                </a:p>
              </c:txPr>
              <c:dLblPos val="l"/>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5-4C7F-469F-ADED-1B0B28F452E1}"/>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Trajecto!$B$149:$B$155</c:f>
              <c:numCache>
                <c:formatCode>0.0</c:formatCode>
                <c:ptCount val="7"/>
                <c:pt idx="0">
                  <c:v>0</c:v>
                </c:pt>
                <c:pt idx="1">
                  <c:v>0</c:v>
                </c:pt>
                <c:pt idx="2">
                  <c:v>0</c:v>
                </c:pt>
                <c:pt idx="3">
                  <c:v>0</c:v>
                </c:pt>
                <c:pt idx="4">
                  <c:v>0</c:v>
                </c:pt>
                <c:pt idx="5">
                  <c:v>0</c:v>
                </c:pt>
                <c:pt idx="6">
                  <c:v>0</c:v>
                </c:pt>
              </c:numCache>
            </c:numRef>
          </c:xVal>
          <c:yVal>
            <c:numRef>
              <c:f>Trajecto!$C$149:$C$155</c:f>
              <c:numCache>
                <c:formatCode>0</c:formatCode>
                <c:ptCount val="7"/>
                <c:pt idx="0">
                  <c:v>0</c:v>
                </c:pt>
                <c:pt idx="1">
                  <c:v>0</c:v>
                </c:pt>
                <c:pt idx="2">
                  <c:v>0</c:v>
                </c:pt>
                <c:pt idx="3">
                  <c:v>0</c:v>
                </c:pt>
                <c:pt idx="4">
                  <c:v>0</c:v>
                </c:pt>
                <c:pt idx="5">
                  <c:v>0</c:v>
                </c:pt>
                <c:pt idx="6">
                  <c:v>0</c:v>
                </c:pt>
              </c:numCache>
            </c:numRef>
          </c:yVal>
          <c:smooth val="0"/>
          <c:extLst>
            <c:ext xmlns:c16="http://schemas.microsoft.com/office/drawing/2014/chart" uri="{C3380CC4-5D6E-409C-BE32-E72D297353CC}">
              <c16:uniqueId val="{00000006-4C7F-469F-ADED-1B0B28F452E1}"/>
            </c:ext>
          </c:extLst>
        </c:ser>
        <c:ser>
          <c:idx val="5"/>
          <c:order val="5"/>
          <c:tx>
            <c:strRef>
              <c:f>Trajecto!$B$107</c:f>
              <c:strCache>
                <c:ptCount val="1"/>
                <c:pt idx="0">
                  <c:v>Phase ascendante</c:v>
                </c:pt>
              </c:strCache>
            </c:strRef>
          </c:tx>
          <c:spPr>
            <a:ln w="25400">
              <a:solidFill>
                <a:srgbClr val="000080"/>
              </a:solidFill>
              <a:prstDash val="solid"/>
            </a:ln>
          </c:spPr>
          <c:marker>
            <c:symbol val="none"/>
          </c:marker>
          <c:xVal>
            <c:numRef>
              <c:f>Calculs!$B$4:$B$1004</c:f>
              <c:numCache>
                <c:formatCode>0.00</c:formatCode>
                <c:ptCount val="1001"/>
                <c:pt idx="0">
                  <c:v>0</c:v>
                </c:pt>
                <c:pt idx="1">
                  <c:v>0.01</c:v>
                </c:pt>
                <c:pt idx="2">
                  <c:v>0.02</c:v>
                </c:pt>
                <c:pt idx="3">
                  <c:v>0.03</c:v>
                </c:pt>
                <c:pt idx="4">
                  <c:v>0.04</c:v>
                </c:pt>
                <c:pt idx="5">
                  <c:v>0.05</c:v>
                </c:pt>
                <c:pt idx="6">
                  <c:v>6.0000000000000005E-2</c:v>
                </c:pt>
                <c:pt idx="7">
                  <c:v>7.0000000000000007E-2</c:v>
                </c:pt>
                <c:pt idx="8">
                  <c:v>0.08</c:v>
                </c:pt>
                <c:pt idx="9">
                  <c:v>0.09</c:v>
                </c:pt>
                <c:pt idx="10">
                  <c:v>9.9999999999999992E-2</c:v>
                </c:pt>
                <c:pt idx="11">
                  <c:v>0.10999999999999999</c:v>
                </c:pt>
                <c:pt idx="12">
                  <c:v>0.11999999999999998</c:v>
                </c:pt>
                <c:pt idx="13">
                  <c:v>0.12999999999999998</c:v>
                </c:pt>
                <c:pt idx="14">
                  <c:v>0.13999999999999999</c:v>
                </c:pt>
                <c:pt idx="15">
                  <c:v>0.15</c:v>
                </c:pt>
                <c:pt idx="16">
                  <c:v>0.16</c:v>
                </c:pt>
                <c:pt idx="17">
                  <c:v>0.17</c:v>
                </c:pt>
                <c:pt idx="18">
                  <c:v>0.18000000000000002</c:v>
                </c:pt>
                <c:pt idx="19">
                  <c:v>0.19000000000000003</c:v>
                </c:pt>
                <c:pt idx="20">
                  <c:v>0.20000000000000004</c:v>
                </c:pt>
                <c:pt idx="21">
                  <c:v>0.21000000000000005</c:v>
                </c:pt>
                <c:pt idx="22">
                  <c:v>0.22000000000000006</c:v>
                </c:pt>
                <c:pt idx="23">
                  <c:v>0.23000000000000007</c:v>
                </c:pt>
                <c:pt idx="24">
                  <c:v>0.24000000000000007</c:v>
                </c:pt>
                <c:pt idx="25">
                  <c:v>0.25000000000000006</c:v>
                </c:pt>
                <c:pt idx="26">
                  <c:v>0.26000000000000006</c:v>
                </c:pt>
                <c:pt idx="27">
                  <c:v>0.27000000000000007</c:v>
                </c:pt>
                <c:pt idx="28">
                  <c:v>0.28000000000000008</c:v>
                </c:pt>
                <c:pt idx="29">
                  <c:v>0.29000000000000009</c:v>
                </c:pt>
                <c:pt idx="30">
                  <c:v>0.3000000000000001</c:v>
                </c:pt>
                <c:pt idx="31">
                  <c:v>0.31000000000000011</c:v>
                </c:pt>
                <c:pt idx="32">
                  <c:v>0.32000000000000012</c:v>
                </c:pt>
                <c:pt idx="33">
                  <c:v>0.33000000000000013</c:v>
                </c:pt>
                <c:pt idx="34">
                  <c:v>0.34000000000000014</c:v>
                </c:pt>
                <c:pt idx="35">
                  <c:v>0.35000000000000014</c:v>
                </c:pt>
                <c:pt idx="36">
                  <c:v>0.36000000000000015</c:v>
                </c:pt>
                <c:pt idx="37">
                  <c:v>0.37000000000000016</c:v>
                </c:pt>
                <c:pt idx="38">
                  <c:v>0.38000000000000017</c:v>
                </c:pt>
                <c:pt idx="39">
                  <c:v>0.39000000000000018</c:v>
                </c:pt>
                <c:pt idx="40">
                  <c:v>0.40000000000000019</c:v>
                </c:pt>
                <c:pt idx="41">
                  <c:v>0.4100000000000002</c:v>
                </c:pt>
                <c:pt idx="42">
                  <c:v>0.42000000000000021</c:v>
                </c:pt>
                <c:pt idx="43">
                  <c:v>0.43000000000000022</c:v>
                </c:pt>
                <c:pt idx="44">
                  <c:v>0.44000000000000022</c:v>
                </c:pt>
                <c:pt idx="45">
                  <c:v>0.45000000000000023</c:v>
                </c:pt>
                <c:pt idx="46">
                  <c:v>0.46000000000000024</c:v>
                </c:pt>
                <c:pt idx="47">
                  <c:v>0.47000000000000025</c:v>
                </c:pt>
                <c:pt idx="48">
                  <c:v>0.48000000000000026</c:v>
                </c:pt>
                <c:pt idx="49">
                  <c:v>0.49000000000000027</c:v>
                </c:pt>
                <c:pt idx="50">
                  <c:v>0.50000000000000022</c:v>
                </c:pt>
                <c:pt idx="51">
                  <c:v>0.51000000000000023</c:v>
                </c:pt>
                <c:pt idx="52">
                  <c:v>0.52000000000000024</c:v>
                </c:pt>
                <c:pt idx="53">
                  <c:v>0.53000000000000025</c:v>
                </c:pt>
                <c:pt idx="54">
                  <c:v>0.54000000000000026</c:v>
                </c:pt>
                <c:pt idx="55">
                  <c:v>0.55000000000000027</c:v>
                </c:pt>
                <c:pt idx="56">
                  <c:v>0.56000000000000028</c:v>
                </c:pt>
                <c:pt idx="57">
                  <c:v>0.57000000000000028</c:v>
                </c:pt>
                <c:pt idx="58">
                  <c:v>0.58000000000000029</c:v>
                </c:pt>
                <c:pt idx="59">
                  <c:v>0.5900000000000003</c:v>
                </c:pt>
                <c:pt idx="60">
                  <c:v>0.60000000000000031</c:v>
                </c:pt>
                <c:pt idx="61">
                  <c:v>0.61000000000000032</c:v>
                </c:pt>
                <c:pt idx="62">
                  <c:v>0.62000000000000033</c:v>
                </c:pt>
                <c:pt idx="63">
                  <c:v>0.63000000000000034</c:v>
                </c:pt>
                <c:pt idx="64">
                  <c:v>0.64000000000000035</c:v>
                </c:pt>
                <c:pt idx="65">
                  <c:v>0.65000000000000036</c:v>
                </c:pt>
                <c:pt idx="66">
                  <c:v>0.66000000000000036</c:v>
                </c:pt>
                <c:pt idx="67">
                  <c:v>0.67000000000000037</c:v>
                </c:pt>
                <c:pt idx="68">
                  <c:v>0.68000000000000038</c:v>
                </c:pt>
                <c:pt idx="69">
                  <c:v>0.69000000000000039</c:v>
                </c:pt>
                <c:pt idx="70">
                  <c:v>0.7000000000000004</c:v>
                </c:pt>
                <c:pt idx="71">
                  <c:v>0.71000000000000041</c:v>
                </c:pt>
                <c:pt idx="72">
                  <c:v>0.72000000000000042</c:v>
                </c:pt>
                <c:pt idx="73">
                  <c:v>0.73000000000000043</c:v>
                </c:pt>
                <c:pt idx="74">
                  <c:v>0.74000000000000044</c:v>
                </c:pt>
                <c:pt idx="75">
                  <c:v>0.75000000000000044</c:v>
                </c:pt>
                <c:pt idx="76">
                  <c:v>0.76000000000000045</c:v>
                </c:pt>
                <c:pt idx="77">
                  <c:v>0.77000000000000046</c:v>
                </c:pt>
                <c:pt idx="78">
                  <c:v>0.78000000000000047</c:v>
                </c:pt>
                <c:pt idx="79">
                  <c:v>0.79000000000000048</c:v>
                </c:pt>
                <c:pt idx="80">
                  <c:v>0.80000000000000049</c:v>
                </c:pt>
                <c:pt idx="81">
                  <c:v>0.8100000000000005</c:v>
                </c:pt>
                <c:pt idx="82">
                  <c:v>0.82000000000000051</c:v>
                </c:pt>
                <c:pt idx="83">
                  <c:v>0.83000000000000052</c:v>
                </c:pt>
                <c:pt idx="84">
                  <c:v>0.84000000000000052</c:v>
                </c:pt>
                <c:pt idx="85">
                  <c:v>0.85000000000000053</c:v>
                </c:pt>
                <c:pt idx="86">
                  <c:v>0.86000000000000054</c:v>
                </c:pt>
                <c:pt idx="87">
                  <c:v>0.87000000000000055</c:v>
                </c:pt>
                <c:pt idx="88">
                  <c:v>0.88000000000000056</c:v>
                </c:pt>
                <c:pt idx="89">
                  <c:v>0.89000000000000057</c:v>
                </c:pt>
                <c:pt idx="90">
                  <c:v>0.90000000000000058</c:v>
                </c:pt>
                <c:pt idx="91">
                  <c:v>0.91000000000000059</c:v>
                </c:pt>
                <c:pt idx="92">
                  <c:v>0.9200000000000006</c:v>
                </c:pt>
                <c:pt idx="93">
                  <c:v>0.9300000000000006</c:v>
                </c:pt>
                <c:pt idx="94">
                  <c:v>0.94000000000000061</c:v>
                </c:pt>
                <c:pt idx="95">
                  <c:v>0.95000000000000062</c:v>
                </c:pt>
                <c:pt idx="96">
                  <c:v>0.96000000000000063</c:v>
                </c:pt>
                <c:pt idx="97">
                  <c:v>0.97000000000000064</c:v>
                </c:pt>
                <c:pt idx="98">
                  <c:v>0.98000000000000065</c:v>
                </c:pt>
                <c:pt idx="99">
                  <c:v>0.99000000000000066</c:v>
                </c:pt>
                <c:pt idx="100">
                  <c:v>1.0000000000000007</c:v>
                </c:pt>
                <c:pt idx="101">
                  <c:v>1.1000000000000008</c:v>
                </c:pt>
                <c:pt idx="102">
                  <c:v>1.2000000000000008</c:v>
                </c:pt>
                <c:pt idx="103">
                  <c:v>1.3000000000000009</c:v>
                </c:pt>
                <c:pt idx="104">
                  <c:v>1.400000000000001</c:v>
                </c:pt>
                <c:pt idx="105">
                  <c:v>1.5000000000000011</c:v>
                </c:pt>
                <c:pt idx="106">
                  <c:v>1.6000000000000012</c:v>
                </c:pt>
                <c:pt idx="107">
                  <c:v>1.7000000000000013</c:v>
                </c:pt>
                <c:pt idx="108">
                  <c:v>1.8000000000000014</c:v>
                </c:pt>
                <c:pt idx="109">
                  <c:v>1.9000000000000015</c:v>
                </c:pt>
                <c:pt idx="110">
                  <c:v>2.0000000000000013</c:v>
                </c:pt>
                <c:pt idx="111">
                  <c:v>2.1000000000000014</c:v>
                </c:pt>
                <c:pt idx="112">
                  <c:v>2.2000000000000015</c:v>
                </c:pt>
                <c:pt idx="113">
                  <c:v>2.3000000000000016</c:v>
                </c:pt>
                <c:pt idx="114">
                  <c:v>2.4000000000000017</c:v>
                </c:pt>
                <c:pt idx="115">
                  <c:v>2.5000000000000018</c:v>
                </c:pt>
                <c:pt idx="116">
                  <c:v>2.6000000000000019</c:v>
                </c:pt>
                <c:pt idx="117">
                  <c:v>2.700000000000002</c:v>
                </c:pt>
                <c:pt idx="118">
                  <c:v>2.800000000000002</c:v>
                </c:pt>
                <c:pt idx="119">
                  <c:v>2.9000000000000021</c:v>
                </c:pt>
                <c:pt idx="120">
                  <c:v>3.0000000000000022</c:v>
                </c:pt>
                <c:pt idx="121">
                  <c:v>3.1000000000000023</c:v>
                </c:pt>
                <c:pt idx="122">
                  <c:v>3.2000000000000024</c:v>
                </c:pt>
                <c:pt idx="123">
                  <c:v>3.3000000000000025</c:v>
                </c:pt>
                <c:pt idx="124">
                  <c:v>3.4000000000000026</c:v>
                </c:pt>
                <c:pt idx="125">
                  <c:v>3.5000000000000027</c:v>
                </c:pt>
                <c:pt idx="126">
                  <c:v>3.6000000000000028</c:v>
                </c:pt>
                <c:pt idx="127">
                  <c:v>3.7000000000000028</c:v>
                </c:pt>
                <c:pt idx="128">
                  <c:v>3.8000000000000029</c:v>
                </c:pt>
                <c:pt idx="129">
                  <c:v>3.900000000000003</c:v>
                </c:pt>
                <c:pt idx="130">
                  <c:v>4.0000000000000027</c:v>
                </c:pt>
                <c:pt idx="131">
                  <c:v>4.1000000000000023</c:v>
                </c:pt>
                <c:pt idx="132">
                  <c:v>4.200000000000002</c:v>
                </c:pt>
                <c:pt idx="133">
                  <c:v>4.3000000000000016</c:v>
                </c:pt>
                <c:pt idx="134">
                  <c:v>4.4000000000000012</c:v>
                </c:pt>
                <c:pt idx="135">
                  <c:v>4.5000000000000009</c:v>
                </c:pt>
                <c:pt idx="136">
                  <c:v>4.6000000000000005</c:v>
                </c:pt>
                <c:pt idx="137">
                  <c:v>4.7</c:v>
                </c:pt>
                <c:pt idx="138">
                  <c:v>4.8</c:v>
                </c:pt>
                <c:pt idx="139">
                  <c:v>4.8999999999999995</c:v>
                </c:pt>
                <c:pt idx="140">
                  <c:v>4.9999999999999991</c:v>
                </c:pt>
                <c:pt idx="141">
                  <c:v>5.0999999999999988</c:v>
                </c:pt>
                <c:pt idx="142">
                  <c:v>5.1999999999999984</c:v>
                </c:pt>
                <c:pt idx="143">
                  <c:v>5.299999999999998</c:v>
                </c:pt>
                <c:pt idx="144">
                  <c:v>5.3999999999999977</c:v>
                </c:pt>
                <c:pt idx="145">
                  <c:v>5.4999999999999973</c:v>
                </c:pt>
                <c:pt idx="146">
                  <c:v>5.599999999999997</c:v>
                </c:pt>
                <c:pt idx="147">
                  <c:v>5.6999999999999966</c:v>
                </c:pt>
                <c:pt idx="148">
                  <c:v>5.7999999999999963</c:v>
                </c:pt>
                <c:pt idx="149">
                  <c:v>5.8999999999999959</c:v>
                </c:pt>
                <c:pt idx="150">
                  <c:v>5.9999999999999956</c:v>
                </c:pt>
                <c:pt idx="151">
                  <c:v>6.0999999999999952</c:v>
                </c:pt>
                <c:pt idx="152">
                  <c:v>6.1999999999999948</c:v>
                </c:pt>
                <c:pt idx="153">
                  <c:v>6.2999999999999945</c:v>
                </c:pt>
                <c:pt idx="154">
                  <c:v>6.3999999999999941</c:v>
                </c:pt>
                <c:pt idx="155">
                  <c:v>6.4999999999999938</c:v>
                </c:pt>
                <c:pt idx="156">
                  <c:v>6.5999999999999934</c:v>
                </c:pt>
                <c:pt idx="157">
                  <c:v>6.6999999999999931</c:v>
                </c:pt>
                <c:pt idx="158">
                  <c:v>6.7999999999999927</c:v>
                </c:pt>
                <c:pt idx="159">
                  <c:v>6.8999999999999924</c:v>
                </c:pt>
                <c:pt idx="160">
                  <c:v>6.999999999999992</c:v>
                </c:pt>
                <c:pt idx="161">
                  <c:v>7.0999999999999917</c:v>
                </c:pt>
                <c:pt idx="162">
                  <c:v>7.1999999999999913</c:v>
                </c:pt>
                <c:pt idx="163">
                  <c:v>7.2999999999999909</c:v>
                </c:pt>
                <c:pt idx="164">
                  <c:v>7.3999999999999906</c:v>
                </c:pt>
                <c:pt idx="165">
                  <c:v>7.4999999999999902</c:v>
                </c:pt>
                <c:pt idx="166">
                  <c:v>7.5999999999999899</c:v>
                </c:pt>
                <c:pt idx="167">
                  <c:v>7.6999999999999895</c:v>
                </c:pt>
                <c:pt idx="168">
                  <c:v>7.7999999999999892</c:v>
                </c:pt>
                <c:pt idx="169">
                  <c:v>7.8999999999999888</c:v>
                </c:pt>
                <c:pt idx="170">
                  <c:v>7.9999999999999885</c:v>
                </c:pt>
                <c:pt idx="171">
                  <c:v>8.099999999999989</c:v>
                </c:pt>
                <c:pt idx="172">
                  <c:v>8.1999999999999886</c:v>
                </c:pt>
                <c:pt idx="173">
                  <c:v>8.2999999999999883</c:v>
                </c:pt>
                <c:pt idx="174">
                  <c:v>8.3999999999999879</c:v>
                </c:pt>
                <c:pt idx="175">
                  <c:v>8.4999999999999876</c:v>
                </c:pt>
                <c:pt idx="176">
                  <c:v>8.5999999999999872</c:v>
                </c:pt>
                <c:pt idx="177">
                  <c:v>8.6999999999999869</c:v>
                </c:pt>
                <c:pt idx="178">
                  <c:v>8.7999999999999865</c:v>
                </c:pt>
                <c:pt idx="179">
                  <c:v>8.8999999999999861</c:v>
                </c:pt>
                <c:pt idx="180">
                  <c:v>8.9999999999999858</c:v>
                </c:pt>
                <c:pt idx="181">
                  <c:v>9.0999999999999854</c:v>
                </c:pt>
                <c:pt idx="182">
                  <c:v>9.1999999999999851</c:v>
                </c:pt>
                <c:pt idx="183">
                  <c:v>9.2999999999999847</c:v>
                </c:pt>
                <c:pt idx="184">
                  <c:v>9.3999999999999844</c:v>
                </c:pt>
                <c:pt idx="185">
                  <c:v>9.499999999999984</c:v>
                </c:pt>
                <c:pt idx="186">
                  <c:v>9.5999999999999837</c:v>
                </c:pt>
                <c:pt idx="187">
                  <c:v>9.6999999999999833</c:v>
                </c:pt>
                <c:pt idx="188">
                  <c:v>9.7999999999999829</c:v>
                </c:pt>
                <c:pt idx="189">
                  <c:v>9.8999999999999826</c:v>
                </c:pt>
                <c:pt idx="190">
                  <c:v>9.9999999999999822</c:v>
                </c:pt>
                <c:pt idx="191">
                  <c:v>10.099999999999982</c:v>
                </c:pt>
                <c:pt idx="192">
                  <c:v>10.199999999999982</c:v>
                </c:pt>
                <c:pt idx="193">
                  <c:v>10.299999999999981</c:v>
                </c:pt>
                <c:pt idx="194">
                  <c:v>10.399999999999981</c:v>
                </c:pt>
                <c:pt idx="195">
                  <c:v>10.49999999999998</c:v>
                </c:pt>
                <c:pt idx="196">
                  <c:v>10.59999999999998</c:v>
                </c:pt>
                <c:pt idx="197">
                  <c:v>10.69999999999998</c:v>
                </c:pt>
                <c:pt idx="198">
                  <c:v>10.799999999999979</c:v>
                </c:pt>
                <c:pt idx="199">
                  <c:v>10.899999999999979</c:v>
                </c:pt>
                <c:pt idx="200">
                  <c:v>10.999999999999979</c:v>
                </c:pt>
                <c:pt idx="201">
                  <c:v>11.099999999999978</c:v>
                </c:pt>
                <c:pt idx="202">
                  <c:v>11.199999999999978</c:v>
                </c:pt>
                <c:pt idx="203">
                  <c:v>11.299999999999978</c:v>
                </c:pt>
                <c:pt idx="204">
                  <c:v>11.399999999999977</c:v>
                </c:pt>
                <c:pt idx="205">
                  <c:v>11.499999999999977</c:v>
                </c:pt>
                <c:pt idx="206">
                  <c:v>11.599999999999977</c:v>
                </c:pt>
                <c:pt idx="207">
                  <c:v>11.699999999999976</c:v>
                </c:pt>
                <c:pt idx="208">
                  <c:v>11.799999999999976</c:v>
                </c:pt>
                <c:pt idx="209">
                  <c:v>11.899999999999975</c:v>
                </c:pt>
                <c:pt idx="210">
                  <c:v>11.999999999999975</c:v>
                </c:pt>
                <c:pt idx="211">
                  <c:v>12.099999999999975</c:v>
                </c:pt>
                <c:pt idx="212">
                  <c:v>12.199999999999974</c:v>
                </c:pt>
                <c:pt idx="213">
                  <c:v>12.299999999999974</c:v>
                </c:pt>
                <c:pt idx="214">
                  <c:v>12.399999999999974</c:v>
                </c:pt>
                <c:pt idx="215">
                  <c:v>12.499999999999973</c:v>
                </c:pt>
                <c:pt idx="216">
                  <c:v>12.599999999999973</c:v>
                </c:pt>
                <c:pt idx="217">
                  <c:v>12.699999999999973</c:v>
                </c:pt>
                <c:pt idx="218">
                  <c:v>12.799999999999972</c:v>
                </c:pt>
                <c:pt idx="219">
                  <c:v>12.899999999999972</c:v>
                </c:pt>
                <c:pt idx="220">
                  <c:v>12.999999999999972</c:v>
                </c:pt>
                <c:pt idx="221">
                  <c:v>13.099999999999971</c:v>
                </c:pt>
                <c:pt idx="222">
                  <c:v>13.199999999999971</c:v>
                </c:pt>
                <c:pt idx="223">
                  <c:v>13.299999999999971</c:v>
                </c:pt>
                <c:pt idx="224">
                  <c:v>13.39999999999997</c:v>
                </c:pt>
                <c:pt idx="225">
                  <c:v>13.49999999999997</c:v>
                </c:pt>
                <c:pt idx="226">
                  <c:v>13.599999999999969</c:v>
                </c:pt>
                <c:pt idx="227">
                  <c:v>13.699999999999969</c:v>
                </c:pt>
                <c:pt idx="228">
                  <c:v>13.799999999999969</c:v>
                </c:pt>
                <c:pt idx="229">
                  <c:v>13.899999999999968</c:v>
                </c:pt>
                <c:pt idx="230">
                  <c:v>13.999999999999968</c:v>
                </c:pt>
                <c:pt idx="231">
                  <c:v>14.099999999999968</c:v>
                </c:pt>
                <c:pt idx="232">
                  <c:v>14.199999999999967</c:v>
                </c:pt>
                <c:pt idx="233">
                  <c:v>14.299999999999967</c:v>
                </c:pt>
                <c:pt idx="234">
                  <c:v>14.399999999999967</c:v>
                </c:pt>
                <c:pt idx="235">
                  <c:v>14.499999999999966</c:v>
                </c:pt>
                <c:pt idx="236">
                  <c:v>14.599999999999966</c:v>
                </c:pt>
                <c:pt idx="237">
                  <c:v>14.699999999999966</c:v>
                </c:pt>
                <c:pt idx="238">
                  <c:v>14.799999999999965</c:v>
                </c:pt>
                <c:pt idx="239">
                  <c:v>14.899999999999965</c:v>
                </c:pt>
                <c:pt idx="240">
                  <c:v>14.999999999999964</c:v>
                </c:pt>
                <c:pt idx="241">
                  <c:v>15.099999999999964</c:v>
                </c:pt>
                <c:pt idx="242">
                  <c:v>15.199999999999964</c:v>
                </c:pt>
                <c:pt idx="243">
                  <c:v>15.299999999999963</c:v>
                </c:pt>
                <c:pt idx="244">
                  <c:v>15.399999999999963</c:v>
                </c:pt>
                <c:pt idx="245">
                  <c:v>15.499999999999963</c:v>
                </c:pt>
                <c:pt idx="246">
                  <c:v>15.599999999999962</c:v>
                </c:pt>
                <c:pt idx="247">
                  <c:v>15.699999999999962</c:v>
                </c:pt>
                <c:pt idx="248">
                  <c:v>15.799999999999962</c:v>
                </c:pt>
                <c:pt idx="249">
                  <c:v>15.899999999999961</c:v>
                </c:pt>
                <c:pt idx="250">
                  <c:v>15.999999999999961</c:v>
                </c:pt>
                <c:pt idx="251">
                  <c:v>16.099999999999962</c:v>
                </c:pt>
                <c:pt idx="252">
                  <c:v>16.199999999999964</c:v>
                </c:pt>
                <c:pt idx="253">
                  <c:v>16.299999999999965</c:v>
                </c:pt>
                <c:pt idx="254">
                  <c:v>16.399999999999967</c:v>
                </c:pt>
                <c:pt idx="255">
                  <c:v>16.499999999999968</c:v>
                </c:pt>
                <c:pt idx="256">
                  <c:v>16.599999999999969</c:v>
                </c:pt>
                <c:pt idx="257">
                  <c:v>16.699999999999971</c:v>
                </c:pt>
                <c:pt idx="258">
                  <c:v>16.799999999999972</c:v>
                </c:pt>
                <c:pt idx="259">
                  <c:v>16.899999999999974</c:v>
                </c:pt>
                <c:pt idx="260">
                  <c:v>16.999999999999975</c:v>
                </c:pt>
                <c:pt idx="261">
                  <c:v>17.099999999999977</c:v>
                </c:pt>
                <c:pt idx="262">
                  <c:v>17.199999999999978</c:v>
                </c:pt>
                <c:pt idx="263">
                  <c:v>17.299999999999979</c:v>
                </c:pt>
                <c:pt idx="264">
                  <c:v>17.399999999999981</c:v>
                </c:pt>
                <c:pt idx="265">
                  <c:v>17.499999999999982</c:v>
                </c:pt>
                <c:pt idx="266">
                  <c:v>17.599999999999984</c:v>
                </c:pt>
                <c:pt idx="267">
                  <c:v>17.699999999999985</c:v>
                </c:pt>
                <c:pt idx="268">
                  <c:v>17.799999999999986</c:v>
                </c:pt>
                <c:pt idx="269">
                  <c:v>17.899999999999988</c:v>
                </c:pt>
                <c:pt idx="270">
                  <c:v>17.999999999999989</c:v>
                </c:pt>
                <c:pt idx="271">
                  <c:v>18.099999999999991</c:v>
                </c:pt>
                <c:pt idx="272">
                  <c:v>18.199999999999992</c:v>
                </c:pt>
                <c:pt idx="273">
                  <c:v>18.299999999999994</c:v>
                </c:pt>
                <c:pt idx="274">
                  <c:v>18.399999999999995</c:v>
                </c:pt>
                <c:pt idx="275">
                  <c:v>18.499999999999996</c:v>
                </c:pt>
                <c:pt idx="276">
                  <c:v>18.599999999999998</c:v>
                </c:pt>
                <c:pt idx="277">
                  <c:v>18.7</c:v>
                </c:pt>
                <c:pt idx="278">
                  <c:v>18.8</c:v>
                </c:pt>
                <c:pt idx="279">
                  <c:v>18.900000000000002</c:v>
                </c:pt>
                <c:pt idx="280">
                  <c:v>19.000000000000004</c:v>
                </c:pt>
                <c:pt idx="281">
                  <c:v>19.100000000000005</c:v>
                </c:pt>
                <c:pt idx="282">
                  <c:v>19.200000000000006</c:v>
                </c:pt>
                <c:pt idx="283">
                  <c:v>19.300000000000008</c:v>
                </c:pt>
                <c:pt idx="284">
                  <c:v>19.400000000000009</c:v>
                </c:pt>
                <c:pt idx="285">
                  <c:v>19.500000000000011</c:v>
                </c:pt>
                <c:pt idx="286">
                  <c:v>19.600000000000012</c:v>
                </c:pt>
                <c:pt idx="287">
                  <c:v>19.700000000000014</c:v>
                </c:pt>
                <c:pt idx="288">
                  <c:v>19.800000000000015</c:v>
                </c:pt>
                <c:pt idx="289">
                  <c:v>19.900000000000016</c:v>
                </c:pt>
                <c:pt idx="290">
                  <c:v>20.000000000000018</c:v>
                </c:pt>
                <c:pt idx="291">
                  <c:v>20.100000000000019</c:v>
                </c:pt>
                <c:pt idx="292">
                  <c:v>20.200000000000021</c:v>
                </c:pt>
                <c:pt idx="293">
                  <c:v>20.300000000000022</c:v>
                </c:pt>
                <c:pt idx="294">
                  <c:v>20.400000000000023</c:v>
                </c:pt>
                <c:pt idx="295">
                  <c:v>20.500000000000025</c:v>
                </c:pt>
                <c:pt idx="296">
                  <c:v>20.600000000000026</c:v>
                </c:pt>
                <c:pt idx="297">
                  <c:v>20.700000000000028</c:v>
                </c:pt>
                <c:pt idx="298">
                  <c:v>20.800000000000029</c:v>
                </c:pt>
                <c:pt idx="299">
                  <c:v>20.900000000000031</c:v>
                </c:pt>
                <c:pt idx="300">
                  <c:v>21.000000000000032</c:v>
                </c:pt>
                <c:pt idx="301">
                  <c:v>21.100000000000033</c:v>
                </c:pt>
                <c:pt idx="302">
                  <c:v>21.200000000000035</c:v>
                </c:pt>
                <c:pt idx="303">
                  <c:v>21.300000000000036</c:v>
                </c:pt>
                <c:pt idx="304">
                  <c:v>21.400000000000038</c:v>
                </c:pt>
                <c:pt idx="305">
                  <c:v>21.500000000000039</c:v>
                </c:pt>
                <c:pt idx="306">
                  <c:v>21.600000000000041</c:v>
                </c:pt>
                <c:pt idx="307">
                  <c:v>21.700000000000042</c:v>
                </c:pt>
                <c:pt idx="308">
                  <c:v>21.800000000000043</c:v>
                </c:pt>
                <c:pt idx="309">
                  <c:v>21.900000000000045</c:v>
                </c:pt>
                <c:pt idx="310">
                  <c:v>22.000000000000046</c:v>
                </c:pt>
                <c:pt idx="311">
                  <c:v>22.100000000000048</c:v>
                </c:pt>
                <c:pt idx="312">
                  <c:v>22.200000000000049</c:v>
                </c:pt>
                <c:pt idx="313">
                  <c:v>22.30000000000005</c:v>
                </c:pt>
                <c:pt idx="314">
                  <c:v>22.400000000000052</c:v>
                </c:pt>
                <c:pt idx="315">
                  <c:v>22.500000000000053</c:v>
                </c:pt>
                <c:pt idx="316">
                  <c:v>22.600000000000055</c:v>
                </c:pt>
                <c:pt idx="317">
                  <c:v>22.700000000000056</c:v>
                </c:pt>
                <c:pt idx="318">
                  <c:v>22.800000000000058</c:v>
                </c:pt>
                <c:pt idx="319">
                  <c:v>22.900000000000059</c:v>
                </c:pt>
                <c:pt idx="320">
                  <c:v>23.00000000000006</c:v>
                </c:pt>
                <c:pt idx="321">
                  <c:v>23.100000000000062</c:v>
                </c:pt>
                <c:pt idx="322">
                  <c:v>23.200000000000063</c:v>
                </c:pt>
                <c:pt idx="323">
                  <c:v>23.300000000000065</c:v>
                </c:pt>
                <c:pt idx="324">
                  <c:v>23.400000000000066</c:v>
                </c:pt>
                <c:pt idx="325">
                  <c:v>23.500000000000068</c:v>
                </c:pt>
                <c:pt idx="326">
                  <c:v>23.600000000000069</c:v>
                </c:pt>
                <c:pt idx="327">
                  <c:v>23.70000000000007</c:v>
                </c:pt>
                <c:pt idx="328">
                  <c:v>23.800000000000072</c:v>
                </c:pt>
                <c:pt idx="329">
                  <c:v>23.900000000000073</c:v>
                </c:pt>
                <c:pt idx="330">
                  <c:v>24.000000000000075</c:v>
                </c:pt>
                <c:pt idx="331">
                  <c:v>24.100000000000076</c:v>
                </c:pt>
                <c:pt idx="332">
                  <c:v>24.200000000000077</c:v>
                </c:pt>
                <c:pt idx="333">
                  <c:v>24.300000000000079</c:v>
                </c:pt>
                <c:pt idx="334">
                  <c:v>24.40000000000008</c:v>
                </c:pt>
                <c:pt idx="335">
                  <c:v>24.500000000000082</c:v>
                </c:pt>
                <c:pt idx="336">
                  <c:v>24.600000000000083</c:v>
                </c:pt>
                <c:pt idx="337">
                  <c:v>24.700000000000085</c:v>
                </c:pt>
                <c:pt idx="338">
                  <c:v>24.800000000000086</c:v>
                </c:pt>
                <c:pt idx="339">
                  <c:v>24.900000000000087</c:v>
                </c:pt>
                <c:pt idx="340">
                  <c:v>25.000000000000089</c:v>
                </c:pt>
                <c:pt idx="341">
                  <c:v>25.10000000000009</c:v>
                </c:pt>
                <c:pt idx="342">
                  <c:v>25.200000000000092</c:v>
                </c:pt>
                <c:pt idx="343">
                  <c:v>25.300000000000093</c:v>
                </c:pt>
                <c:pt idx="344">
                  <c:v>25.400000000000095</c:v>
                </c:pt>
                <c:pt idx="345">
                  <c:v>25.500000000000096</c:v>
                </c:pt>
                <c:pt idx="346">
                  <c:v>25.600000000000097</c:v>
                </c:pt>
                <c:pt idx="347">
                  <c:v>25.700000000000099</c:v>
                </c:pt>
                <c:pt idx="348">
                  <c:v>25.8000000000001</c:v>
                </c:pt>
                <c:pt idx="349">
                  <c:v>25.900000000000102</c:v>
                </c:pt>
                <c:pt idx="350">
                  <c:v>26.000000000000103</c:v>
                </c:pt>
                <c:pt idx="351">
                  <c:v>26.100000000000104</c:v>
                </c:pt>
                <c:pt idx="352">
                  <c:v>26.200000000000106</c:v>
                </c:pt>
                <c:pt idx="353">
                  <c:v>26.300000000000107</c:v>
                </c:pt>
                <c:pt idx="354">
                  <c:v>26.400000000000109</c:v>
                </c:pt>
                <c:pt idx="355">
                  <c:v>26.50000000000011</c:v>
                </c:pt>
                <c:pt idx="356">
                  <c:v>26.600000000000112</c:v>
                </c:pt>
                <c:pt idx="357">
                  <c:v>26.700000000000113</c:v>
                </c:pt>
                <c:pt idx="358">
                  <c:v>26.800000000000114</c:v>
                </c:pt>
                <c:pt idx="359">
                  <c:v>26.900000000000116</c:v>
                </c:pt>
                <c:pt idx="360">
                  <c:v>27.000000000000117</c:v>
                </c:pt>
                <c:pt idx="361">
                  <c:v>27.100000000000119</c:v>
                </c:pt>
                <c:pt idx="362">
                  <c:v>27.20000000000012</c:v>
                </c:pt>
                <c:pt idx="363">
                  <c:v>27.300000000000122</c:v>
                </c:pt>
                <c:pt idx="364">
                  <c:v>27.400000000000123</c:v>
                </c:pt>
                <c:pt idx="365">
                  <c:v>27.500000000000124</c:v>
                </c:pt>
                <c:pt idx="366">
                  <c:v>27.600000000000126</c:v>
                </c:pt>
                <c:pt idx="367">
                  <c:v>27.700000000000127</c:v>
                </c:pt>
                <c:pt idx="368">
                  <c:v>27.800000000000129</c:v>
                </c:pt>
                <c:pt idx="369">
                  <c:v>27.90000000000013</c:v>
                </c:pt>
                <c:pt idx="370">
                  <c:v>28.000000000000131</c:v>
                </c:pt>
                <c:pt idx="371">
                  <c:v>28.100000000000133</c:v>
                </c:pt>
                <c:pt idx="372">
                  <c:v>28.200000000000134</c:v>
                </c:pt>
                <c:pt idx="373">
                  <c:v>28.300000000000136</c:v>
                </c:pt>
                <c:pt idx="374">
                  <c:v>28.400000000000137</c:v>
                </c:pt>
                <c:pt idx="375">
                  <c:v>28.500000000000139</c:v>
                </c:pt>
                <c:pt idx="376">
                  <c:v>28.60000000000014</c:v>
                </c:pt>
                <c:pt idx="377">
                  <c:v>28.60010000000014</c:v>
                </c:pt>
                <c:pt idx="378">
                  <c:v>28.60020000000014</c:v>
                </c:pt>
                <c:pt idx="379">
                  <c:v>28.600300000000139</c:v>
                </c:pt>
                <c:pt idx="380">
                  <c:v>28.600400000000139</c:v>
                </c:pt>
                <c:pt idx="381">
                  <c:v>28.600500000000139</c:v>
                </c:pt>
                <c:pt idx="382">
                  <c:v>28.600600000000139</c:v>
                </c:pt>
                <c:pt idx="383">
                  <c:v>28.600700000000138</c:v>
                </c:pt>
                <c:pt idx="384">
                  <c:v>28.600800000000138</c:v>
                </c:pt>
                <c:pt idx="385">
                  <c:v>28.600900000000138</c:v>
                </c:pt>
                <c:pt idx="386">
                  <c:v>28.601000000000138</c:v>
                </c:pt>
                <c:pt idx="387">
                  <c:v>28.601100000000137</c:v>
                </c:pt>
                <c:pt idx="388">
                  <c:v>28.601200000000137</c:v>
                </c:pt>
                <c:pt idx="389">
                  <c:v>28.601300000000137</c:v>
                </c:pt>
                <c:pt idx="390">
                  <c:v>28.601400000000137</c:v>
                </c:pt>
                <c:pt idx="391">
                  <c:v>28.601500000000136</c:v>
                </c:pt>
                <c:pt idx="392">
                  <c:v>28.601600000000136</c:v>
                </c:pt>
                <c:pt idx="393">
                  <c:v>28.601700000000136</c:v>
                </c:pt>
                <c:pt idx="394">
                  <c:v>28.601800000000136</c:v>
                </c:pt>
                <c:pt idx="395">
                  <c:v>28.601900000000136</c:v>
                </c:pt>
                <c:pt idx="396">
                  <c:v>28.602000000000135</c:v>
                </c:pt>
                <c:pt idx="397">
                  <c:v>28.602100000000135</c:v>
                </c:pt>
                <c:pt idx="398">
                  <c:v>28.602200000000135</c:v>
                </c:pt>
                <c:pt idx="399">
                  <c:v>28.602300000000135</c:v>
                </c:pt>
                <c:pt idx="400">
                  <c:v>28.602400000000134</c:v>
                </c:pt>
                <c:pt idx="401">
                  <c:v>28.602500000000134</c:v>
                </c:pt>
                <c:pt idx="402">
                  <c:v>28.602600000000134</c:v>
                </c:pt>
                <c:pt idx="403">
                  <c:v>28.602700000000134</c:v>
                </c:pt>
                <c:pt idx="404">
                  <c:v>28.602800000000133</c:v>
                </c:pt>
                <c:pt idx="405">
                  <c:v>28.602900000000133</c:v>
                </c:pt>
                <c:pt idx="406">
                  <c:v>28.603000000000133</c:v>
                </c:pt>
                <c:pt idx="407">
                  <c:v>28.603100000000133</c:v>
                </c:pt>
                <c:pt idx="408">
                  <c:v>28.603200000000133</c:v>
                </c:pt>
                <c:pt idx="409">
                  <c:v>28.603300000000132</c:v>
                </c:pt>
                <c:pt idx="410">
                  <c:v>28.603400000000132</c:v>
                </c:pt>
                <c:pt idx="411">
                  <c:v>28.603500000000132</c:v>
                </c:pt>
                <c:pt idx="412">
                  <c:v>28.603600000000132</c:v>
                </c:pt>
                <c:pt idx="413">
                  <c:v>28.603700000000131</c:v>
                </c:pt>
                <c:pt idx="414">
                  <c:v>28.603800000000131</c:v>
                </c:pt>
                <c:pt idx="415">
                  <c:v>28.603900000000131</c:v>
                </c:pt>
                <c:pt idx="416">
                  <c:v>28.604000000000131</c:v>
                </c:pt>
                <c:pt idx="417">
                  <c:v>28.60410000000013</c:v>
                </c:pt>
                <c:pt idx="418">
                  <c:v>28.60420000000013</c:v>
                </c:pt>
                <c:pt idx="419">
                  <c:v>28.60430000000013</c:v>
                </c:pt>
                <c:pt idx="420">
                  <c:v>28.60440000000013</c:v>
                </c:pt>
                <c:pt idx="421">
                  <c:v>28.604500000000129</c:v>
                </c:pt>
                <c:pt idx="422">
                  <c:v>28.604600000000129</c:v>
                </c:pt>
                <c:pt idx="423">
                  <c:v>28.604700000000129</c:v>
                </c:pt>
                <c:pt idx="424">
                  <c:v>28.604800000000129</c:v>
                </c:pt>
                <c:pt idx="425">
                  <c:v>28.604900000000129</c:v>
                </c:pt>
                <c:pt idx="426">
                  <c:v>28.605000000000128</c:v>
                </c:pt>
                <c:pt idx="427">
                  <c:v>28.605100000000128</c:v>
                </c:pt>
                <c:pt idx="428">
                  <c:v>28.605200000000128</c:v>
                </c:pt>
                <c:pt idx="429">
                  <c:v>28.605300000000128</c:v>
                </c:pt>
                <c:pt idx="430">
                  <c:v>28.605400000000127</c:v>
                </c:pt>
                <c:pt idx="431">
                  <c:v>28.605500000000127</c:v>
                </c:pt>
                <c:pt idx="432">
                  <c:v>28.605600000000127</c:v>
                </c:pt>
                <c:pt idx="433">
                  <c:v>28.605700000000127</c:v>
                </c:pt>
                <c:pt idx="434">
                  <c:v>28.605800000000126</c:v>
                </c:pt>
                <c:pt idx="435">
                  <c:v>28.605900000000126</c:v>
                </c:pt>
                <c:pt idx="436">
                  <c:v>28.606000000000126</c:v>
                </c:pt>
                <c:pt idx="437">
                  <c:v>28.606100000000126</c:v>
                </c:pt>
                <c:pt idx="438">
                  <c:v>28.606200000000126</c:v>
                </c:pt>
                <c:pt idx="439">
                  <c:v>28.606300000000125</c:v>
                </c:pt>
                <c:pt idx="440">
                  <c:v>28.606400000000125</c:v>
                </c:pt>
                <c:pt idx="441">
                  <c:v>28.606500000000125</c:v>
                </c:pt>
                <c:pt idx="442">
                  <c:v>28.606600000000125</c:v>
                </c:pt>
                <c:pt idx="443">
                  <c:v>28.606700000000124</c:v>
                </c:pt>
                <c:pt idx="444">
                  <c:v>28.606800000000124</c:v>
                </c:pt>
                <c:pt idx="445">
                  <c:v>28.606900000000124</c:v>
                </c:pt>
                <c:pt idx="446">
                  <c:v>28.607000000000124</c:v>
                </c:pt>
                <c:pt idx="447">
                  <c:v>28.607100000000123</c:v>
                </c:pt>
                <c:pt idx="448">
                  <c:v>28.607200000000123</c:v>
                </c:pt>
                <c:pt idx="449">
                  <c:v>28.607300000000123</c:v>
                </c:pt>
                <c:pt idx="450">
                  <c:v>28.607400000000123</c:v>
                </c:pt>
                <c:pt idx="451">
                  <c:v>28.607500000000122</c:v>
                </c:pt>
                <c:pt idx="452">
                  <c:v>28.607600000000122</c:v>
                </c:pt>
                <c:pt idx="453">
                  <c:v>28.607700000000122</c:v>
                </c:pt>
                <c:pt idx="454">
                  <c:v>28.607800000000122</c:v>
                </c:pt>
                <c:pt idx="455">
                  <c:v>28.607900000000122</c:v>
                </c:pt>
                <c:pt idx="456">
                  <c:v>28.608000000000121</c:v>
                </c:pt>
                <c:pt idx="457">
                  <c:v>28.608100000000121</c:v>
                </c:pt>
                <c:pt idx="458">
                  <c:v>28.608200000000121</c:v>
                </c:pt>
                <c:pt idx="459">
                  <c:v>28.608300000000121</c:v>
                </c:pt>
                <c:pt idx="460">
                  <c:v>28.60840000000012</c:v>
                </c:pt>
                <c:pt idx="461">
                  <c:v>28.60850000000012</c:v>
                </c:pt>
                <c:pt idx="462">
                  <c:v>28.60860000000012</c:v>
                </c:pt>
                <c:pt idx="463">
                  <c:v>28.60870000000012</c:v>
                </c:pt>
                <c:pt idx="464">
                  <c:v>28.608800000000119</c:v>
                </c:pt>
                <c:pt idx="465">
                  <c:v>28.608900000000119</c:v>
                </c:pt>
                <c:pt idx="466">
                  <c:v>28.609000000000119</c:v>
                </c:pt>
                <c:pt idx="467">
                  <c:v>28.609100000000119</c:v>
                </c:pt>
                <c:pt idx="468">
                  <c:v>28.609200000000119</c:v>
                </c:pt>
                <c:pt idx="469">
                  <c:v>28.609300000000118</c:v>
                </c:pt>
                <c:pt idx="470">
                  <c:v>28.609400000000118</c:v>
                </c:pt>
                <c:pt idx="471">
                  <c:v>28.609500000000118</c:v>
                </c:pt>
                <c:pt idx="472">
                  <c:v>28.609600000000118</c:v>
                </c:pt>
                <c:pt idx="473">
                  <c:v>28.609700000000117</c:v>
                </c:pt>
                <c:pt idx="474">
                  <c:v>28.609800000000117</c:v>
                </c:pt>
                <c:pt idx="475">
                  <c:v>28.609900000000117</c:v>
                </c:pt>
                <c:pt idx="476">
                  <c:v>28.610000000000117</c:v>
                </c:pt>
                <c:pt idx="477">
                  <c:v>28.610100000000116</c:v>
                </c:pt>
                <c:pt idx="478">
                  <c:v>28.610200000000116</c:v>
                </c:pt>
                <c:pt idx="479">
                  <c:v>28.610300000000116</c:v>
                </c:pt>
                <c:pt idx="480">
                  <c:v>28.610400000000116</c:v>
                </c:pt>
                <c:pt idx="481">
                  <c:v>28.610500000000116</c:v>
                </c:pt>
                <c:pt idx="482">
                  <c:v>28.610600000000115</c:v>
                </c:pt>
                <c:pt idx="483">
                  <c:v>28.610700000000115</c:v>
                </c:pt>
                <c:pt idx="484">
                  <c:v>28.610800000000115</c:v>
                </c:pt>
                <c:pt idx="485">
                  <c:v>28.610900000000115</c:v>
                </c:pt>
                <c:pt idx="486">
                  <c:v>28.611000000000114</c:v>
                </c:pt>
                <c:pt idx="487">
                  <c:v>28.611100000000114</c:v>
                </c:pt>
                <c:pt idx="488">
                  <c:v>28.611200000000114</c:v>
                </c:pt>
                <c:pt idx="489">
                  <c:v>28.611300000000114</c:v>
                </c:pt>
                <c:pt idx="490">
                  <c:v>28.611400000000113</c:v>
                </c:pt>
                <c:pt idx="491">
                  <c:v>28.611500000000113</c:v>
                </c:pt>
                <c:pt idx="492">
                  <c:v>28.611600000000113</c:v>
                </c:pt>
                <c:pt idx="493">
                  <c:v>28.611700000000113</c:v>
                </c:pt>
                <c:pt idx="494">
                  <c:v>28.611800000000112</c:v>
                </c:pt>
                <c:pt idx="495">
                  <c:v>28.611900000000112</c:v>
                </c:pt>
                <c:pt idx="496">
                  <c:v>28.612000000000112</c:v>
                </c:pt>
                <c:pt idx="497">
                  <c:v>28.612100000000112</c:v>
                </c:pt>
                <c:pt idx="498">
                  <c:v>28.612200000000112</c:v>
                </c:pt>
                <c:pt idx="499">
                  <c:v>28.612300000000111</c:v>
                </c:pt>
                <c:pt idx="500">
                  <c:v>28.612400000000111</c:v>
                </c:pt>
                <c:pt idx="501">
                  <c:v>28.612500000000111</c:v>
                </c:pt>
                <c:pt idx="502">
                  <c:v>28.612600000000111</c:v>
                </c:pt>
                <c:pt idx="503">
                  <c:v>28.61270000000011</c:v>
                </c:pt>
                <c:pt idx="504">
                  <c:v>28.61280000000011</c:v>
                </c:pt>
                <c:pt idx="505">
                  <c:v>28.61290000000011</c:v>
                </c:pt>
                <c:pt idx="506">
                  <c:v>28.61300000000011</c:v>
                </c:pt>
                <c:pt idx="507">
                  <c:v>28.613100000000109</c:v>
                </c:pt>
                <c:pt idx="508">
                  <c:v>28.613200000000109</c:v>
                </c:pt>
                <c:pt idx="509">
                  <c:v>28.613300000000109</c:v>
                </c:pt>
                <c:pt idx="510">
                  <c:v>28.613400000000109</c:v>
                </c:pt>
                <c:pt idx="511">
                  <c:v>28.613500000000109</c:v>
                </c:pt>
                <c:pt idx="512">
                  <c:v>28.613600000000108</c:v>
                </c:pt>
                <c:pt idx="513">
                  <c:v>28.613700000000108</c:v>
                </c:pt>
                <c:pt idx="514">
                  <c:v>28.613800000000108</c:v>
                </c:pt>
                <c:pt idx="515">
                  <c:v>28.613900000000108</c:v>
                </c:pt>
                <c:pt idx="516">
                  <c:v>28.614000000000107</c:v>
                </c:pt>
                <c:pt idx="517">
                  <c:v>28.614100000000107</c:v>
                </c:pt>
                <c:pt idx="518">
                  <c:v>28.614200000000107</c:v>
                </c:pt>
                <c:pt idx="519">
                  <c:v>28.614300000000107</c:v>
                </c:pt>
                <c:pt idx="520">
                  <c:v>28.614400000000106</c:v>
                </c:pt>
                <c:pt idx="521">
                  <c:v>28.614500000000106</c:v>
                </c:pt>
                <c:pt idx="522">
                  <c:v>28.614600000000106</c:v>
                </c:pt>
                <c:pt idx="523">
                  <c:v>28.614700000000106</c:v>
                </c:pt>
                <c:pt idx="524">
                  <c:v>28.614800000000105</c:v>
                </c:pt>
                <c:pt idx="525">
                  <c:v>28.614900000000105</c:v>
                </c:pt>
                <c:pt idx="526">
                  <c:v>28.615000000000105</c:v>
                </c:pt>
                <c:pt idx="527">
                  <c:v>28.615100000000105</c:v>
                </c:pt>
                <c:pt idx="528">
                  <c:v>28.615200000000105</c:v>
                </c:pt>
                <c:pt idx="529">
                  <c:v>28.615300000000104</c:v>
                </c:pt>
                <c:pt idx="530">
                  <c:v>28.615400000000104</c:v>
                </c:pt>
                <c:pt idx="531">
                  <c:v>28.615500000000104</c:v>
                </c:pt>
                <c:pt idx="532">
                  <c:v>28.615600000000104</c:v>
                </c:pt>
                <c:pt idx="533">
                  <c:v>28.615700000000103</c:v>
                </c:pt>
                <c:pt idx="534">
                  <c:v>28.615800000000103</c:v>
                </c:pt>
                <c:pt idx="535">
                  <c:v>28.615900000000103</c:v>
                </c:pt>
                <c:pt idx="536">
                  <c:v>28.616000000000103</c:v>
                </c:pt>
                <c:pt idx="537">
                  <c:v>28.616100000000102</c:v>
                </c:pt>
                <c:pt idx="538">
                  <c:v>28.616200000000102</c:v>
                </c:pt>
                <c:pt idx="539">
                  <c:v>28.616300000000102</c:v>
                </c:pt>
                <c:pt idx="540">
                  <c:v>28.616400000000102</c:v>
                </c:pt>
                <c:pt idx="541">
                  <c:v>28.616500000000102</c:v>
                </c:pt>
                <c:pt idx="542">
                  <c:v>28.616600000000101</c:v>
                </c:pt>
                <c:pt idx="543">
                  <c:v>28.616700000000101</c:v>
                </c:pt>
                <c:pt idx="544">
                  <c:v>28.616800000000101</c:v>
                </c:pt>
                <c:pt idx="545">
                  <c:v>28.616900000000101</c:v>
                </c:pt>
                <c:pt idx="546">
                  <c:v>28.6170000000001</c:v>
                </c:pt>
                <c:pt idx="547">
                  <c:v>28.6171000000001</c:v>
                </c:pt>
                <c:pt idx="548">
                  <c:v>28.6172000000001</c:v>
                </c:pt>
                <c:pt idx="549">
                  <c:v>28.6173000000001</c:v>
                </c:pt>
                <c:pt idx="550">
                  <c:v>28.617400000000099</c:v>
                </c:pt>
                <c:pt idx="551">
                  <c:v>28.617500000000099</c:v>
                </c:pt>
                <c:pt idx="552">
                  <c:v>28.617600000000099</c:v>
                </c:pt>
                <c:pt idx="553">
                  <c:v>28.617700000000099</c:v>
                </c:pt>
                <c:pt idx="554">
                  <c:v>28.617800000000098</c:v>
                </c:pt>
                <c:pt idx="555">
                  <c:v>28.617900000000098</c:v>
                </c:pt>
                <c:pt idx="556">
                  <c:v>28.618000000000098</c:v>
                </c:pt>
                <c:pt idx="557">
                  <c:v>28.618100000000098</c:v>
                </c:pt>
                <c:pt idx="558">
                  <c:v>28.618200000000098</c:v>
                </c:pt>
                <c:pt idx="559">
                  <c:v>28.618300000000097</c:v>
                </c:pt>
                <c:pt idx="560">
                  <c:v>28.618400000000097</c:v>
                </c:pt>
                <c:pt idx="561">
                  <c:v>28.618500000000097</c:v>
                </c:pt>
                <c:pt idx="562">
                  <c:v>28.618600000000097</c:v>
                </c:pt>
                <c:pt idx="563">
                  <c:v>28.618700000000096</c:v>
                </c:pt>
                <c:pt idx="564">
                  <c:v>28.618800000000096</c:v>
                </c:pt>
                <c:pt idx="565">
                  <c:v>28.618900000000096</c:v>
                </c:pt>
                <c:pt idx="566">
                  <c:v>28.619000000000096</c:v>
                </c:pt>
                <c:pt idx="567">
                  <c:v>28.619100000000095</c:v>
                </c:pt>
                <c:pt idx="568">
                  <c:v>28.619200000000095</c:v>
                </c:pt>
                <c:pt idx="569">
                  <c:v>28.619300000000095</c:v>
                </c:pt>
                <c:pt idx="570">
                  <c:v>28.619400000000095</c:v>
                </c:pt>
                <c:pt idx="571">
                  <c:v>28.619500000000095</c:v>
                </c:pt>
                <c:pt idx="572">
                  <c:v>28.619600000000094</c:v>
                </c:pt>
                <c:pt idx="573">
                  <c:v>28.619700000000094</c:v>
                </c:pt>
                <c:pt idx="574">
                  <c:v>28.619800000000094</c:v>
                </c:pt>
                <c:pt idx="575">
                  <c:v>28.619900000000094</c:v>
                </c:pt>
                <c:pt idx="576">
                  <c:v>28.620000000000093</c:v>
                </c:pt>
                <c:pt idx="577">
                  <c:v>28.620100000000093</c:v>
                </c:pt>
                <c:pt idx="578">
                  <c:v>28.620200000000093</c:v>
                </c:pt>
                <c:pt idx="579">
                  <c:v>28.620300000000093</c:v>
                </c:pt>
                <c:pt idx="580">
                  <c:v>28.620400000000092</c:v>
                </c:pt>
                <c:pt idx="581">
                  <c:v>28.620500000000092</c:v>
                </c:pt>
                <c:pt idx="582">
                  <c:v>28.620600000000092</c:v>
                </c:pt>
                <c:pt idx="583">
                  <c:v>28.620700000000092</c:v>
                </c:pt>
                <c:pt idx="584">
                  <c:v>28.620800000000092</c:v>
                </c:pt>
                <c:pt idx="585">
                  <c:v>28.620900000000091</c:v>
                </c:pt>
                <c:pt idx="586">
                  <c:v>28.621000000000091</c:v>
                </c:pt>
                <c:pt idx="587">
                  <c:v>28.621100000000091</c:v>
                </c:pt>
                <c:pt idx="588">
                  <c:v>28.621200000000091</c:v>
                </c:pt>
                <c:pt idx="589">
                  <c:v>28.62130000000009</c:v>
                </c:pt>
                <c:pt idx="590">
                  <c:v>28.62140000000009</c:v>
                </c:pt>
                <c:pt idx="591">
                  <c:v>28.62150000000009</c:v>
                </c:pt>
                <c:pt idx="592">
                  <c:v>28.62160000000009</c:v>
                </c:pt>
                <c:pt idx="593">
                  <c:v>28.621700000000089</c:v>
                </c:pt>
                <c:pt idx="594">
                  <c:v>28.621800000000089</c:v>
                </c:pt>
                <c:pt idx="595">
                  <c:v>28.621900000000089</c:v>
                </c:pt>
                <c:pt idx="596">
                  <c:v>28.622000000000089</c:v>
                </c:pt>
                <c:pt idx="597">
                  <c:v>28.622100000000088</c:v>
                </c:pt>
                <c:pt idx="598">
                  <c:v>28.622200000000088</c:v>
                </c:pt>
                <c:pt idx="599">
                  <c:v>28.622300000000088</c:v>
                </c:pt>
                <c:pt idx="600">
                  <c:v>28.622400000000088</c:v>
                </c:pt>
                <c:pt idx="601">
                  <c:v>28.622500000000088</c:v>
                </c:pt>
                <c:pt idx="602">
                  <c:v>28.622600000000087</c:v>
                </c:pt>
                <c:pt idx="603">
                  <c:v>28.622700000000087</c:v>
                </c:pt>
                <c:pt idx="604">
                  <c:v>28.622800000000087</c:v>
                </c:pt>
                <c:pt idx="605">
                  <c:v>28.622900000000087</c:v>
                </c:pt>
                <c:pt idx="606">
                  <c:v>28.623000000000086</c:v>
                </c:pt>
                <c:pt idx="607">
                  <c:v>28.623100000000086</c:v>
                </c:pt>
                <c:pt idx="608">
                  <c:v>28.623200000000086</c:v>
                </c:pt>
                <c:pt idx="609">
                  <c:v>28.623300000000086</c:v>
                </c:pt>
                <c:pt idx="610">
                  <c:v>28.623400000000085</c:v>
                </c:pt>
                <c:pt idx="611">
                  <c:v>28.623500000000085</c:v>
                </c:pt>
                <c:pt idx="612">
                  <c:v>28.623600000000085</c:v>
                </c:pt>
                <c:pt idx="613">
                  <c:v>28.623700000000085</c:v>
                </c:pt>
                <c:pt idx="614">
                  <c:v>28.623800000000085</c:v>
                </c:pt>
                <c:pt idx="615">
                  <c:v>28.623900000000084</c:v>
                </c:pt>
                <c:pt idx="616">
                  <c:v>28.624000000000084</c:v>
                </c:pt>
                <c:pt idx="617">
                  <c:v>28.624100000000084</c:v>
                </c:pt>
                <c:pt idx="618">
                  <c:v>28.624200000000084</c:v>
                </c:pt>
                <c:pt idx="619">
                  <c:v>28.624300000000083</c:v>
                </c:pt>
                <c:pt idx="620">
                  <c:v>28.624400000000083</c:v>
                </c:pt>
                <c:pt idx="621">
                  <c:v>28.624500000000083</c:v>
                </c:pt>
                <c:pt idx="622">
                  <c:v>28.624600000000083</c:v>
                </c:pt>
                <c:pt idx="623">
                  <c:v>28.624700000000082</c:v>
                </c:pt>
                <c:pt idx="624">
                  <c:v>28.624800000000082</c:v>
                </c:pt>
                <c:pt idx="625">
                  <c:v>28.624900000000082</c:v>
                </c:pt>
                <c:pt idx="626">
                  <c:v>28.625000000000082</c:v>
                </c:pt>
                <c:pt idx="627">
                  <c:v>28.625100000000081</c:v>
                </c:pt>
                <c:pt idx="628">
                  <c:v>28.625200000000081</c:v>
                </c:pt>
                <c:pt idx="629">
                  <c:v>28.625300000000081</c:v>
                </c:pt>
                <c:pt idx="630">
                  <c:v>28.625400000000081</c:v>
                </c:pt>
                <c:pt idx="631">
                  <c:v>28.625500000000081</c:v>
                </c:pt>
                <c:pt idx="632">
                  <c:v>28.62560000000008</c:v>
                </c:pt>
                <c:pt idx="633">
                  <c:v>28.62570000000008</c:v>
                </c:pt>
                <c:pt idx="634">
                  <c:v>28.62580000000008</c:v>
                </c:pt>
                <c:pt idx="635">
                  <c:v>28.62590000000008</c:v>
                </c:pt>
                <c:pt idx="636">
                  <c:v>28.626000000000079</c:v>
                </c:pt>
                <c:pt idx="637">
                  <c:v>28.626100000000079</c:v>
                </c:pt>
                <c:pt idx="638">
                  <c:v>28.626200000000079</c:v>
                </c:pt>
                <c:pt idx="639">
                  <c:v>28.626300000000079</c:v>
                </c:pt>
                <c:pt idx="640">
                  <c:v>28.626400000000078</c:v>
                </c:pt>
                <c:pt idx="641">
                  <c:v>28.626500000000078</c:v>
                </c:pt>
                <c:pt idx="642">
                  <c:v>28.626600000000078</c:v>
                </c:pt>
                <c:pt idx="643">
                  <c:v>28.626700000000078</c:v>
                </c:pt>
                <c:pt idx="644">
                  <c:v>28.626800000000078</c:v>
                </c:pt>
                <c:pt idx="645">
                  <c:v>28.626900000000077</c:v>
                </c:pt>
                <c:pt idx="646">
                  <c:v>28.627000000000077</c:v>
                </c:pt>
                <c:pt idx="647">
                  <c:v>28.627100000000077</c:v>
                </c:pt>
                <c:pt idx="648">
                  <c:v>28.627200000000077</c:v>
                </c:pt>
                <c:pt idx="649">
                  <c:v>28.627300000000076</c:v>
                </c:pt>
                <c:pt idx="650">
                  <c:v>28.627400000000076</c:v>
                </c:pt>
                <c:pt idx="651">
                  <c:v>28.627500000000076</c:v>
                </c:pt>
                <c:pt idx="652">
                  <c:v>28.627600000000076</c:v>
                </c:pt>
                <c:pt idx="653">
                  <c:v>28.627700000000075</c:v>
                </c:pt>
                <c:pt idx="654">
                  <c:v>28.627800000000075</c:v>
                </c:pt>
                <c:pt idx="655">
                  <c:v>28.627900000000075</c:v>
                </c:pt>
                <c:pt idx="656">
                  <c:v>28.628000000000075</c:v>
                </c:pt>
                <c:pt idx="657">
                  <c:v>28.628100000000074</c:v>
                </c:pt>
                <c:pt idx="658">
                  <c:v>28.628200000000074</c:v>
                </c:pt>
                <c:pt idx="659">
                  <c:v>28.628300000000074</c:v>
                </c:pt>
                <c:pt idx="660">
                  <c:v>28.628400000000074</c:v>
                </c:pt>
                <c:pt idx="661">
                  <c:v>28.628500000000074</c:v>
                </c:pt>
                <c:pt idx="662">
                  <c:v>28.628600000000073</c:v>
                </c:pt>
                <c:pt idx="663">
                  <c:v>28.628700000000073</c:v>
                </c:pt>
                <c:pt idx="664">
                  <c:v>28.628800000000073</c:v>
                </c:pt>
                <c:pt idx="665">
                  <c:v>28.628900000000073</c:v>
                </c:pt>
                <c:pt idx="666">
                  <c:v>28.629000000000072</c:v>
                </c:pt>
                <c:pt idx="667">
                  <c:v>28.629100000000072</c:v>
                </c:pt>
                <c:pt idx="668">
                  <c:v>28.629200000000072</c:v>
                </c:pt>
                <c:pt idx="669">
                  <c:v>28.629300000000072</c:v>
                </c:pt>
                <c:pt idx="670">
                  <c:v>28.629400000000071</c:v>
                </c:pt>
                <c:pt idx="671">
                  <c:v>28.629500000000071</c:v>
                </c:pt>
                <c:pt idx="672">
                  <c:v>28.629600000000071</c:v>
                </c:pt>
                <c:pt idx="673">
                  <c:v>28.629700000000071</c:v>
                </c:pt>
                <c:pt idx="674">
                  <c:v>28.629800000000071</c:v>
                </c:pt>
                <c:pt idx="675">
                  <c:v>28.62990000000007</c:v>
                </c:pt>
                <c:pt idx="676">
                  <c:v>28.63000000000007</c:v>
                </c:pt>
                <c:pt idx="677">
                  <c:v>28.63010000000007</c:v>
                </c:pt>
                <c:pt idx="678">
                  <c:v>28.63020000000007</c:v>
                </c:pt>
                <c:pt idx="679">
                  <c:v>28.630300000000069</c:v>
                </c:pt>
                <c:pt idx="680">
                  <c:v>28.630400000000069</c:v>
                </c:pt>
                <c:pt idx="681">
                  <c:v>28.630500000000069</c:v>
                </c:pt>
                <c:pt idx="682">
                  <c:v>28.630600000000069</c:v>
                </c:pt>
                <c:pt idx="683">
                  <c:v>28.630700000000068</c:v>
                </c:pt>
                <c:pt idx="684">
                  <c:v>28.630800000000068</c:v>
                </c:pt>
                <c:pt idx="685">
                  <c:v>28.630900000000068</c:v>
                </c:pt>
                <c:pt idx="686">
                  <c:v>28.631000000000068</c:v>
                </c:pt>
                <c:pt idx="687">
                  <c:v>28.631100000000067</c:v>
                </c:pt>
                <c:pt idx="688">
                  <c:v>28.631200000000067</c:v>
                </c:pt>
                <c:pt idx="689">
                  <c:v>28.631300000000067</c:v>
                </c:pt>
                <c:pt idx="690">
                  <c:v>28.631400000000067</c:v>
                </c:pt>
                <c:pt idx="691">
                  <c:v>28.631500000000067</c:v>
                </c:pt>
                <c:pt idx="692">
                  <c:v>28.631600000000066</c:v>
                </c:pt>
                <c:pt idx="693">
                  <c:v>28.631700000000066</c:v>
                </c:pt>
                <c:pt idx="694">
                  <c:v>28.631800000000066</c:v>
                </c:pt>
                <c:pt idx="695">
                  <c:v>28.631900000000066</c:v>
                </c:pt>
                <c:pt idx="696">
                  <c:v>28.632000000000065</c:v>
                </c:pt>
                <c:pt idx="697">
                  <c:v>28.632100000000065</c:v>
                </c:pt>
                <c:pt idx="698">
                  <c:v>28.632200000000065</c:v>
                </c:pt>
                <c:pt idx="699">
                  <c:v>28.632300000000065</c:v>
                </c:pt>
                <c:pt idx="700">
                  <c:v>28.632400000000064</c:v>
                </c:pt>
                <c:pt idx="701">
                  <c:v>28.632500000000064</c:v>
                </c:pt>
                <c:pt idx="702">
                  <c:v>28.632600000000064</c:v>
                </c:pt>
                <c:pt idx="703">
                  <c:v>28.632700000000064</c:v>
                </c:pt>
                <c:pt idx="704">
                  <c:v>28.632800000000064</c:v>
                </c:pt>
                <c:pt idx="705">
                  <c:v>28.632900000000063</c:v>
                </c:pt>
                <c:pt idx="706">
                  <c:v>28.633000000000063</c:v>
                </c:pt>
                <c:pt idx="707">
                  <c:v>28.633100000000063</c:v>
                </c:pt>
                <c:pt idx="708">
                  <c:v>28.633200000000063</c:v>
                </c:pt>
                <c:pt idx="709">
                  <c:v>28.633300000000062</c:v>
                </c:pt>
                <c:pt idx="710">
                  <c:v>28.633400000000062</c:v>
                </c:pt>
                <c:pt idx="711">
                  <c:v>28.633500000000062</c:v>
                </c:pt>
                <c:pt idx="712">
                  <c:v>28.633600000000062</c:v>
                </c:pt>
                <c:pt idx="713">
                  <c:v>28.633700000000061</c:v>
                </c:pt>
                <c:pt idx="714">
                  <c:v>28.633800000000061</c:v>
                </c:pt>
                <c:pt idx="715">
                  <c:v>28.633900000000061</c:v>
                </c:pt>
                <c:pt idx="716">
                  <c:v>28.634000000000061</c:v>
                </c:pt>
                <c:pt idx="717">
                  <c:v>28.634100000000061</c:v>
                </c:pt>
                <c:pt idx="718">
                  <c:v>28.63420000000006</c:v>
                </c:pt>
                <c:pt idx="719">
                  <c:v>28.63430000000006</c:v>
                </c:pt>
                <c:pt idx="720">
                  <c:v>28.63440000000006</c:v>
                </c:pt>
                <c:pt idx="721">
                  <c:v>28.63450000000006</c:v>
                </c:pt>
                <c:pt idx="722">
                  <c:v>28.634600000000059</c:v>
                </c:pt>
                <c:pt idx="723">
                  <c:v>28.634700000000059</c:v>
                </c:pt>
                <c:pt idx="724">
                  <c:v>28.634800000000059</c:v>
                </c:pt>
                <c:pt idx="725">
                  <c:v>28.634900000000059</c:v>
                </c:pt>
                <c:pt idx="726">
                  <c:v>28.635000000000058</c:v>
                </c:pt>
                <c:pt idx="727">
                  <c:v>28.635100000000058</c:v>
                </c:pt>
                <c:pt idx="728">
                  <c:v>28.635200000000058</c:v>
                </c:pt>
                <c:pt idx="729">
                  <c:v>28.635300000000058</c:v>
                </c:pt>
                <c:pt idx="730">
                  <c:v>28.635400000000057</c:v>
                </c:pt>
                <c:pt idx="731">
                  <c:v>28.635500000000057</c:v>
                </c:pt>
                <c:pt idx="732">
                  <c:v>28.635600000000057</c:v>
                </c:pt>
                <c:pt idx="733">
                  <c:v>28.635700000000057</c:v>
                </c:pt>
                <c:pt idx="734">
                  <c:v>28.635800000000057</c:v>
                </c:pt>
                <c:pt idx="735">
                  <c:v>28.635900000000056</c:v>
                </c:pt>
                <c:pt idx="736">
                  <c:v>28.636000000000056</c:v>
                </c:pt>
                <c:pt idx="737">
                  <c:v>28.636100000000056</c:v>
                </c:pt>
                <c:pt idx="738">
                  <c:v>28.636200000000056</c:v>
                </c:pt>
                <c:pt idx="739">
                  <c:v>28.636300000000055</c:v>
                </c:pt>
                <c:pt idx="740">
                  <c:v>28.636400000000055</c:v>
                </c:pt>
                <c:pt idx="741">
                  <c:v>28.636500000000055</c:v>
                </c:pt>
                <c:pt idx="742">
                  <c:v>28.636600000000055</c:v>
                </c:pt>
                <c:pt idx="743">
                  <c:v>28.636700000000054</c:v>
                </c:pt>
                <c:pt idx="744">
                  <c:v>28.636800000000054</c:v>
                </c:pt>
                <c:pt idx="745">
                  <c:v>28.636900000000054</c:v>
                </c:pt>
                <c:pt idx="746">
                  <c:v>28.637000000000054</c:v>
                </c:pt>
                <c:pt idx="747">
                  <c:v>28.637100000000054</c:v>
                </c:pt>
                <c:pt idx="748">
                  <c:v>28.637200000000053</c:v>
                </c:pt>
                <c:pt idx="749">
                  <c:v>28.637300000000053</c:v>
                </c:pt>
                <c:pt idx="750">
                  <c:v>28.637400000000053</c:v>
                </c:pt>
                <c:pt idx="751">
                  <c:v>28.637500000000053</c:v>
                </c:pt>
                <c:pt idx="752">
                  <c:v>28.637600000000052</c:v>
                </c:pt>
                <c:pt idx="753">
                  <c:v>28.637700000000052</c:v>
                </c:pt>
                <c:pt idx="754">
                  <c:v>28.637800000000052</c:v>
                </c:pt>
                <c:pt idx="755">
                  <c:v>28.637900000000052</c:v>
                </c:pt>
                <c:pt idx="756">
                  <c:v>28.638000000000051</c:v>
                </c:pt>
                <c:pt idx="757">
                  <c:v>28.638100000000051</c:v>
                </c:pt>
                <c:pt idx="758">
                  <c:v>28.638200000000051</c:v>
                </c:pt>
                <c:pt idx="759">
                  <c:v>28.638300000000051</c:v>
                </c:pt>
                <c:pt idx="760">
                  <c:v>28.63840000000005</c:v>
                </c:pt>
                <c:pt idx="761">
                  <c:v>28.63850000000005</c:v>
                </c:pt>
                <c:pt idx="762">
                  <c:v>28.63860000000005</c:v>
                </c:pt>
                <c:pt idx="763">
                  <c:v>28.63870000000005</c:v>
                </c:pt>
                <c:pt idx="764">
                  <c:v>28.63880000000005</c:v>
                </c:pt>
                <c:pt idx="765">
                  <c:v>28.638900000000049</c:v>
                </c:pt>
                <c:pt idx="766">
                  <c:v>28.639000000000049</c:v>
                </c:pt>
                <c:pt idx="767">
                  <c:v>28.639100000000049</c:v>
                </c:pt>
                <c:pt idx="768">
                  <c:v>28.639200000000049</c:v>
                </c:pt>
                <c:pt idx="769">
                  <c:v>28.639300000000048</c:v>
                </c:pt>
                <c:pt idx="770">
                  <c:v>28.639400000000048</c:v>
                </c:pt>
                <c:pt idx="771">
                  <c:v>28.639500000000048</c:v>
                </c:pt>
                <c:pt idx="772">
                  <c:v>28.639600000000048</c:v>
                </c:pt>
                <c:pt idx="773">
                  <c:v>28.639700000000047</c:v>
                </c:pt>
                <c:pt idx="774">
                  <c:v>28.639800000000047</c:v>
                </c:pt>
                <c:pt idx="775">
                  <c:v>28.639900000000047</c:v>
                </c:pt>
                <c:pt idx="776">
                  <c:v>28.640000000000047</c:v>
                </c:pt>
                <c:pt idx="777">
                  <c:v>28.640100000000047</c:v>
                </c:pt>
                <c:pt idx="778">
                  <c:v>28.640200000000046</c:v>
                </c:pt>
                <c:pt idx="779">
                  <c:v>28.640300000000046</c:v>
                </c:pt>
                <c:pt idx="780">
                  <c:v>28.640400000000046</c:v>
                </c:pt>
                <c:pt idx="781">
                  <c:v>28.640500000000046</c:v>
                </c:pt>
                <c:pt idx="782">
                  <c:v>28.640600000000045</c:v>
                </c:pt>
                <c:pt idx="783">
                  <c:v>28.640700000000045</c:v>
                </c:pt>
                <c:pt idx="784">
                  <c:v>28.640800000000045</c:v>
                </c:pt>
                <c:pt idx="785">
                  <c:v>28.640900000000045</c:v>
                </c:pt>
                <c:pt idx="786">
                  <c:v>28.641000000000044</c:v>
                </c:pt>
                <c:pt idx="787">
                  <c:v>28.641100000000044</c:v>
                </c:pt>
                <c:pt idx="788">
                  <c:v>28.641200000000044</c:v>
                </c:pt>
                <c:pt idx="789">
                  <c:v>28.641300000000044</c:v>
                </c:pt>
                <c:pt idx="790">
                  <c:v>28.641400000000043</c:v>
                </c:pt>
                <c:pt idx="791">
                  <c:v>28.641500000000043</c:v>
                </c:pt>
                <c:pt idx="792">
                  <c:v>28.641600000000043</c:v>
                </c:pt>
                <c:pt idx="793">
                  <c:v>28.641700000000043</c:v>
                </c:pt>
                <c:pt idx="794">
                  <c:v>28.641800000000043</c:v>
                </c:pt>
                <c:pt idx="795">
                  <c:v>28.641900000000042</c:v>
                </c:pt>
                <c:pt idx="796">
                  <c:v>28.642000000000042</c:v>
                </c:pt>
                <c:pt idx="797">
                  <c:v>28.642100000000042</c:v>
                </c:pt>
                <c:pt idx="798">
                  <c:v>28.642200000000042</c:v>
                </c:pt>
                <c:pt idx="799">
                  <c:v>28.642300000000041</c:v>
                </c:pt>
                <c:pt idx="800">
                  <c:v>28.642400000000041</c:v>
                </c:pt>
                <c:pt idx="801">
                  <c:v>28.642500000000041</c:v>
                </c:pt>
                <c:pt idx="802">
                  <c:v>28.642600000000041</c:v>
                </c:pt>
                <c:pt idx="803">
                  <c:v>28.64270000000004</c:v>
                </c:pt>
                <c:pt idx="804">
                  <c:v>28.64280000000004</c:v>
                </c:pt>
                <c:pt idx="805">
                  <c:v>28.64290000000004</c:v>
                </c:pt>
                <c:pt idx="806">
                  <c:v>28.64300000000004</c:v>
                </c:pt>
                <c:pt idx="807">
                  <c:v>28.64310000000004</c:v>
                </c:pt>
                <c:pt idx="808">
                  <c:v>28.643200000000039</c:v>
                </c:pt>
                <c:pt idx="809">
                  <c:v>28.643300000000039</c:v>
                </c:pt>
                <c:pt idx="810">
                  <c:v>28.643400000000039</c:v>
                </c:pt>
                <c:pt idx="811">
                  <c:v>28.643500000000039</c:v>
                </c:pt>
                <c:pt idx="812">
                  <c:v>28.643600000000038</c:v>
                </c:pt>
                <c:pt idx="813">
                  <c:v>28.643700000000038</c:v>
                </c:pt>
                <c:pt idx="814">
                  <c:v>28.643800000000038</c:v>
                </c:pt>
                <c:pt idx="815">
                  <c:v>28.643900000000038</c:v>
                </c:pt>
                <c:pt idx="816">
                  <c:v>28.644000000000037</c:v>
                </c:pt>
                <c:pt idx="817">
                  <c:v>28.644100000000037</c:v>
                </c:pt>
                <c:pt idx="818">
                  <c:v>28.644200000000037</c:v>
                </c:pt>
                <c:pt idx="819">
                  <c:v>28.644300000000037</c:v>
                </c:pt>
                <c:pt idx="820">
                  <c:v>28.644400000000036</c:v>
                </c:pt>
                <c:pt idx="821">
                  <c:v>28.644500000000036</c:v>
                </c:pt>
                <c:pt idx="822">
                  <c:v>28.644600000000036</c:v>
                </c:pt>
                <c:pt idx="823">
                  <c:v>28.644700000000036</c:v>
                </c:pt>
                <c:pt idx="824">
                  <c:v>28.644800000000036</c:v>
                </c:pt>
                <c:pt idx="825">
                  <c:v>28.644900000000035</c:v>
                </c:pt>
                <c:pt idx="826">
                  <c:v>28.645000000000035</c:v>
                </c:pt>
                <c:pt idx="827">
                  <c:v>28.645100000000035</c:v>
                </c:pt>
                <c:pt idx="828">
                  <c:v>28.645200000000035</c:v>
                </c:pt>
                <c:pt idx="829">
                  <c:v>28.645300000000034</c:v>
                </c:pt>
                <c:pt idx="830">
                  <c:v>28.645400000000034</c:v>
                </c:pt>
                <c:pt idx="831">
                  <c:v>28.645500000000034</c:v>
                </c:pt>
                <c:pt idx="832">
                  <c:v>28.645600000000034</c:v>
                </c:pt>
                <c:pt idx="833">
                  <c:v>28.645700000000033</c:v>
                </c:pt>
                <c:pt idx="834">
                  <c:v>28.645800000000033</c:v>
                </c:pt>
                <c:pt idx="835">
                  <c:v>28.645900000000033</c:v>
                </c:pt>
                <c:pt idx="836">
                  <c:v>28.646000000000033</c:v>
                </c:pt>
                <c:pt idx="837">
                  <c:v>28.646100000000033</c:v>
                </c:pt>
                <c:pt idx="838">
                  <c:v>28.646200000000032</c:v>
                </c:pt>
                <c:pt idx="839">
                  <c:v>28.646300000000032</c:v>
                </c:pt>
                <c:pt idx="840">
                  <c:v>28.646400000000032</c:v>
                </c:pt>
                <c:pt idx="841">
                  <c:v>28.646500000000032</c:v>
                </c:pt>
                <c:pt idx="842">
                  <c:v>28.646600000000031</c:v>
                </c:pt>
                <c:pt idx="843">
                  <c:v>28.646700000000031</c:v>
                </c:pt>
                <c:pt idx="844">
                  <c:v>28.646800000000031</c:v>
                </c:pt>
                <c:pt idx="845">
                  <c:v>28.646900000000031</c:v>
                </c:pt>
                <c:pt idx="846">
                  <c:v>28.64700000000003</c:v>
                </c:pt>
                <c:pt idx="847">
                  <c:v>28.64710000000003</c:v>
                </c:pt>
                <c:pt idx="848">
                  <c:v>28.64720000000003</c:v>
                </c:pt>
                <c:pt idx="849">
                  <c:v>28.64730000000003</c:v>
                </c:pt>
                <c:pt idx="850">
                  <c:v>28.64740000000003</c:v>
                </c:pt>
                <c:pt idx="851">
                  <c:v>28.647500000000029</c:v>
                </c:pt>
                <c:pt idx="852">
                  <c:v>28.647600000000029</c:v>
                </c:pt>
                <c:pt idx="853">
                  <c:v>28.647700000000029</c:v>
                </c:pt>
                <c:pt idx="854">
                  <c:v>28.647800000000029</c:v>
                </c:pt>
                <c:pt idx="855">
                  <c:v>28.647900000000028</c:v>
                </c:pt>
                <c:pt idx="856">
                  <c:v>28.648000000000028</c:v>
                </c:pt>
                <c:pt idx="857">
                  <c:v>28.648100000000028</c:v>
                </c:pt>
                <c:pt idx="858">
                  <c:v>28.648200000000028</c:v>
                </c:pt>
                <c:pt idx="859">
                  <c:v>28.648300000000027</c:v>
                </c:pt>
                <c:pt idx="860">
                  <c:v>28.648400000000027</c:v>
                </c:pt>
                <c:pt idx="861">
                  <c:v>28.648500000000027</c:v>
                </c:pt>
                <c:pt idx="862">
                  <c:v>28.648600000000027</c:v>
                </c:pt>
                <c:pt idx="863">
                  <c:v>28.648700000000026</c:v>
                </c:pt>
                <c:pt idx="864">
                  <c:v>28.648800000000026</c:v>
                </c:pt>
                <c:pt idx="865">
                  <c:v>28.648900000000026</c:v>
                </c:pt>
                <c:pt idx="866">
                  <c:v>28.649000000000026</c:v>
                </c:pt>
                <c:pt idx="867">
                  <c:v>28.649100000000026</c:v>
                </c:pt>
                <c:pt idx="868">
                  <c:v>28.649200000000025</c:v>
                </c:pt>
                <c:pt idx="869">
                  <c:v>28.649300000000025</c:v>
                </c:pt>
                <c:pt idx="870">
                  <c:v>28.649400000000025</c:v>
                </c:pt>
                <c:pt idx="871">
                  <c:v>28.649500000000025</c:v>
                </c:pt>
                <c:pt idx="872">
                  <c:v>28.649600000000024</c:v>
                </c:pt>
                <c:pt idx="873">
                  <c:v>28.649700000000024</c:v>
                </c:pt>
                <c:pt idx="874">
                  <c:v>28.649800000000024</c:v>
                </c:pt>
                <c:pt idx="875">
                  <c:v>28.649900000000024</c:v>
                </c:pt>
                <c:pt idx="876">
                  <c:v>28.650000000000023</c:v>
                </c:pt>
                <c:pt idx="877">
                  <c:v>28.650100000000023</c:v>
                </c:pt>
                <c:pt idx="878">
                  <c:v>28.650200000000023</c:v>
                </c:pt>
                <c:pt idx="879">
                  <c:v>28.650300000000023</c:v>
                </c:pt>
                <c:pt idx="880">
                  <c:v>28.650400000000023</c:v>
                </c:pt>
                <c:pt idx="881">
                  <c:v>28.650500000000022</c:v>
                </c:pt>
                <c:pt idx="882">
                  <c:v>28.650600000000022</c:v>
                </c:pt>
                <c:pt idx="883">
                  <c:v>28.650700000000022</c:v>
                </c:pt>
                <c:pt idx="884">
                  <c:v>28.650800000000022</c:v>
                </c:pt>
                <c:pt idx="885">
                  <c:v>28.650900000000021</c:v>
                </c:pt>
                <c:pt idx="886">
                  <c:v>28.651000000000021</c:v>
                </c:pt>
                <c:pt idx="887">
                  <c:v>28.651100000000021</c:v>
                </c:pt>
                <c:pt idx="888">
                  <c:v>28.651200000000021</c:v>
                </c:pt>
                <c:pt idx="889">
                  <c:v>28.65130000000002</c:v>
                </c:pt>
                <c:pt idx="890">
                  <c:v>28.65140000000002</c:v>
                </c:pt>
                <c:pt idx="891">
                  <c:v>28.65150000000002</c:v>
                </c:pt>
                <c:pt idx="892">
                  <c:v>28.65160000000002</c:v>
                </c:pt>
                <c:pt idx="893">
                  <c:v>28.651700000000019</c:v>
                </c:pt>
                <c:pt idx="894">
                  <c:v>28.651800000000019</c:v>
                </c:pt>
                <c:pt idx="895">
                  <c:v>28.651900000000019</c:v>
                </c:pt>
                <c:pt idx="896">
                  <c:v>28.652000000000019</c:v>
                </c:pt>
                <c:pt idx="897">
                  <c:v>28.652100000000019</c:v>
                </c:pt>
                <c:pt idx="898">
                  <c:v>28.652200000000018</c:v>
                </c:pt>
                <c:pt idx="899">
                  <c:v>28.652300000000018</c:v>
                </c:pt>
                <c:pt idx="900">
                  <c:v>28.652400000000018</c:v>
                </c:pt>
                <c:pt idx="901">
                  <c:v>28.652500000000018</c:v>
                </c:pt>
                <c:pt idx="902">
                  <c:v>28.652600000000017</c:v>
                </c:pt>
                <c:pt idx="903">
                  <c:v>28.652700000000017</c:v>
                </c:pt>
                <c:pt idx="904">
                  <c:v>28.652800000000017</c:v>
                </c:pt>
                <c:pt idx="905">
                  <c:v>28.652900000000017</c:v>
                </c:pt>
                <c:pt idx="906">
                  <c:v>28.653000000000016</c:v>
                </c:pt>
                <c:pt idx="907">
                  <c:v>28.653100000000016</c:v>
                </c:pt>
                <c:pt idx="908">
                  <c:v>28.653200000000016</c:v>
                </c:pt>
                <c:pt idx="909">
                  <c:v>28.653300000000016</c:v>
                </c:pt>
                <c:pt idx="910">
                  <c:v>28.653400000000016</c:v>
                </c:pt>
                <c:pt idx="911">
                  <c:v>28.653500000000015</c:v>
                </c:pt>
                <c:pt idx="912">
                  <c:v>28.653600000000015</c:v>
                </c:pt>
                <c:pt idx="913">
                  <c:v>28.653700000000015</c:v>
                </c:pt>
                <c:pt idx="914">
                  <c:v>28.653800000000015</c:v>
                </c:pt>
                <c:pt idx="915">
                  <c:v>28.653900000000014</c:v>
                </c:pt>
                <c:pt idx="916">
                  <c:v>28.654000000000014</c:v>
                </c:pt>
                <c:pt idx="917">
                  <c:v>28.654100000000014</c:v>
                </c:pt>
                <c:pt idx="918">
                  <c:v>28.654200000000014</c:v>
                </c:pt>
                <c:pt idx="919">
                  <c:v>28.654300000000013</c:v>
                </c:pt>
                <c:pt idx="920">
                  <c:v>28.654400000000013</c:v>
                </c:pt>
                <c:pt idx="921">
                  <c:v>28.654500000000013</c:v>
                </c:pt>
                <c:pt idx="922">
                  <c:v>28.654600000000013</c:v>
                </c:pt>
                <c:pt idx="923">
                  <c:v>28.654700000000012</c:v>
                </c:pt>
                <c:pt idx="924">
                  <c:v>28.654800000000012</c:v>
                </c:pt>
                <c:pt idx="925">
                  <c:v>28.654900000000012</c:v>
                </c:pt>
                <c:pt idx="926">
                  <c:v>28.655000000000012</c:v>
                </c:pt>
                <c:pt idx="927">
                  <c:v>28.655100000000012</c:v>
                </c:pt>
                <c:pt idx="928">
                  <c:v>28.655200000000011</c:v>
                </c:pt>
                <c:pt idx="929">
                  <c:v>28.655300000000011</c:v>
                </c:pt>
                <c:pt idx="930">
                  <c:v>28.655400000000011</c:v>
                </c:pt>
                <c:pt idx="931">
                  <c:v>28.655500000000011</c:v>
                </c:pt>
                <c:pt idx="932">
                  <c:v>28.65560000000001</c:v>
                </c:pt>
                <c:pt idx="933">
                  <c:v>28.65570000000001</c:v>
                </c:pt>
                <c:pt idx="934">
                  <c:v>28.65580000000001</c:v>
                </c:pt>
                <c:pt idx="935">
                  <c:v>28.65590000000001</c:v>
                </c:pt>
                <c:pt idx="936">
                  <c:v>28.656000000000009</c:v>
                </c:pt>
                <c:pt idx="937">
                  <c:v>28.656100000000009</c:v>
                </c:pt>
                <c:pt idx="938">
                  <c:v>28.656200000000009</c:v>
                </c:pt>
                <c:pt idx="939">
                  <c:v>28.656300000000009</c:v>
                </c:pt>
                <c:pt idx="940">
                  <c:v>28.656400000000009</c:v>
                </c:pt>
                <c:pt idx="941">
                  <c:v>28.656500000000008</c:v>
                </c:pt>
                <c:pt idx="942">
                  <c:v>28.656600000000008</c:v>
                </c:pt>
                <c:pt idx="943">
                  <c:v>28.656700000000008</c:v>
                </c:pt>
                <c:pt idx="944">
                  <c:v>28.656800000000008</c:v>
                </c:pt>
                <c:pt idx="945">
                  <c:v>28.656900000000007</c:v>
                </c:pt>
                <c:pt idx="946">
                  <c:v>28.657000000000007</c:v>
                </c:pt>
                <c:pt idx="947">
                  <c:v>28.657100000000007</c:v>
                </c:pt>
                <c:pt idx="948">
                  <c:v>28.657200000000007</c:v>
                </c:pt>
                <c:pt idx="949">
                  <c:v>28.657300000000006</c:v>
                </c:pt>
                <c:pt idx="950">
                  <c:v>28.657400000000006</c:v>
                </c:pt>
                <c:pt idx="951">
                  <c:v>28.657500000000006</c:v>
                </c:pt>
                <c:pt idx="952">
                  <c:v>28.657600000000006</c:v>
                </c:pt>
                <c:pt idx="953">
                  <c:v>28.657700000000006</c:v>
                </c:pt>
                <c:pt idx="954">
                  <c:v>28.657800000000005</c:v>
                </c:pt>
                <c:pt idx="955">
                  <c:v>28.657900000000005</c:v>
                </c:pt>
                <c:pt idx="956">
                  <c:v>28.658000000000005</c:v>
                </c:pt>
                <c:pt idx="957">
                  <c:v>28.658100000000005</c:v>
                </c:pt>
                <c:pt idx="958">
                  <c:v>28.658200000000004</c:v>
                </c:pt>
                <c:pt idx="959">
                  <c:v>28.658300000000004</c:v>
                </c:pt>
                <c:pt idx="960">
                  <c:v>28.658400000000004</c:v>
                </c:pt>
                <c:pt idx="961">
                  <c:v>28.658500000000004</c:v>
                </c:pt>
                <c:pt idx="962">
                  <c:v>28.658600000000003</c:v>
                </c:pt>
                <c:pt idx="963">
                  <c:v>28.658700000000003</c:v>
                </c:pt>
                <c:pt idx="964">
                  <c:v>28.658800000000003</c:v>
                </c:pt>
                <c:pt idx="965">
                  <c:v>28.658900000000003</c:v>
                </c:pt>
                <c:pt idx="966">
                  <c:v>28.659000000000002</c:v>
                </c:pt>
                <c:pt idx="967">
                  <c:v>28.659100000000002</c:v>
                </c:pt>
                <c:pt idx="968">
                  <c:v>28.659200000000002</c:v>
                </c:pt>
                <c:pt idx="969">
                  <c:v>28.659300000000002</c:v>
                </c:pt>
                <c:pt idx="970">
                  <c:v>28.659400000000002</c:v>
                </c:pt>
                <c:pt idx="971">
                  <c:v>28.659500000000001</c:v>
                </c:pt>
                <c:pt idx="972">
                  <c:v>28.659600000000001</c:v>
                </c:pt>
                <c:pt idx="973">
                  <c:v>28.659700000000001</c:v>
                </c:pt>
                <c:pt idx="974">
                  <c:v>28.659800000000001</c:v>
                </c:pt>
                <c:pt idx="975">
                  <c:v>28.6599</c:v>
                </c:pt>
                <c:pt idx="976">
                  <c:v>28.66</c:v>
                </c:pt>
                <c:pt idx="977">
                  <c:v>28.6601</c:v>
                </c:pt>
                <c:pt idx="978">
                  <c:v>28.6602</c:v>
                </c:pt>
                <c:pt idx="979">
                  <c:v>28.660299999999999</c:v>
                </c:pt>
                <c:pt idx="980">
                  <c:v>28.660399999999999</c:v>
                </c:pt>
                <c:pt idx="981">
                  <c:v>28.660499999999999</c:v>
                </c:pt>
                <c:pt idx="982">
                  <c:v>28.660599999999999</c:v>
                </c:pt>
                <c:pt idx="983">
                  <c:v>28.660699999999999</c:v>
                </c:pt>
                <c:pt idx="984">
                  <c:v>28.660799999999998</c:v>
                </c:pt>
                <c:pt idx="985">
                  <c:v>28.660899999999998</c:v>
                </c:pt>
                <c:pt idx="986">
                  <c:v>28.660999999999998</c:v>
                </c:pt>
                <c:pt idx="987">
                  <c:v>28.661099999999998</c:v>
                </c:pt>
                <c:pt idx="988">
                  <c:v>28.661199999999997</c:v>
                </c:pt>
                <c:pt idx="989">
                  <c:v>28.661299999999997</c:v>
                </c:pt>
                <c:pt idx="990">
                  <c:v>28.661399999999997</c:v>
                </c:pt>
                <c:pt idx="991">
                  <c:v>28.661499999999997</c:v>
                </c:pt>
                <c:pt idx="992">
                  <c:v>28.661599999999996</c:v>
                </c:pt>
                <c:pt idx="993">
                  <c:v>28.661699999999996</c:v>
                </c:pt>
                <c:pt idx="994">
                  <c:v>28.661799999999996</c:v>
                </c:pt>
                <c:pt idx="995">
                  <c:v>28.661899999999996</c:v>
                </c:pt>
                <c:pt idx="996">
                  <c:v>28.661999999999995</c:v>
                </c:pt>
                <c:pt idx="997">
                  <c:v>28.662099999999995</c:v>
                </c:pt>
                <c:pt idx="998">
                  <c:v>28.662199999999995</c:v>
                </c:pt>
                <c:pt idx="999">
                  <c:v>28.662299999999995</c:v>
                </c:pt>
                <c:pt idx="1000">
                  <c:v>28.662399999999995</c:v>
                </c:pt>
              </c:numCache>
            </c:numRef>
          </c:xVal>
          <c:yVal>
            <c:numRef>
              <c:f>Calculs!$AE$4:$AE$1004</c:f>
              <c:numCache>
                <c:formatCode>0</c:formatCode>
                <c:ptCount val="1001"/>
                <c:pt idx="0">
                  <c:v>570.20506866099674</c:v>
                </c:pt>
                <c:pt idx="1">
                  <c:v>571.70180485420815</c:v>
                </c:pt>
                <c:pt idx="2">
                  <c:v>573.19555889131561</c:v>
                </c:pt>
                <c:pt idx="3">
                  <c:v>574.6863389760498</c:v>
                </c:pt>
                <c:pt idx="4">
                  <c:v>576.17415327135552</c:v>
                </c:pt>
                <c:pt idx="5">
                  <c:v>577.65900989965996</c:v>
                </c:pt>
                <c:pt idx="6">
                  <c:v>579.14091694313913</c:v>
                </c:pt>
                <c:pt idx="7">
                  <c:v>580.6198824439814</c:v>
                </c:pt>
                <c:pt idx="8">
                  <c:v>582.09591440464942</c:v>
                </c:pt>
                <c:pt idx="9">
                  <c:v>583.56902078813982</c:v>
                </c:pt>
                <c:pt idx="10">
                  <c:v>585.03920951824068</c:v>
                </c:pt>
                <c:pt idx="11">
                  <c:v>586.50648846886315</c:v>
                </c:pt>
                <c:pt idx="12">
                  <c:v>587.97086545361992</c:v>
                </c:pt>
                <c:pt idx="13">
                  <c:v>589.43234823749185</c:v>
                </c:pt>
                <c:pt idx="14">
                  <c:v>590.89094454823828</c:v>
                </c:pt>
                <c:pt idx="15">
                  <c:v>592.34666207663042</c:v>
                </c:pt>
                <c:pt idx="16">
                  <c:v>593.7995084766826</c:v>
                </c:pt>
                <c:pt idx="17">
                  <c:v>595.24949136588236</c:v>
                </c:pt>
                <c:pt idx="18">
                  <c:v>596.69661832541772</c:v>
                </c:pt>
                <c:pt idx="19">
                  <c:v>598.14089690040373</c:v>
                </c:pt>
                <c:pt idx="20">
                  <c:v>599.58233460010649</c:v>
                </c:pt>
                <c:pt idx="21">
                  <c:v>601.02093890362949</c:v>
                </c:pt>
                <c:pt idx="22">
                  <c:v>602.45671726547835</c:v>
                </c:pt>
                <c:pt idx="23">
                  <c:v>603.88967711007933</c:v>
                </c:pt>
                <c:pt idx="24">
                  <c:v>605.31982582641808</c:v>
                </c:pt>
                <c:pt idx="25">
                  <c:v>606.74717076826209</c:v>
                </c:pt>
                <c:pt idx="26">
                  <c:v>608.17171925438083</c:v>
                </c:pt>
                <c:pt idx="27">
                  <c:v>609.59347856876457</c:v>
                </c:pt>
                <c:pt idx="28">
                  <c:v>611.01245596084152</c:v>
                </c:pt>
                <c:pt idx="29">
                  <c:v>612.42865864569285</c:v>
                </c:pt>
                <c:pt idx="30">
                  <c:v>613.84209380426614</c:v>
                </c:pt>
                <c:pt idx="31">
                  <c:v>615.25276858358757</c:v>
                </c:pt>
                <c:pt idx="32">
                  <c:v>616.66069009697196</c:v>
                </c:pt>
                <c:pt idx="33">
                  <c:v>618.06586542423133</c:v>
                </c:pt>
                <c:pt idx="34">
                  <c:v>619.468301611882</c:v>
                </c:pt>
                <c:pt idx="35">
                  <c:v>620.86800567334967</c:v>
                </c:pt>
                <c:pt idx="36">
                  <c:v>622.26498458917342</c:v>
                </c:pt>
                <c:pt idx="37">
                  <c:v>623.6592453072077</c:v>
                </c:pt>
                <c:pt idx="38">
                  <c:v>625.05079474282297</c:v>
                </c:pt>
                <c:pt idx="39">
                  <c:v>626.43963977910482</c:v>
                </c:pt>
                <c:pt idx="40">
                  <c:v>627.82578726705128</c:v>
                </c:pt>
                <c:pt idx="41">
                  <c:v>629.20924402576895</c:v>
                </c:pt>
                <c:pt idx="42">
                  <c:v>630.5900168426673</c:v>
                </c:pt>
                <c:pt idx="43">
                  <c:v>631.96811247365179</c:v>
                </c:pt>
                <c:pt idx="44">
                  <c:v>633.34353764331524</c:v>
                </c:pt>
                <c:pt idx="45">
                  <c:v>634.71629904512793</c:v>
                </c:pt>
                <c:pt idx="46">
                  <c:v>636.08640334162612</c:v>
                </c:pt>
                <c:pt idx="47">
                  <c:v>637.45385716459896</c:v>
                </c:pt>
                <c:pt idx="48">
                  <c:v>638.81866711527448</c:v>
                </c:pt>
                <c:pt idx="49">
                  <c:v>640.18083976450373</c:v>
                </c:pt>
                <c:pt idx="50">
                  <c:v>641.54038165294355</c:v>
                </c:pt>
                <c:pt idx="51">
                  <c:v>642.89729929123826</c:v>
                </c:pt>
                <c:pt idx="52">
                  <c:v>644.25159916019936</c:v>
                </c:pt>
                <c:pt idx="53">
                  <c:v>645.60328771098477</c:v>
                </c:pt>
                <c:pt idx="54">
                  <c:v>646.95237136527589</c:v>
                </c:pt>
                <c:pt idx="55">
                  <c:v>648.29885651545351</c:v>
                </c:pt>
                <c:pt idx="56">
                  <c:v>649.64274952477285</c:v>
                </c:pt>
                <c:pt idx="57">
                  <c:v>650.98405672753677</c:v>
                </c:pt>
                <c:pt idx="58">
                  <c:v>652.32278442926781</c:v>
                </c:pt>
                <c:pt idx="59">
                  <c:v>653.65893890687914</c:v>
                </c:pt>
                <c:pt idx="60">
                  <c:v>654.9925264088439</c:v>
                </c:pt>
                <c:pt idx="61">
                  <c:v>656.32355315536358</c:v>
                </c:pt>
                <c:pt idx="62">
                  <c:v>657.65202533853494</c:v>
                </c:pt>
                <c:pt idx="63">
                  <c:v>658.97794912251584</c:v>
                </c:pt>
                <c:pt idx="64">
                  <c:v>660.30133064368943</c:v>
                </c:pt>
                <c:pt idx="65">
                  <c:v>661.62217601082773</c:v>
                </c:pt>
                <c:pt idx="66">
                  <c:v>662.94049130525377</c:v>
                </c:pt>
                <c:pt idx="67">
                  <c:v>664.25628258100221</c:v>
                </c:pt>
                <c:pt idx="68">
                  <c:v>665.56955586497907</c:v>
                </c:pt>
                <c:pt idx="69">
                  <c:v>666.8803171571202</c:v>
                </c:pt>
                <c:pt idx="70">
                  <c:v>668.18857243054867</c:v>
                </c:pt>
                <c:pt idx="71">
                  <c:v>669.49432763173104</c:v>
                </c:pt>
                <c:pt idx="72">
                  <c:v>670.79758868063209</c:v>
                </c:pt>
                <c:pt idx="73">
                  <c:v>672.09836147086878</c:v>
                </c:pt>
                <c:pt idx="74">
                  <c:v>673.39665186986304</c:v>
                </c:pt>
                <c:pt idx="75">
                  <c:v>674.6924657189935</c:v>
                </c:pt>
                <c:pt idx="76">
                  <c:v>675.98580883374575</c:v>
                </c:pt>
                <c:pt idx="77">
                  <c:v>677.27668700386187</c:v>
                </c:pt>
                <c:pt idx="78">
                  <c:v>678.56510599348883</c:v>
                </c:pt>
                <c:pt idx="79">
                  <c:v>679.8510715413255</c:v>
                </c:pt>
                <c:pt idx="80">
                  <c:v>681.13458936076893</c:v>
                </c:pt>
                <c:pt idx="81">
                  <c:v>682.41566514005956</c:v>
                </c:pt>
                <c:pt idx="82">
                  <c:v>683.69430454242513</c:v>
                </c:pt>
                <c:pt idx="83">
                  <c:v>684.9705132062237</c:v>
                </c:pt>
                <c:pt idx="84">
                  <c:v>686.24429674508565</c:v>
                </c:pt>
                <c:pt idx="85">
                  <c:v>687.51566074805453</c:v>
                </c:pt>
                <c:pt idx="86">
                  <c:v>688.78461077972702</c:v>
                </c:pt>
                <c:pt idx="87">
                  <c:v>690.05115238039207</c:v>
                </c:pt>
                <c:pt idx="88">
                  <c:v>691.31529106616847</c:v>
                </c:pt>
                <c:pt idx="89">
                  <c:v>692.57703232914184</c:v>
                </c:pt>
                <c:pt idx="90">
                  <c:v>693.83638163750084</c:v>
                </c:pt>
                <c:pt idx="91">
                  <c:v>695.09334443567195</c:v>
                </c:pt>
                <c:pt idx="92">
                  <c:v>696.34792614445337</c:v>
                </c:pt>
                <c:pt idx="93">
                  <c:v>697.60013216114817</c:v>
                </c:pt>
                <c:pt idx="94">
                  <c:v>698.84996785969645</c:v>
                </c:pt>
                <c:pt idx="95">
                  <c:v>700.09743859080641</c:v>
                </c:pt>
                <c:pt idx="96">
                  <c:v>701.34254968208461</c:v>
                </c:pt>
                <c:pt idx="97">
                  <c:v>702.58530643816516</c:v>
                </c:pt>
                <c:pt idx="98">
                  <c:v>703.82571414083839</c:v>
                </c:pt>
                <c:pt idx="99">
                  <c:v>705.06377804917781</c:v>
                </c:pt>
                <c:pt idx="100">
                  <c:v>706.29950339966729</c:v>
                </c:pt>
                <c:pt idx="101">
                  <c:v>718.52854005730728</c:v>
                </c:pt>
                <c:pt idx="102">
                  <c:v>730.52706813776001</c:v>
                </c:pt>
                <c:pt idx="103">
                  <c:v>742.30011104420862</c:v>
                </c:pt>
                <c:pt idx="104">
                  <c:v>753.85248213761804</c:v>
                </c:pt>
                <c:pt idx="105">
                  <c:v>765.18879596593888</c:v>
                </c:pt>
                <c:pt idx="106">
                  <c:v>776.31347873877621</c:v>
                </c:pt>
                <c:pt idx="107">
                  <c:v>787.23077810765699</c:v>
                </c:pt>
                <c:pt idx="108">
                  <c:v>797.94477230648795</c:v>
                </c:pt>
                <c:pt idx="109">
                  <c:v>808.45937870183184</c:v>
                </c:pt>
                <c:pt idx="110">
                  <c:v>818.77836179817598</c:v>
                </c:pt>
                <c:pt idx="111">
                  <c:v>828.9053407393659</c:v>
                </c:pt>
                <c:pt idx="112">
                  <c:v>838.84379634377626</c:v>
                </c:pt>
                <c:pt idx="113">
                  <c:v>848.59707770754767</c:v>
                </c:pt>
                <c:pt idx="114">
                  <c:v>858.16840840729094</c:v>
                </c:pt>
                <c:pt idx="115">
                  <c:v>867.56089233101488</c:v>
                </c:pt>
                <c:pt idx="116">
                  <c:v>876.77751916364275</c:v>
                </c:pt>
                <c:pt idx="117">
                  <c:v>885.82116955131448</c:v>
                </c:pt>
                <c:pt idx="118">
                  <c:v>894.69461996670725</c:v>
                </c:pt>
                <c:pt idx="119">
                  <c:v>903.40054729582175</c:v>
                </c:pt>
                <c:pt idx="120">
                  <c:v>911.94153316506015</c:v>
                </c:pt>
                <c:pt idx="121">
                  <c:v>920.32006802594503</c:v>
                </c:pt>
                <c:pt idx="122">
                  <c:v>928.53855501348335</c:v>
                </c:pt>
                <c:pt idx="123">
                  <c:v>936.59931359295331</c:v>
                </c:pt>
                <c:pt idx="124">
                  <c:v>944.50458300877074</c:v>
                </c:pt>
                <c:pt idx="125">
                  <c:v>952.25652554806913</c:v>
                </c:pt>
                <c:pt idx="126">
                  <c:v>959.85722963069009</c:v>
                </c:pt>
                <c:pt idx="127">
                  <c:v>967.30871273642288</c:v>
                </c:pt>
                <c:pt idx="128">
                  <c:v>974.61292417954712</c:v>
                </c:pt>
                <c:pt idx="129">
                  <c:v>981.77174774000912</c:v>
                </c:pt>
                <c:pt idx="130">
                  <c:v>988.7870041599017</c:v>
                </c:pt>
                <c:pt idx="131">
                  <c:v>995.66045351330865</c:v>
                </c:pt>
                <c:pt idx="132">
                  <c:v>1002.3937974570134</c:v>
                </c:pt>
                <c:pt idx="133">
                  <c:v>1008.9886813690589</c:v>
                </c:pt>
                <c:pt idx="134">
                  <c:v>1015.4466963816684</c:v>
                </c:pt>
                <c:pt idx="135">
                  <c:v>1021.7693813146013</c:v>
                </c:pt>
                <c:pt idx="136">
                  <c:v>1027.9582245146139</c:v>
                </c:pt>
                <c:pt idx="137">
                  <c:v>1034.0146656063216</c:v>
                </c:pt>
                <c:pt idx="138">
                  <c:v>1039.9400971594187</c:v>
                </c:pt>
                <c:pt idx="139">
                  <c:v>1045.7358662768895</c:v>
                </c:pt>
                <c:pt idx="140">
                  <c:v>1051.4032761085566</c:v>
                </c:pt>
                <c:pt idx="141">
                  <c:v>1056.9435872940346</c:v>
                </c:pt>
                <c:pt idx="142">
                  <c:v>1062.358019338915</c:v>
                </c:pt>
                <c:pt idx="143">
                  <c:v>1067.6477519277705</c:v>
                </c:pt>
                <c:pt idx="144">
                  <c:v>1072.8139261773536</c:v>
                </c:pt>
                <c:pt idx="145">
                  <c:v>1077.8576458331722</c:v>
                </c:pt>
                <c:pt idx="146">
                  <c:v>1082.7799784124368</c:v>
                </c:pt>
                <c:pt idx="147">
                  <c:v>1087.581956296209</c:v>
                </c:pt>
                <c:pt idx="148">
                  <c:v>1092.2645777734297</c:v>
                </c:pt>
                <c:pt idx="149">
                  <c:v>1096.8288080393572</c:v>
                </c:pt>
                <c:pt idx="150">
                  <c:v>1101.2755801508254</c:v>
                </c:pt>
                <c:pt idx="151">
                  <c:v>1105.6057959406037</c:v>
                </c:pt>
                <c:pt idx="152">
                  <c:v>1109.8203268930467</c:v>
                </c:pt>
                <c:pt idx="153">
                  <c:v>1113.9200149831147</c:v>
                </c:pt>
                <c:pt idx="154">
                  <c:v>1117.9056734807662</c:v>
                </c:pt>
                <c:pt idx="155">
                  <c:v>1121.778087722651</c:v>
                </c:pt>
                <c:pt idx="156">
                  <c:v>1125.538015852964</c:v>
                </c:pt>
                <c:pt idx="157">
                  <c:v>1129.1861895352679</c:v>
                </c:pt>
                <c:pt idx="158">
                  <c:v>1132.7233146370497</c:v>
                </c:pt>
                <c:pt idx="159">
                  <c:v>1136.1500718887457</c:v>
                </c:pt>
                <c:pt idx="160">
                  <c:v>1139.4671175189433</c:v>
                </c:pt>
                <c:pt idx="161">
                  <c:v>1142.675083867465</c:v>
                </c:pt>
                <c:pt idx="162">
                  <c:v>1145.7745799780389</c:v>
                </c:pt>
                <c:pt idx="163">
                  <c:v>1148.7661921722759</c:v>
                </c:pt>
                <c:pt idx="164">
                  <c:v>1151.6504846067069</c:v>
                </c:pt>
                <c:pt idx="165">
                  <c:v>1154.427999814674</c:v>
                </c:pt>
                <c:pt idx="166">
                  <c:v>1157.099259234931</c:v>
                </c:pt>
                <c:pt idx="167">
                  <c:v>1159.6647637288859</c:v>
                </c:pt>
                <c:pt idx="168">
                  <c:v>1162.1249940885091</c:v>
                </c:pt>
                <c:pt idx="169">
                  <c:v>1164.4804115370439</c:v>
                </c:pt>
                <c:pt idx="170">
                  <c:v>1166.7314582247839</c:v>
                </c:pt>
                <c:pt idx="171">
                  <c:v>1168.8785577223289</c:v>
                </c:pt>
                <c:pt idx="172">
                  <c:v>1170.9221155138948</c:v>
                </c:pt>
                <c:pt idx="173">
                  <c:v>1172.8625194934305</c:v>
                </c:pt>
                <c:pt idx="174">
                  <c:v>1174.7001404664852</c:v>
                </c:pt>
                <c:pt idx="175">
                  <c:v>1176.435332660968</c:v>
                </c:pt>
                <c:pt idx="176">
                  <c:v>1178.068434250132</c:v>
                </c:pt>
                <c:pt idx="177">
                  <c:v>1179.5997678913063</c:v>
                </c:pt>
                <c:pt idx="178">
                  <c:v>1181.0296412840548</c:v>
                </c:pt>
                <c:pt idx="179">
                  <c:v>1182.3583477515606</c:v>
                </c:pt>
                <c:pt idx="180">
                  <c:v>1183.5861668490923</c:v>
                </c:pt>
                <c:pt idx="181">
                  <c:v>1184.7133650033788</c:v>
                </c:pt>
                <c:pt idx="182">
                  <c:v>1185.7401961865703</c:v>
                </c:pt>
                <c:pt idx="183">
                  <c:v>1186.6669026281779</c:v>
                </c:pt>
                <c:pt idx="184">
                  <c:v>1187.4937155679215</c:v>
                </c:pt>
                <c:pt idx="185">
                  <c:v>1188.2208560517511</c:v>
                </c:pt>
                <c:pt idx="186">
                  <c:v>1188.8485357724333</c:v>
                </c:pt>
                <c:pt idx="187">
                  <c:v>1189.3769579549987</c:v>
                </c:pt>
                <c:pt idx="188">
                  <c:v>1189.806318286036</c:v>
                </c:pt>
                <c:pt idx="189">
                  <c:v>1190.1368058843445</c:v>
                </c:pt>
                <c:pt idx="190">
                  <c:v>1190.3686043088651</c:v>
                </c:pt>
                <c:pt idx="191">
                  <c:v>1190.5018925981813</c:v>
                </c:pt>
                <c:pt idx="192">
                  <c:v>1190.5368463343266</c:v>
                </c:pt>
                <c:pt idx="193">
                  <c:v>1190.4736387222511</c:v>
                </c:pt>
                <c:pt idx="194">
                  <c:v>1190.312441675205</c:v>
                </c:pt>
                <c:pt idx="195">
                  <c:v>1190.0534268955776</c:v>
                </c:pt>
                <c:pt idx="196">
                  <c:v>1189.6967669404496</c:v>
                </c:pt>
                <c:pt idx="197">
                  <c:v>1189.2426362613078</c:v>
                </c:pt>
                <c:pt idx="198">
                  <c:v>1188.6912122080053</c:v>
                </c:pt>
                <c:pt idx="199">
                  <c:v>1188.0426759880879</c:v>
                </c:pt>
                <c:pt idx="200">
                  <c:v>1187.2972135739467</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pt idx="445">
                  <c:v>#N/A</c:v>
                </c:pt>
                <c:pt idx="446">
                  <c:v>#N/A</c:v>
                </c:pt>
                <c:pt idx="447">
                  <c:v>#N/A</c:v>
                </c:pt>
                <c:pt idx="448">
                  <c:v>#N/A</c:v>
                </c:pt>
                <c:pt idx="449">
                  <c:v>#N/A</c:v>
                </c:pt>
                <c:pt idx="450">
                  <c:v>#N/A</c:v>
                </c:pt>
                <c:pt idx="451">
                  <c:v>#N/A</c:v>
                </c:pt>
                <c:pt idx="452">
                  <c:v>#N/A</c:v>
                </c:pt>
                <c:pt idx="453">
                  <c:v>#N/A</c:v>
                </c:pt>
                <c:pt idx="454">
                  <c:v>#N/A</c:v>
                </c:pt>
                <c:pt idx="455">
                  <c:v>#N/A</c:v>
                </c:pt>
                <c:pt idx="456">
                  <c:v>#N/A</c:v>
                </c:pt>
                <c:pt idx="457">
                  <c:v>#N/A</c:v>
                </c:pt>
                <c:pt idx="458">
                  <c:v>#N/A</c:v>
                </c:pt>
                <c:pt idx="459">
                  <c:v>#N/A</c:v>
                </c:pt>
                <c:pt idx="460">
                  <c:v>#N/A</c:v>
                </c:pt>
                <c:pt idx="461">
                  <c:v>#N/A</c:v>
                </c:pt>
                <c:pt idx="462">
                  <c:v>#N/A</c:v>
                </c:pt>
                <c:pt idx="463">
                  <c:v>#N/A</c:v>
                </c:pt>
                <c:pt idx="464">
                  <c:v>#N/A</c:v>
                </c:pt>
                <c:pt idx="465">
                  <c:v>#N/A</c:v>
                </c:pt>
                <c:pt idx="466">
                  <c:v>#N/A</c:v>
                </c:pt>
                <c:pt idx="467">
                  <c:v>#N/A</c:v>
                </c:pt>
                <c:pt idx="468">
                  <c:v>#N/A</c:v>
                </c:pt>
                <c:pt idx="469">
                  <c:v>#N/A</c:v>
                </c:pt>
                <c:pt idx="470">
                  <c:v>#N/A</c:v>
                </c:pt>
                <c:pt idx="471">
                  <c:v>#N/A</c:v>
                </c:pt>
                <c:pt idx="472">
                  <c:v>#N/A</c:v>
                </c:pt>
                <c:pt idx="473">
                  <c:v>#N/A</c:v>
                </c:pt>
                <c:pt idx="474">
                  <c:v>#N/A</c:v>
                </c:pt>
                <c:pt idx="475">
                  <c:v>#N/A</c:v>
                </c:pt>
                <c:pt idx="476">
                  <c:v>#N/A</c:v>
                </c:pt>
                <c:pt idx="477">
                  <c:v>#N/A</c:v>
                </c:pt>
                <c:pt idx="478">
                  <c:v>#N/A</c:v>
                </c:pt>
                <c:pt idx="479">
                  <c:v>#N/A</c:v>
                </c:pt>
                <c:pt idx="480">
                  <c:v>#N/A</c:v>
                </c:pt>
                <c:pt idx="481">
                  <c:v>#N/A</c:v>
                </c:pt>
                <c:pt idx="482">
                  <c:v>#N/A</c:v>
                </c:pt>
                <c:pt idx="483">
                  <c:v>#N/A</c:v>
                </c:pt>
                <c:pt idx="484">
                  <c:v>#N/A</c:v>
                </c:pt>
                <c:pt idx="485">
                  <c:v>#N/A</c:v>
                </c:pt>
                <c:pt idx="486">
                  <c:v>#N/A</c:v>
                </c:pt>
                <c:pt idx="487">
                  <c:v>#N/A</c:v>
                </c:pt>
                <c:pt idx="488">
                  <c:v>#N/A</c:v>
                </c:pt>
                <c:pt idx="489">
                  <c:v>#N/A</c:v>
                </c:pt>
                <c:pt idx="490">
                  <c:v>#N/A</c:v>
                </c:pt>
                <c:pt idx="491">
                  <c:v>#N/A</c:v>
                </c:pt>
                <c:pt idx="492">
                  <c:v>#N/A</c:v>
                </c:pt>
                <c:pt idx="493">
                  <c:v>#N/A</c:v>
                </c:pt>
                <c:pt idx="494">
                  <c:v>#N/A</c:v>
                </c:pt>
                <c:pt idx="495">
                  <c:v>#N/A</c:v>
                </c:pt>
                <c:pt idx="496">
                  <c:v>#N/A</c:v>
                </c:pt>
                <c:pt idx="497">
                  <c:v>#N/A</c:v>
                </c:pt>
                <c:pt idx="498">
                  <c:v>#N/A</c:v>
                </c:pt>
                <c:pt idx="499">
                  <c:v>#N/A</c:v>
                </c:pt>
                <c:pt idx="500">
                  <c:v>#N/A</c:v>
                </c:pt>
                <c:pt idx="501">
                  <c:v>#N/A</c:v>
                </c:pt>
                <c:pt idx="502">
                  <c:v>#N/A</c:v>
                </c:pt>
                <c:pt idx="503">
                  <c:v>#N/A</c:v>
                </c:pt>
                <c:pt idx="504">
                  <c:v>#N/A</c:v>
                </c:pt>
                <c:pt idx="505">
                  <c:v>#N/A</c:v>
                </c:pt>
                <c:pt idx="506">
                  <c:v>#N/A</c:v>
                </c:pt>
                <c:pt idx="507">
                  <c:v>#N/A</c:v>
                </c:pt>
                <c:pt idx="508">
                  <c:v>#N/A</c:v>
                </c:pt>
                <c:pt idx="509">
                  <c:v>#N/A</c:v>
                </c:pt>
                <c:pt idx="510">
                  <c:v>#N/A</c:v>
                </c:pt>
                <c:pt idx="511">
                  <c:v>#N/A</c:v>
                </c:pt>
                <c:pt idx="512">
                  <c:v>#N/A</c:v>
                </c:pt>
                <c:pt idx="513">
                  <c:v>#N/A</c:v>
                </c:pt>
                <c:pt idx="514">
                  <c:v>#N/A</c:v>
                </c:pt>
                <c:pt idx="515">
                  <c:v>#N/A</c:v>
                </c:pt>
                <c:pt idx="516">
                  <c:v>#N/A</c:v>
                </c:pt>
                <c:pt idx="517">
                  <c:v>#N/A</c:v>
                </c:pt>
                <c:pt idx="518">
                  <c:v>#N/A</c:v>
                </c:pt>
                <c:pt idx="519">
                  <c:v>#N/A</c:v>
                </c:pt>
                <c:pt idx="520">
                  <c:v>#N/A</c:v>
                </c:pt>
                <c:pt idx="521">
                  <c:v>#N/A</c:v>
                </c:pt>
                <c:pt idx="522">
                  <c:v>#N/A</c:v>
                </c:pt>
                <c:pt idx="523">
                  <c:v>#N/A</c:v>
                </c:pt>
                <c:pt idx="524">
                  <c:v>#N/A</c:v>
                </c:pt>
                <c:pt idx="525">
                  <c:v>#N/A</c:v>
                </c:pt>
                <c:pt idx="526">
                  <c:v>#N/A</c:v>
                </c:pt>
                <c:pt idx="527">
                  <c:v>#N/A</c:v>
                </c:pt>
                <c:pt idx="528">
                  <c:v>#N/A</c:v>
                </c:pt>
                <c:pt idx="529">
                  <c:v>#N/A</c:v>
                </c:pt>
                <c:pt idx="530">
                  <c:v>#N/A</c:v>
                </c:pt>
                <c:pt idx="531">
                  <c:v>#N/A</c:v>
                </c:pt>
                <c:pt idx="532">
                  <c:v>#N/A</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c:v>#N/A</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c:v>#N/A</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c:v>#N/A</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c:v>#N/A</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c:v>#N/A</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c:v>#N/A</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c:v>#N/A</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#N/A</c:v>
                </c:pt>
                <c:pt idx="783">
                  <c:v>#N/A</c:v>
                </c:pt>
                <c:pt idx="784">
                  <c:v>#N/A</c:v>
                </c:pt>
                <c:pt idx="785">
                  <c:v>#N/A</c:v>
                </c:pt>
                <c:pt idx="786">
                  <c:v>#N/A</c:v>
                </c:pt>
                <c:pt idx="787">
                  <c:v>#N/A</c:v>
                </c:pt>
                <c:pt idx="788">
                  <c:v>#N/A</c:v>
                </c:pt>
                <c:pt idx="789">
                  <c:v>#N/A</c:v>
                </c:pt>
                <c:pt idx="790">
                  <c:v>#N/A</c:v>
                </c:pt>
                <c:pt idx="791">
                  <c:v>#N/A</c:v>
                </c:pt>
                <c:pt idx="792">
                  <c:v>#N/A</c:v>
                </c:pt>
                <c:pt idx="793">
                  <c:v>#N/A</c:v>
                </c:pt>
                <c:pt idx="794">
                  <c:v>#N/A</c:v>
                </c:pt>
                <c:pt idx="795">
                  <c:v>#N/A</c:v>
                </c:pt>
                <c:pt idx="796">
                  <c:v>#N/A</c:v>
                </c:pt>
                <c:pt idx="797">
                  <c:v>#N/A</c:v>
                </c:pt>
                <c:pt idx="798">
                  <c:v>#N/A</c:v>
                </c:pt>
                <c:pt idx="799">
                  <c:v>#N/A</c:v>
                </c:pt>
                <c:pt idx="800">
                  <c:v>#N/A</c:v>
                </c:pt>
                <c:pt idx="801">
                  <c:v>#N/A</c:v>
                </c:pt>
                <c:pt idx="802">
                  <c:v>#N/A</c:v>
                </c:pt>
                <c:pt idx="803">
                  <c:v>#N/A</c:v>
                </c:pt>
                <c:pt idx="804">
                  <c:v>#N/A</c:v>
                </c:pt>
                <c:pt idx="805">
                  <c:v>#N/A</c:v>
                </c:pt>
                <c:pt idx="806">
                  <c:v>#N/A</c:v>
                </c:pt>
                <c:pt idx="807">
                  <c:v>#N/A</c:v>
                </c:pt>
                <c:pt idx="808">
                  <c:v>#N/A</c:v>
                </c:pt>
                <c:pt idx="809">
                  <c:v>#N/A</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pt idx="1000">
                  <c:v>#N/A</c:v>
                </c:pt>
              </c:numCache>
            </c:numRef>
          </c:yVal>
          <c:smooth val="0"/>
          <c:extLst>
            <c:ext xmlns:c16="http://schemas.microsoft.com/office/drawing/2014/chart" uri="{C3380CC4-5D6E-409C-BE32-E72D297353CC}">
              <c16:uniqueId val="{00000007-4C7F-469F-ADED-1B0B28F452E1}"/>
            </c:ext>
          </c:extLst>
        </c:ser>
        <c:ser>
          <c:idx val="6"/>
          <c:order val="6"/>
          <c:tx>
            <c:strRef>
              <c:f>Trajecto!$B$107</c:f>
              <c:strCache>
                <c:ptCount val="1"/>
                <c:pt idx="0">
                  <c:v>Phase ascendante</c:v>
                </c:pt>
              </c:strCache>
            </c:strRef>
          </c:tx>
          <c:spPr>
            <a:ln w="28575">
              <a:noFill/>
            </a:ln>
          </c:spPr>
          <c:marker>
            <c:symbol val="none"/>
          </c:marker>
          <c:dLbls>
            <c:spPr>
              <a:noFill/>
              <a:ln w="25400">
                <a:noFill/>
              </a:ln>
            </c:spPr>
            <c:txPr>
              <a:bodyPr/>
              <a:lstStyle/>
              <a:p>
                <a:pPr>
                  <a:defRPr sz="700" b="1" i="0" u="none" strike="noStrike" baseline="0">
                    <a:solidFill>
                      <a:srgbClr val="000080"/>
                    </a:solidFill>
                    <a:latin typeface="Arial"/>
                    <a:ea typeface="Arial"/>
                    <a:cs typeface="Arial"/>
                  </a:defRPr>
                </a:pPr>
                <a:endParaRPr lang="fr-FR"/>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Trajecto!$B$158</c:f>
              <c:numCache>
                <c:formatCode>General</c:formatCode>
                <c:ptCount val="1"/>
                <c:pt idx="0">
                  <c:v>2.7749999999999999</c:v>
                </c:pt>
              </c:numCache>
            </c:numRef>
          </c:xVal>
          <c:yVal>
            <c:numRef>
              <c:f>Trajecto!$C$158</c:f>
              <c:numCache>
                <c:formatCode>0</c:formatCode>
                <c:ptCount val="1"/>
                <c:pt idx="0">
                  <c:v>593.22750827589994</c:v>
                </c:pt>
              </c:numCache>
            </c:numRef>
          </c:yVal>
          <c:smooth val="0"/>
          <c:extLst>
            <c:ext xmlns:c16="http://schemas.microsoft.com/office/drawing/2014/chart" uri="{C3380CC4-5D6E-409C-BE32-E72D297353CC}">
              <c16:uniqueId val="{00000008-4C7F-469F-ADED-1B0B28F452E1}"/>
            </c:ext>
          </c:extLst>
        </c:ser>
        <c:ser>
          <c:idx val="7"/>
          <c:order val="7"/>
          <c:tx>
            <c:strRef>
              <c:f>Trajecto!$B$108</c:f>
              <c:strCache>
                <c:ptCount val="1"/>
                <c:pt idx="0">
                  <c:v>Descente balistique</c:v>
                </c:pt>
              </c:strCache>
            </c:strRef>
          </c:tx>
          <c:spPr>
            <a:ln w="28575">
              <a:noFill/>
            </a:ln>
          </c:spPr>
          <c:marker>
            <c:symbol val="none"/>
          </c:marker>
          <c:dLbls>
            <c:spPr>
              <a:noFill/>
              <a:ln w="25400">
                <a:noFill/>
              </a:ln>
            </c:spPr>
            <c:txPr>
              <a:bodyPr/>
              <a:lstStyle/>
              <a:p>
                <a:pPr>
                  <a:defRPr sz="700" b="1" i="0" u="none" strike="noStrike" baseline="0">
                    <a:solidFill>
                      <a:srgbClr val="808080"/>
                    </a:solidFill>
                    <a:latin typeface="Arial"/>
                    <a:ea typeface="Arial"/>
                    <a:cs typeface="Arial"/>
                  </a:defRPr>
                </a:pPr>
                <a:endParaRPr lang="fr-FR"/>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Trajecto!$B$159</c:f>
              <c:numCache>
                <c:formatCode>General</c:formatCode>
                <c:ptCount val="1"/>
                <c:pt idx="0">
                  <c:v>19.350000000000058</c:v>
                </c:pt>
              </c:numCache>
            </c:numRef>
          </c:xVal>
          <c:yVal>
            <c:numRef>
              <c:f>Trajecto!$C$159</c:f>
              <c:numCache>
                <c:formatCode>0</c:formatCode>
                <c:ptCount val="1"/>
                <c:pt idx="0">
                  <c:v>595.25094629909063</c:v>
                </c:pt>
              </c:numCache>
            </c:numRef>
          </c:yVal>
          <c:smooth val="0"/>
          <c:extLst>
            <c:ext xmlns:c16="http://schemas.microsoft.com/office/drawing/2014/chart" uri="{C3380CC4-5D6E-409C-BE32-E72D297353CC}">
              <c16:uniqueId val="{00000009-4C7F-469F-ADED-1B0B28F452E1}"/>
            </c:ext>
          </c:extLst>
        </c:ser>
        <c:dLbls>
          <c:showLegendKey val="0"/>
          <c:showVal val="0"/>
          <c:showCatName val="0"/>
          <c:showSerName val="0"/>
          <c:showPercent val="0"/>
          <c:showBubbleSize val="0"/>
        </c:dLbls>
        <c:axId val="149275008"/>
        <c:axId val="149276928"/>
      </c:scatterChart>
      <c:valAx>
        <c:axId val="149275008"/>
        <c:scaling>
          <c:orientation val="minMax"/>
          <c:min val="0"/>
        </c:scaling>
        <c:delete val="0"/>
        <c:axPos val="b"/>
        <c:majorGridlines>
          <c:spPr>
            <a:ln w="3175">
              <a:solidFill>
                <a:srgbClr val="000000"/>
              </a:solidFill>
              <a:prstDash val="sysDash"/>
            </a:ln>
          </c:spPr>
        </c:majorGridlines>
        <c:title>
          <c:tx>
            <c:strRef>
              <c:f>Trajecto!$B$113</c:f>
              <c:strCache>
                <c:ptCount val="1"/>
                <c:pt idx="0">
                  <c:v>Temps [s]</c:v>
                </c:pt>
              </c:strCache>
            </c:strRef>
          </c:tx>
          <c:layout>
            <c:manualLayout>
              <c:xMode val="edge"/>
              <c:yMode val="edge"/>
              <c:x val="0.60555551848391842"/>
              <c:y val="0.8513930569999506"/>
            </c:manualLayout>
          </c:layout>
          <c:overlay val="0"/>
          <c:spPr>
            <a:solidFill>
              <a:srgbClr val="FFFFFF"/>
            </a:solidFill>
            <a:ln w="25400">
              <a:noFill/>
            </a:ln>
          </c:spPr>
          <c:txPr>
            <a:bodyPr/>
            <a:lstStyle/>
            <a:p>
              <a:pPr>
                <a:defRPr sz="800" b="1" i="0" u="none" strike="noStrike" baseline="0">
                  <a:solidFill>
                    <a:srgbClr val="0000FF"/>
                  </a:solidFill>
                  <a:latin typeface="Arial"/>
                  <a:ea typeface="Arial"/>
                  <a:cs typeface="Arial"/>
                </a:defRPr>
              </a:pPr>
              <a:endParaRPr lang="fr-FR"/>
            </a:p>
          </c:txPr>
        </c:title>
        <c:numFmt formatCode="General" sourceLinked="0"/>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fr-FR"/>
          </a:p>
        </c:txPr>
        <c:crossAx val="149276928"/>
        <c:crosses val="autoZero"/>
        <c:crossBetween val="midCat"/>
      </c:valAx>
      <c:valAx>
        <c:axId val="149276928"/>
        <c:scaling>
          <c:orientation val="minMax"/>
          <c:min val="0"/>
        </c:scaling>
        <c:delete val="0"/>
        <c:axPos val="l"/>
        <c:majorGridlines>
          <c:spPr>
            <a:ln w="3175">
              <a:solidFill>
                <a:srgbClr val="000000"/>
              </a:solidFill>
              <a:prstDash val="sysDash"/>
            </a:ln>
          </c:spPr>
        </c:majorGridlines>
        <c:title>
          <c:tx>
            <c:rich>
              <a:bodyPr/>
              <a:lstStyle/>
              <a:p>
                <a:pPr>
                  <a:defRPr sz="800" b="1" i="0" u="none" strike="noStrike" baseline="0">
                    <a:solidFill>
                      <a:srgbClr val="0000FF"/>
                    </a:solidFill>
                    <a:latin typeface="Arial"/>
                    <a:ea typeface="Arial"/>
                    <a:cs typeface="Arial"/>
                  </a:defRPr>
                </a:pPr>
                <a:r>
                  <a:rPr lang="fr-FR"/>
                  <a:t>Altitude z [m]</a:t>
                </a:r>
              </a:p>
            </c:rich>
          </c:tx>
          <c:layout>
            <c:manualLayout>
              <c:xMode val="edge"/>
              <c:yMode val="edge"/>
              <c:x val="9.0000333644735087E-2"/>
              <c:y val="6.8111391736410315E-2"/>
            </c:manualLayout>
          </c:layout>
          <c:overlay val="0"/>
          <c:spPr>
            <a:noFill/>
            <a:ln w="25400">
              <a:noFill/>
            </a:ln>
          </c:spPr>
        </c:title>
        <c:numFmt formatCode="General" sourceLinked="0"/>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fr-FR"/>
          </a:p>
        </c:txPr>
        <c:crossAx val="149275008"/>
        <c:crosses val="autoZero"/>
        <c:crossBetween val="midCat"/>
      </c:valAx>
      <c:spPr>
        <a:gradFill rotWithShape="0">
          <a:gsLst>
            <a:gs pos="0">
              <a:srgbClr val="99CCFF"/>
            </a:gs>
            <a:gs pos="100000">
              <a:srgbClr val="FFFFFF"/>
            </a:gs>
          </a:gsLst>
          <a:lin ang="5400000" scaled="1"/>
        </a:gradFill>
        <a:ln w="12700">
          <a:solidFill>
            <a:srgbClr val="808080"/>
          </a:solidFill>
          <a:prstDash val="solid"/>
        </a:ln>
      </c:spPr>
    </c:plotArea>
    <c:plotVisOnly val="0"/>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51180555555555562" footer="0.51180555555555562"/>
    <c:pageSetup firstPageNumber="0"/>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fr-FR"/>
              <a:t>Forces</a:t>
            </a:r>
          </a:p>
        </c:rich>
      </c:tx>
      <c:overlay val="1"/>
    </c:title>
    <c:autoTitleDeleted val="0"/>
    <c:plotArea>
      <c:layout>
        <c:manualLayout>
          <c:layoutTarget val="inner"/>
          <c:xMode val="edge"/>
          <c:yMode val="edge"/>
          <c:x val="0.11674528301886802"/>
          <c:y val="9.4771544282144501E-2"/>
          <c:w val="0.86438679245283023"/>
          <c:h val="0.74183243282920064"/>
        </c:manualLayout>
      </c:layout>
      <c:scatterChart>
        <c:scatterStyle val="lineMarker"/>
        <c:varyColors val="0"/>
        <c:ser>
          <c:idx val="1"/>
          <c:order val="0"/>
          <c:tx>
            <c:strRef>
              <c:f>Courbes!$B$134</c:f>
              <c:strCache>
                <c:ptCount val="1"/>
                <c:pt idx="0">
                  <c:v>Poussée</c:v>
                </c:pt>
              </c:strCache>
            </c:strRef>
          </c:tx>
          <c:spPr>
            <a:ln w="25400">
              <a:solidFill>
                <a:srgbClr val="008000"/>
              </a:solidFill>
              <a:prstDash val="solid"/>
            </a:ln>
          </c:spPr>
          <c:marker>
            <c:symbol val="none"/>
          </c:marker>
          <c:xVal>
            <c:numRef>
              <c:f>Calculs!$B$4:$B$1004</c:f>
              <c:numCache>
                <c:formatCode>0.00</c:formatCode>
                <c:ptCount val="1001"/>
                <c:pt idx="0">
                  <c:v>0</c:v>
                </c:pt>
                <c:pt idx="1">
                  <c:v>0.01</c:v>
                </c:pt>
                <c:pt idx="2">
                  <c:v>0.02</c:v>
                </c:pt>
                <c:pt idx="3">
                  <c:v>0.03</c:v>
                </c:pt>
                <c:pt idx="4">
                  <c:v>0.04</c:v>
                </c:pt>
                <c:pt idx="5">
                  <c:v>0.05</c:v>
                </c:pt>
                <c:pt idx="6">
                  <c:v>6.0000000000000005E-2</c:v>
                </c:pt>
                <c:pt idx="7">
                  <c:v>7.0000000000000007E-2</c:v>
                </c:pt>
                <c:pt idx="8">
                  <c:v>0.08</c:v>
                </c:pt>
                <c:pt idx="9">
                  <c:v>0.09</c:v>
                </c:pt>
                <c:pt idx="10">
                  <c:v>9.9999999999999992E-2</c:v>
                </c:pt>
                <c:pt idx="11">
                  <c:v>0.10999999999999999</c:v>
                </c:pt>
                <c:pt idx="12">
                  <c:v>0.11999999999999998</c:v>
                </c:pt>
                <c:pt idx="13">
                  <c:v>0.12999999999999998</c:v>
                </c:pt>
                <c:pt idx="14">
                  <c:v>0.13999999999999999</c:v>
                </c:pt>
                <c:pt idx="15">
                  <c:v>0.15</c:v>
                </c:pt>
                <c:pt idx="16">
                  <c:v>0.16</c:v>
                </c:pt>
                <c:pt idx="17">
                  <c:v>0.17</c:v>
                </c:pt>
                <c:pt idx="18">
                  <c:v>0.18000000000000002</c:v>
                </c:pt>
                <c:pt idx="19">
                  <c:v>0.19000000000000003</c:v>
                </c:pt>
                <c:pt idx="20">
                  <c:v>0.20000000000000004</c:v>
                </c:pt>
                <c:pt idx="21">
                  <c:v>0.21000000000000005</c:v>
                </c:pt>
                <c:pt idx="22">
                  <c:v>0.22000000000000006</c:v>
                </c:pt>
                <c:pt idx="23">
                  <c:v>0.23000000000000007</c:v>
                </c:pt>
                <c:pt idx="24">
                  <c:v>0.24000000000000007</c:v>
                </c:pt>
                <c:pt idx="25">
                  <c:v>0.25000000000000006</c:v>
                </c:pt>
                <c:pt idx="26">
                  <c:v>0.26000000000000006</c:v>
                </c:pt>
                <c:pt idx="27">
                  <c:v>0.27000000000000007</c:v>
                </c:pt>
                <c:pt idx="28">
                  <c:v>0.28000000000000008</c:v>
                </c:pt>
                <c:pt idx="29">
                  <c:v>0.29000000000000009</c:v>
                </c:pt>
                <c:pt idx="30">
                  <c:v>0.3000000000000001</c:v>
                </c:pt>
                <c:pt idx="31">
                  <c:v>0.31000000000000011</c:v>
                </c:pt>
                <c:pt idx="32">
                  <c:v>0.32000000000000012</c:v>
                </c:pt>
                <c:pt idx="33">
                  <c:v>0.33000000000000013</c:v>
                </c:pt>
                <c:pt idx="34">
                  <c:v>0.34000000000000014</c:v>
                </c:pt>
                <c:pt idx="35">
                  <c:v>0.35000000000000014</c:v>
                </c:pt>
                <c:pt idx="36">
                  <c:v>0.36000000000000015</c:v>
                </c:pt>
                <c:pt idx="37">
                  <c:v>0.37000000000000016</c:v>
                </c:pt>
                <c:pt idx="38">
                  <c:v>0.38000000000000017</c:v>
                </c:pt>
                <c:pt idx="39">
                  <c:v>0.39000000000000018</c:v>
                </c:pt>
                <c:pt idx="40">
                  <c:v>0.40000000000000019</c:v>
                </c:pt>
                <c:pt idx="41">
                  <c:v>0.4100000000000002</c:v>
                </c:pt>
                <c:pt idx="42">
                  <c:v>0.42000000000000021</c:v>
                </c:pt>
                <c:pt idx="43">
                  <c:v>0.43000000000000022</c:v>
                </c:pt>
                <c:pt idx="44">
                  <c:v>0.44000000000000022</c:v>
                </c:pt>
                <c:pt idx="45">
                  <c:v>0.45000000000000023</c:v>
                </c:pt>
                <c:pt idx="46">
                  <c:v>0.46000000000000024</c:v>
                </c:pt>
                <c:pt idx="47">
                  <c:v>0.47000000000000025</c:v>
                </c:pt>
                <c:pt idx="48">
                  <c:v>0.48000000000000026</c:v>
                </c:pt>
                <c:pt idx="49">
                  <c:v>0.49000000000000027</c:v>
                </c:pt>
                <c:pt idx="50">
                  <c:v>0.50000000000000022</c:v>
                </c:pt>
                <c:pt idx="51">
                  <c:v>0.51000000000000023</c:v>
                </c:pt>
                <c:pt idx="52">
                  <c:v>0.52000000000000024</c:v>
                </c:pt>
                <c:pt idx="53">
                  <c:v>0.53000000000000025</c:v>
                </c:pt>
                <c:pt idx="54">
                  <c:v>0.54000000000000026</c:v>
                </c:pt>
                <c:pt idx="55">
                  <c:v>0.55000000000000027</c:v>
                </c:pt>
                <c:pt idx="56">
                  <c:v>0.56000000000000028</c:v>
                </c:pt>
                <c:pt idx="57">
                  <c:v>0.57000000000000028</c:v>
                </c:pt>
                <c:pt idx="58">
                  <c:v>0.58000000000000029</c:v>
                </c:pt>
                <c:pt idx="59">
                  <c:v>0.5900000000000003</c:v>
                </c:pt>
                <c:pt idx="60">
                  <c:v>0.60000000000000031</c:v>
                </c:pt>
                <c:pt idx="61">
                  <c:v>0.61000000000000032</c:v>
                </c:pt>
                <c:pt idx="62">
                  <c:v>0.62000000000000033</c:v>
                </c:pt>
                <c:pt idx="63">
                  <c:v>0.63000000000000034</c:v>
                </c:pt>
                <c:pt idx="64">
                  <c:v>0.64000000000000035</c:v>
                </c:pt>
                <c:pt idx="65">
                  <c:v>0.65000000000000036</c:v>
                </c:pt>
                <c:pt idx="66">
                  <c:v>0.66000000000000036</c:v>
                </c:pt>
                <c:pt idx="67">
                  <c:v>0.67000000000000037</c:v>
                </c:pt>
                <c:pt idx="68">
                  <c:v>0.68000000000000038</c:v>
                </c:pt>
                <c:pt idx="69">
                  <c:v>0.69000000000000039</c:v>
                </c:pt>
                <c:pt idx="70">
                  <c:v>0.7000000000000004</c:v>
                </c:pt>
                <c:pt idx="71">
                  <c:v>0.71000000000000041</c:v>
                </c:pt>
                <c:pt idx="72">
                  <c:v>0.72000000000000042</c:v>
                </c:pt>
                <c:pt idx="73">
                  <c:v>0.73000000000000043</c:v>
                </c:pt>
                <c:pt idx="74">
                  <c:v>0.74000000000000044</c:v>
                </c:pt>
                <c:pt idx="75">
                  <c:v>0.75000000000000044</c:v>
                </c:pt>
                <c:pt idx="76">
                  <c:v>0.76000000000000045</c:v>
                </c:pt>
                <c:pt idx="77">
                  <c:v>0.77000000000000046</c:v>
                </c:pt>
                <c:pt idx="78">
                  <c:v>0.78000000000000047</c:v>
                </c:pt>
                <c:pt idx="79">
                  <c:v>0.79000000000000048</c:v>
                </c:pt>
                <c:pt idx="80">
                  <c:v>0.80000000000000049</c:v>
                </c:pt>
                <c:pt idx="81">
                  <c:v>0.8100000000000005</c:v>
                </c:pt>
                <c:pt idx="82">
                  <c:v>0.82000000000000051</c:v>
                </c:pt>
                <c:pt idx="83">
                  <c:v>0.83000000000000052</c:v>
                </c:pt>
                <c:pt idx="84">
                  <c:v>0.84000000000000052</c:v>
                </c:pt>
                <c:pt idx="85">
                  <c:v>0.85000000000000053</c:v>
                </c:pt>
                <c:pt idx="86">
                  <c:v>0.86000000000000054</c:v>
                </c:pt>
                <c:pt idx="87">
                  <c:v>0.87000000000000055</c:v>
                </c:pt>
                <c:pt idx="88">
                  <c:v>0.88000000000000056</c:v>
                </c:pt>
                <c:pt idx="89">
                  <c:v>0.89000000000000057</c:v>
                </c:pt>
                <c:pt idx="90">
                  <c:v>0.90000000000000058</c:v>
                </c:pt>
                <c:pt idx="91">
                  <c:v>0.91000000000000059</c:v>
                </c:pt>
                <c:pt idx="92">
                  <c:v>0.9200000000000006</c:v>
                </c:pt>
                <c:pt idx="93">
                  <c:v>0.9300000000000006</c:v>
                </c:pt>
                <c:pt idx="94">
                  <c:v>0.94000000000000061</c:v>
                </c:pt>
                <c:pt idx="95">
                  <c:v>0.95000000000000062</c:v>
                </c:pt>
                <c:pt idx="96">
                  <c:v>0.96000000000000063</c:v>
                </c:pt>
                <c:pt idx="97">
                  <c:v>0.97000000000000064</c:v>
                </c:pt>
                <c:pt idx="98">
                  <c:v>0.98000000000000065</c:v>
                </c:pt>
                <c:pt idx="99">
                  <c:v>0.99000000000000066</c:v>
                </c:pt>
                <c:pt idx="100">
                  <c:v>1.0000000000000007</c:v>
                </c:pt>
                <c:pt idx="101">
                  <c:v>1.1000000000000008</c:v>
                </c:pt>
                <c:pt idx="102">
                  <c:v>1.2000000000000008</c:v>
                </c:pt>
                <c:pt idx="103">
                  <c:v>1.3000000000000009</c:v>
                </c:pt>
                <c:pt idx="104">
                  <c:v>1.400000000000001</c:v>
                </c:pt>
                <c:pt idx="105">
                  <c:v>1.5000000000000011</c:v>
                </c:pt>
                <c:pt idx="106">
                  <c:v>1.6000000000000012</c:v>
                </c:pt>
                <c:pt idx="107">
                  <c:v>1.7000000000000013</c:v>
                </c:pt>
                <c:pt idx="108">
                  <c:v>1.8000000000000014</c:v>
                </c:pt>
                <c:pt idx="109">
                  <c:v>1.9000000000000015</c:v>
                </c:pt>
                <c:pt idx="110">
                  <c:v>2.0000000000000013</c:v>
                </c:pt>
                <c:pt idx="111">
                  <c:v>2.1000000000000014</c:v>
                </c:pt>
                <c:pt idx="112">
                  <c:v>2.2000000000000015</c:v>
                </c:pt>
                <c:pt idx="113">
                  <c:v>2.3000000000000016</c:v>
                </c:pt>
                <c:pt idx="114">
                  <c:v>2.4000000000000017</c:v>
                </c:pt>
                <c:pt idx="115">
                  <c:v>2.5000000000000018</c:v>
                </c:pt>
                <c:pt idx="116">
                  <c:v>2.6000000000000019</c:v>
                </c:pt>
                <c:pt idx="117">
                  <c:v>2.700000000000002</c:v>
                </c:pt>
                <c:pt idx="118">
                  <c:v>2.800000000000002</c:v>
                </c:pt>
                <c:pt idx="119">
                  <c:v>2.9000000000000021</c:v>
                </c:pt>
                <c:pt idx="120">
                  <c:v>3.0000000000000022</c:v>
                </c:pt>
                <c:pt idx="121">
                  <c:v>3.1000000000000023</c:v>
                </c:pt>
                <c:pt idx="122">
                  <c:v>3.2000000000000024</c:v>
                </c:pt>
                <c:pt idx="123">
                  <c:v>3.3000000000000025</c:v>
                </c:pt>
                <c:pt idx="124">
                  <c:v>3.4000000000000026</c:v>
                </c:pt>
                <c:pt idx="125">
                  <c:v>3.5000000000000027</c:v>
                </c:pt>
                <c:pt idx="126">
                  <c:v>3.6000000000000028</c:v>
                </c:pt>
                <c:pt idx="127">
                  <c:v>3.7000000000000028</c:v>
                </c:pt>
                <c:pt idx="128">
                  <c:v>3.8000000000000029</c:v>
                </c:pt>
                <c:pt idx="129">
                  <c:v>3.900000000000003</c:v>
                </c:pt>
                <c:pt idx="130">
                  <c:v>4.0000000000000027</c:v>
                </c:pt>
                <c:pt idx="131">
                  <c:v>4.1000000000000023</c:v>
                </c:pt>
                <c:pt idx="132">
                  <c:v>4.200000000000002</c:v>
                </c:pt>
                <c:pt idx="133">
                  <c:v>4.3000000000000016</c:v>
                </c:pt>
                <c:pt idx="134">
                  <c:v>4.4000000000000012</c:v>
                </c:pt>
                <c:pt idx="135">
                  <c:v>4.5000000000000009</c:v>
                </c:pt>
                <c:pt idx="136">
                  <c:v>4.6000000000000005</c:v>
                </c:pt>
                <c:pt idx="137">
                  <c:v>4.7</c:v>
                </c:pt>
                <c:pt idx="138">
                  <c:v>4.8</c:v>
                </c:pt>
                <c:pt idx="139">
                  <c:v>4.8999999999999995</c:v>
                </c:pt>
                <c:pt idx="140">
                  <c:v>4.9999999999999991</c:v>
                </c:pt>
                <c:pt idx="141">
                  <c:v>5.0999999999999988</c:v>
                </c:pt>
                <c:pt idx="142">
                  <c:v>5.1999999999999984</c:v>
                </c:pt>
                <c:pt idx="143">
                  <c:v>5.299999999999998</c:v>
                </c:pt>
                <c:pt idx="144">
                  <c:v>5.3999999999999977</c:v>
                </c:pt>
                <c:pt idx="145">
                  <c:v>5.4999999999999973</c:v>
                </c:pt>
                <c:pt idx="146">
                  <c:v>5.599999999999997</c:v>
                </c:pt>
                <c:pt idx="147">
                  <c:v>5.6999999999999966</c:v>
                </c:pt>
                <c:pt idx="148">
                  <c:v>5.7999999999999963</c:v>
                </c:pt>
                <c:pt idx="149">
                  <c:v>5.8999999999999959</c:v>
                </c:pt>
                <c:pt idx="150">
                  <c:v>5.9999999999999956</c:v>
                </c:pt>
                <c:pt idx="151">
                  <c:v>6.0999999999999952</c:v>
                </c:pt>
                <c:pt idx="152">
                  <c:v>6.1999999999999948</c:v>
                </c:pt>
                <c:pt idx="153">
                  <c:v>6.2999999999999945</c:v>
                </c:pt>
                <c:pt idx="154">
                  <c:v>6.3999999999999941</c:v>
                </c:pt>
                <c:pt idx="155">
                  <c:v>6.4999999999999938</c:v>
                </c:pt>
                <c:pt idx="156">
                  <c:v>6.5999999999999934</c:v>
                </c:pt>
                <c:pt idx="157">
                  <c:v>6.6999999999999931</c:v>
                </c:pt>
                <c:pt idx="158">
                  <c:v>6.7999999999999927</c:v>
                </c:pt>
                <c:pt idx="159">
                  <c:v>6.8999999999999924</c:v>
                </c:pt>
                <c:pt idx="160">
                  <c:v>6.999999999999992</c:v>
                </c:pt>
                <c:pt idx="161">
                  <c:v>7.0999999999999917</c:v>
                </c:pt>
                <c:pt idx="162">
                  <c:v>7.1999999999999913</c:v>
                </c:pt>
                <c:pt idx="163">
                  <c:v>7.2999999999999909</c:v>
                </c:pt>
                <c:pt idx="164">
                  <c:v>7.3999999999999906</c:v>
                </c:pt>
                <c:pt idx="165">
                  <c:v>7.4999999999999902</c:v>
                </c:pt>
                <c:pt idx="166">
                  <c:v>7.5999999999999899</c:v>
                </c:pt>
                <c:pt idx="167">
                  <c:v>7.6999999999999895</c:v>
                </c:pt>
                <c:pt idx="168">
                  <c:v>7.7999999999999892</c:v>
                </c:pt>
                <c:pt idx="169">
                  <c:v>7.8999999999999888</c:v>
                </c:pt>
                <c:pt idx="170">
                  <c:v>7.9999999999999885</c:v>
                </c:pt>
                <c:pt idx="171">
                  <c:v>8.099999999999989</c:v>
                </c:pt>
                <c:pt idx="172">
                  <c:v>8.1999999999999886</c:v>
                </c:pt>
                <c:pt idx="173">
                  <c:v>8.2999999999999883</c:v>
                </c:pt>
                <c:pt idx="174">
                  <c:v>8.3999999999999879</c:v>
                </c:pt>
                <c:pt idx="175">
                  <c:v>8.4999999999999876</c:v>
                </c:pt>
                <c:pt idx="176">
                  <c:v>8.5999999999999872</c:v>
                </c:pt>
                <c:pt idx="177">
                  <c:v>8.6999999999999869</c:v>
                </c:pt>
                <c:pt idx="178">
                  <c:v>8.7999999999999865</c:v>
                </c:pt>
                <c:pt idx="179">
                  <c:v>8.8999999999999861</c:v>
                </c:pt>
                <c:pt idx="180">
                  <c:v>8.9999999999999858</c:v>
                </c:pt>
                <c:pt idx="181">
                  <c:v>9.0999999999999854</c:v>
                </c:pt>
                <c:pt idx="182">
                  <c:v>9.1999999999999851</c:v>
                </c:pt>
                <c:pt idx="183">
                  <c:v>9.2999999999999847</c:v>
                </c:pt>
                <c:pt idx="184">
                  <c:v>9.3999999999999844</c:v>
                </c:pt>
                <c:pt idx="185">
                  <c:v>9.499999999999984</c:v>
                </c:pt>
                <c:pt idx="186">
                  <c:v>9.5999999999999837</c:v>
                </c:pt>
                <c:pt idx="187">
                  <c:v>9.6999999999999833</c:v>
                </c:pt>
                <c:pt idx="188">
                  <c:v>9.7999999999999829</c:v>
                </c:pt>
                <c:pt idx="189">
                  <c:v>9.8999999999999826</c:v>
                </c:pt>
                <c:pt idx="190">
                  <c:v>9.9999999999999822</c:v>
                </c:pt>
                <c:pt idx="191">
                  <c:v>10.099999999999982</c:v>
                </c:pt>
                <c:pt idx="192">
                  <c:v>10.199999999999982</c:v>
                </c:pt>
                <c:pt idx="193">
                  <c:v>10.299999999999981</c:v>
                </c:pt>
                <c:pt idx="194">
                  <c:v>10.399999999999981</c:v>
                </c:pt>
                <c:pt idx="195">
                  <c:v>10.49999999999998</c:v>
                </c:pt>
                <c:pt idx="196">
                  <c:v>10.59999999999998</c:v>
                </c:pt>
                <c:pt idx="197">
                  <c:v>10.69999999999998</c:v>
                </c:pt>
                <c:pt idx="198">
                  <c:v>10.799999999999979</c:v>
                </c:pt>
                <c:pt idx="199">
                  <c:v>10.899999999999979</c:v>
                </c:pt>
                <c:pt idx="200">
                  <c:v>10.999999999999979</c:v>
                </c:pt>
                <c:pt idx="201">
                  <c:v>11.099999999999978</c:v>
                </c:pt>
                <c:pt idx="202">
                  <c:v>11.199999999999978</c:v>
                </c:pt>
                <c:pt idx="203">
                  <c:v>11.299999999999978</c:v>
                </c:pt>
                <c:pt idx="204">
                  <c:v>11.399999999999977</c:v>
                </c:pt>
                <c:pt idx="205">
                  <c:v>11.499999999999977</c:v>
                </c:pt>
                <c:pt idx="206">
                  <c:v>11.599999999999977</c:v>
                </c:pt>
                <c:pt idx="207">
                  <c:v>11.699999999999976</c:v>
                </c:pt>
                <c:pt idx="208">
                  <c:v>11.799999999999976</c:v>
                </c:pt>
                <c:pt idx="209">
                  <c:v>11.899999999999975</c:v>
                </c:pt>
                <c:pt idx="210">
                  <c:v>11.999999999999975</c:v>
                </c:pt>
                <c:pt idx="211">
                  <c:v>12.099999999999975</c:v>
                </c:pt>
                <c:pt idx="212">
                  <c:v>12.199999999999974</c:v>
                </c:pt>
                <c:pt idx="213">
                  <c:v>12.299999999999974</c:v>
                </c:pt>
                <c:pt idx="214">
                  <c:v>12.399999999999974</c:v>
                </c:pt>
                <c:pt idx="215">
                  <c:v>12.499999999999973</c:v>
                </c:pt>
                <c:pt idx="216">
                  <c:v>12.599999999999973</c:v>
                </c:pt>
                <c:pt idx="217">
                  <c:v>12.699999999999973</c:v>
                </c:pt>
                <c:pt idx="218">
                  <c:v>12.799999999999972</c:v>
                </c:pt>
                <c:pt idx="219">
                  <c:v>12.899999999999972</c:v>
                </c:pt>
                <c:pt idx="220">
                  <c:v>12.999999999999972</c:v>
                </c:pt>
                <c:pt idx="221">
                  <c:v>13.099999999999971</c:v>
                </c:pt>
                <c:pt idx="222">
                  <c:v>13.199999999999971</c:v>
                </c:pt>
                <c:pt idx="223">
                  <c:v>13.299999999999971</c:v>
                </c:pt>
                <c:pt idx="224">
                  <c:v>13.39999999999997</c:v>
                </c:pt>
                <c:pt idx="225">
                  <c:v>13.49999999999997</c:v>
                </c:pt>
                <c:pt idx="226">
                  <c:v>13.599999999999969</c:v>
                </c:pt>
                <c:pt idx="227">
                  <c:v>13.699999999999969</c:v>
                </c:pt>
                <c:pt idx="228">
                  <c:v>13.799999999999969</c:v>
                </c:pt>
                <c:pt idx="229">
                  <c:v>13.899999999999968</c:v>
                </c:pt>
                <c:pt idx="230">
                  <c:v>13.999999999999968</c:v>
                </c:pt>
                <c:pt idx="231">
                  <c:v>14.099999999999968</c:v>
                </c:pt>
                <c:pt idx="232">
                  <c:v>14.199999999999967</c:v>
                </c:pt>
                <c:pt idx="233">
                  <c:v>14.299999999999967</c:v>
                </c:pt>
                <c:pt idx="234">
                  <c:v>14.399999999999967</c:v>
                </c:pt>
                <c:pt idx="235">
                  <c:v>14.499999999999966</c:v>
                </c:pt>
                <c:pt idx="236">
                  <c:v>14.599999999999966</c:v>
                </c:pt>
                <c:pt idx="237">
                  <c:v>14.699999999999966</c:v>
                </c:pt>
                <c:pt idx="238">
                  <c:v>14.799999999999965</c:v>
                </c:pt>
                <c:pt idx="239">
                  <c:v>14.899999999999965</c:v>
                </c:pt>
                <c:pt idx="240">
                  <c:v>14.999999999999964</c:v>
                </c:pt>
                <c:pt idx="241">
                  <c:v>15.099999999999964</c:v>
                </c:pt>
                <c:pt idx="242">
                  <c:v>15.199999999999964</c:v>
                </c:pt>
                <c:pt idx="243">
                  <c:v>15.299999999999963</c:v>
                </c:pt>
                <c:pt idx="244">
                  <c:v>15.399999999999963</c:v>
                </c:pt>
                <c:pt idx="245">
                  <c:v>15.499999999999963</c:v>
                </c:pt>
                <c:pt idx="246">
                  <c:v>15.599999999999962</c:v>
                </c:pt>
                <c:pt idx="247">
                  <c:v>15.699999999999962</c:v>
                </c:pt>
                <c:pt idx="248">
                  <c:v>15.799999999999962</c:v>
                </c:pt>
                <c:pt idx="249">
                  <c:v>15.899999999999961</c:v>
                </c:pt>
                <c:pt idx="250">
                  <c:v>15.999999999999961</c:v>
                </c:pt>
                <c:pt idx="251">
                  <c:v>16.099999999999962</c:v>
                </c:pt>
                <c:pt idx="252">
                  <c:v>16.199999999999964</c:v>
                </c:pt>
                <c:pt idx="253">
                  <c:v>16.299999999999965</c:v>
                </c:pt>
                <c:pt idx="254">
                  <c:v>16.399999999999967</c:v>
                </c:pt>
                <c:pt idx="255">
                  <c:v>16.499999999999968</c:v>
                </c:pt>
                <c:pt idx="256">
                  <c:v>16.599999999999969</c:v>
                </c:pt>
                <c:pt idx="257">
                  <c:v>16.699999999999971</c:v>
                </c:pt>
                <c:pt idx="258">
                  <c:v>16.799999999999972</c:v>
                </c:pt>
                <c:pt idx="259">
                  <c:v>16.899999999999974</c:v>
                </c:pt>
                <c:pt idx="260">
                  <c:v>16.999999999999975</c:v>
                </c:pt>
                <c:pt idx="261">
                  <c:v>17.099999999999977</c:v>
                </c:pt>
                <c:pt idx="262">
                  <c:v>17.199999999999978</c:v>
                </c:pt>
                <c:pt idx="263">
                  <c:v>17.299999999999979</c:v>
                </c:pt>
                <c:pt idx="264">
                  <c:v>17.399999999999981</c:v>
                </c:pt>
                <c:pt idx="265">
                  <c:v>17.499999999999982</c:v>
                </c:pt>
                <c:pt idx="266">
                  <c:v>17.599999999999984</c:v>
                </c:pt>
                <c:pt idx="267">
                  <c:v>17.699999999999985</c:v>
                </c:pt>
                <c:pt idx="268">
                  <c:v>17.799999999999986</c:v>
                </c:pt>
                <c:pt idx="269">
                  <c:v>17.899999999999988</c:v>
                </c:pt>
                <c:pt idx="270">
                  <c:v>17.999999999999989</c:v>
                </c:pt>
                <c:pt idx="271">
                  <c:v>18.099999999999991</c:v>
                </c:pt>
                <c:pt idx="272">
                  <c:v>18.199999999999992</c:v>
                </c:pt>
                <c:pt idx="273">
                  <c:v>18.299999999999994</c:v>
                </c:pt>
                <c:pt idx="274">
                  <c:v>18.399999999999995</c:v>
                </c:pt>
                <c:pt idx="275">
                  <c:v>18.499999999999996</c:v>
                </c:pt>
                <c:pt idx="276">
                  <c:v>18.599999999999998</c:v>
                </c:pt>
                <c:pt idx="277">
                  <c:v>18.7</c:v>
                </c:pt>
                <c:pt idx="278">
                  <c:v>18.8</c:v>
                </c:pt>
                <c:pt idx="279">
                  <c:v>18.900000000000002</c:v>
                </c:pt>
                <c:pt idx="280">
                  <c:v>19.000000000000004</c:v>
                </c:pt>
                <c:pt idx="281">
                  <c:v>19.100000000000005</c:v>
                </c:pt>
                <c:pt idx="282">
                  <c:v>19.200000000000006</c:v>
                </c:pt>
                <c:pt idx="283">
                  <c:v>19.300000000000008</c:v>
                </c:pt>
                <c:pt idx="284">
                  <c:v>19.400000000000009</c:v>
                </c:pt>
                <c:pt idx="285">
                  <c:v>19.500000000000011</c:v>
                </c:pt>
                <c:pt idx="286">
                  <c:v>19.600000000000012</c:v>
                </c:pt>
                <c:pt idx="287">
                  <c:v>19.700000000000014</c:v>
                </c:pt>
                <c:pt idx="288">
                  <c:v>19.800000000000015</c:v>
                </c:pt>
                <c:pt idx="289">
                  <c:v>19.900000000000016</c:v>
                </c:pt>
                <c:pt idx="290">
                  <c:v>20.000000000000018</c:v>
                </c:pt>
                <c:pt idx="291">
                  <c:v>20.100000000000019</c:v>
                </c:pt>
                <c:pt idx="292">
                  <c:v>20.200000000000021</c:v>
                </c:pt>
                <c:pt idx="293">
                  <c:v>20.300000000000022</c:v>
                </c:pt>
                <c:pt idx="294">
                  <c:v>20.400000000000023</c:v>
                </c:pt>
                <c:pt idx="295">
                  <c:v>20.500000000000025</c:v>
                </c:pt>
                <c:pt idx="296">
                  <c:v>20.600000000000026</c:v>
                </c:pt>
                <c:pt idx="297">
                  <c:v>20.700000000000028</c:v>
                </c:pt>
                <c:pt idx="298">
                  <c:v>20.800000000000029</c:v>
                </c:pt>
                <c:pt idx="299">
                  <c:v>20.900000000000031</c:v>
                </c:pt>
                <c:pt idx="300">
                  <c:v>21.000000000000032</c:v>
                </c:pt>
                <c:pt idx="301">
                  <c:v>21.100000000000033</c:v>
                </c:pt>
                <c:pt idx="302">
                  <c:v>21.200000000000035</c:v>
                </c:pt>
                <c:pt idx="303">
                  <c:v>21.300000000000036</c:v>
                </c:pt>
                <c:pt idx="304">
                  <c:v>21.400000000000038</c:v>
                </c:pt>
                <c:pt idx="305">
                  <c:v>21.500000000000039</c:v>
                </c:pt>
                <c:pt idx="306">
                  <c:v>21.600000000000041</c:v>
                </c:pt>
                <c:pt idx="307">
                  <c:v>21.700000000000042</c:v>
                </c:pt>
                <c:pt idx="308">
                  <c:v>21.800000000000043</c:v>
                </c:pt>
                <c:pt idx="309">
                  <c:v>21.900000000000045</c:v>
                </c:pt>
                <c:pt idx="310">
                  <c:v>22.000000000000046</c:v>
                </c:pt>
                <c:pt idx="311">
                  <c:v>22.100000000000048</c:v>
                </c:pt>
                <c:pt idx="312">
                  <c:v>22.200000000000049</c:v>
                </c:pt>
                <c:pt idx="313">
                  <c:v>22.30000000000005</c:v>
                </c:pt>
                <c:pt idx="314">
                  <c:v>22.400000000000052</c:v>
                </c:pt>
                <c:pt idx="315">
                  <c:v>22.500000000000053</c:v>
                </c:pt>
                <c:pt idx="316">
                  <c:v>22.600000000000055</c:v>
                </c:pt>
                <c:pt idx="317">
                  <c:v>22.700000000000056</c:v>
                </c:pt>
                <c:pt idx="318">
                  <c:v>22.800000000000058</c:v>
                </c:pt>
                <c:pt idx="319">
                  <c:v>22.900000000000059</c:v>
                </c:pt>
                <c:pt idx="320">
                  <c:v>23.00000000000006</c:v>
                </c:pt>
                <c:pt idx="321">
                  <c:v>23.100000000000062</c:v>
                </c:pt>
                <c:pt idx="322">
                  <c:v>23.200000000000063</c:v>
                </c:pt>
                <c:pt idx="323">
                  <c:v>23.300000000000065</c:v>
                </c:pt>
                <c:pt idx="324">
                  <c:v>23.400000000000066</c:v>
                </c:pt>
                <c:pt idx="325">
                  <c:v>23.500000000000068</c:v>
                </c:pt>
                <c:pt idx="326">
                  <c:v>23.600000000000069</c:v>
                </c:pt>
                <c:pt idx="327">
                  <c:v>23.70000000000007</c:v>
                </c:pt>
                <c:pt idx="328">
                  <c:v>23.800000000000072</c:v>
                </c:pt>
                <c:pt idx="329">
                  <c:v>23.900000000000073</c:v>
                </c:pt>
                <c:pt idx="330">
                  <c:v>24.000000000000075</c:v>
                </c:pt>
                <c:pt idx="331">
                  <c:v>24.100000000000076</c:v>
                </c:pt>
                <c:pt idx="332">
                  <c:v>24.200000000000077</c:v>
                </c:pt>
                <c:pt idx="333">
                  <c:v>24.300000000000079</c:v>
                </c:pt>
                <c:pt idx="334">
                  <c:v>24.40000000000008</c:v>
                </c:pt>
                <c:pt idx="335">
                  <c:v>24.500000000000082</c:v>
                </c:pt>
                <c:pt idx="336">
                  <c:v>24.600000000000083</c:v>
                </c:pt>
                <c:pt idx="337">
                  <c:v>24.700000000000085</c:v>
                </c:pt>
                <c:pt idx="338">
                  <c:v>24.800000000000086</c:v>
                </c:pt>
                <c:pt idx="339">
                  <c:v>24.900000000000087</c:v>
                </c:pt>
                <c:pt idx="340">
                  <c:v>25.000000000000089</c:v>
                </c:pt>
                <c:pt idx="341">
                  <c:v>25.10000000000009</c:v>
                </c:pt>
                <c:pt idx="342">
                  <c:v>25.200000000000092</c:v>
                </c:pt>
                <c:pt idx="343">
                  <c:v>25.300000000000093</c:v>
                </c:pt>
                <c:pt idx="344">
                  <c:v>25.400000000000095</c:v>
                </c:pt>
                <c:pt idx="345">
                  <c:v>25.500000000000096</c:v>
                </c:pt>
                <c:pt idx="346">
                  <c:v>25.600000000000097</c:v>
                </c:pt>
                <c:pt idx="347">
                  <c:v>25.700000000000099</c:v>
                </c:pt>
                <c:pt idx="348">
                  <c:v>25.8000000000001</c:v>
                </c:pt>
                <c:pt idx="349">
                  <c:v>25.900000000000102</c:v>
                </c:pt>
                <c:pt idx="350">
                  <c:v>26.000000000000103</c:v>
                </c:pt>
                <c:pt idx="351">
                  <c:v>26.100000000000104</c:v>
                </c:pt>
                <c:pt idx="352">
                  <c:v>26.200000000000106</c:v>
                </c:pt>
                <c:pt idx="353">
                  <c:v>26.300000000000107</c:v>
                </c:pt>
                <c:pt idx="354">
                  <c:v>26.400000000000109</c:v>
                </c:pt>
                <c:pt idx="355">
                  <c:v>26.50000000000011</c:v>
                </c:pt>
                <c:pt idx="356">
                  <c:v>26.600000000000112</c:v>
                </c:pt>
                <c:pt idx="357">
                  <c:v>26.700000000000113</c:v>
                </c:pt>
                <c:pt idx="358">
                  <c:v>26.800000000000114</c:v>
                </c:pt>
                <c:pt idx="359">
                  <c:v>26.900000000000116</c:v>
                </c:pt>
                <c:pt idx="360">
                  <c:v>27.000000000000117</c:v>
                </c:pt>
                <c:pt idx="361">
                  <c:v>27.100000000000119</c:v>
                </c:pt>
                <c:pt idx="362">
                  <c:v>27.20000000000012</c:v>
                </c:pt>
                <c:pt idx="363">
                  <c:v>27.300000000000122</c:v>
                </c:pt>
                <c:pt idx="364">
                  <c:v>27.400000000000123</c:v>
                </c:pt>
                <c:pt idx="365">
                  <c:v>27.500000000000124</c:v>
                </c:pt>
                <c:pt idx="366">
                  <c:v>27.600000000000126</c:v>
                </c:pt>
                <c:pt idx="367">
                  <c:v>27.700000000000127</c:v>
                </c:pt>
                <c:pt idx="368">
                  <c:v>27.800000000000129</c:v>
                </c:pt>
                <c:pt idx="369">
                  <c:v>27.90000000000013</c:v>
                </c:pt>
                <c:pt idx="370">
                  <c:v>28.000000000000131</c:v>
                </c:pt>
                <c:pt idx="371">
                  <c:v>28.100000000000133</c:v>
                </c:pt>
                <c:pt idx="372">
                  <c:v>28.200000000000134</c:v>
                </c:pt>
                <c:pt idx="373">
                  <c:v>28.300000000000136</c:v>
                </c:pt>
                <c:pt idx="374">
                  <c:v>28.400000000000137</c:v>
                </c:pt>
                <c:pt idx="375">
                  <c:v>28.500000000000139</c:v>
                </c:pt>
                <c:pt idx="376">
                  <c:v>28.60000000000014</c:v>
                </c:pt>
                <c:pt idx="377">
                  <c:v>28.60010000000014</c:v>
                </c:pt>
                <c:pt idx="378">
                  <c:v>28.60020000000014</c:v>
                </c:pt>
                <c:pt idx="379">
                  <c:v>28.600300000000139</c:v>
                </c:pt>
                <c:pt idx="380">
                  <c:v>28.600400000000139</c:v>
                </c:pt>
                <c:pt idx="381">
                  <c:v>28.600500000000139</c:v>
                </c:pt>
                <c:pt idx="382">
                  <c:v>28.600600000000139</c:v>
                </c:pt>
                <c:pt idx="383">
                  <c:v>28.600700000000138</c:v>
                </c:pt>
                <c:pt idx="384">
                  <c:v>28.600800000000138</c:v>
                </c:pt>
                <c:pt idx="385">
                  <c:v>28.600900000000138</c:v>
                </c:pt>
                <c:pt idx="386">
                  <c:v>28.601000000000138</c:v>
                </c:pt>
                <c:pt idx="387">
                  <c:v>28.601100000000137</c:v>
                </c:pt>
                <c:pt idx="388">
                  <c:v>28.601200000000137</c:v>
                </c:pt>
                <c:pt idx="389">
                  <c:v>28.601300000000137</c:v>
                </c:pt>
                <c:pt idx="390">
                  <c:v>28.601400000000137</c:v>
                </c:pt>
                <c:pt idx="391">
                  <c:v>28.601500000000136</c:v>
                </c:pt>
                <c:pt idx="392">
                  <c:v>28.601600000000136</c:v>
                </c:pt>
                <c:pt idx="393">
                  <c:v>28.601700000000136</c:v>
                </c:pt>
                <c:pt idx="394">
                  <c:v>28.601800000000136</c:v>
                </c:pt>
                <c:pt idx="395">
                  <c:v>28.601900000000136</c:v>
                </c:pt>
                <c:pt idx="396">
                  <c:v>28.602000000000135</c:v>
                </c:pt>
                <c:pt idx="397">
                  <c:v>28.602100000000135</c:v>
                </c:pt>
                <c:pt idx="398">
                  <c:v>28.602200000000135</c:v>
                </c:pt>
                <c:pt idx="399">
                  <c:v>28.602300000000135</c:v>
                </c:pt>
                <c:pt idx="400">
                  <c:v>28.602400000000134</c:v>
                </c:pt>
                <c:pt idx="401">
                  <c:v>28.602500000000134</c:v>
                </c:pt>
                <c:pt idx="402">
                  <c:v>28.602600000000134</c:v>
                </c:pt>
                <c:pt idx="403">
                  <c:v>28.602700000000134</c:v>
                </c:pt>
                <c:pt idx="404">
                  <c:v>28.602800000000133</c:v>
                </c:pt>
                <c:pt idx="405">
                  <c:v>28.602900000000133</c:v>
                </c:pt>
                <c:pt idx="406">
                  <c:v>28.603000000000133</c:v>
                </c:pt>
                <c:pt idx="407">
                  <c:v>28.603100000000133</c:v>
                </c:pt>
                <c:pt idx="408">
                  <c:v>28.603200000000133</c:v>
                </c:pt>
                <c:pt idx="409">
                  <c:v>28.603300000000132</c:v>
                </c:pt>
                <c:pt idx="410">
                  <c:v>28.603400000000132</c:v>
                </c:pt>
                <c:pt idx="411">
                  <c:v>28.603500000000132</c:v>
                </c:pt>
                <c:pt idx="412">
                  <c:v>28.603600000000132</c:v>
                </c:pt>
                <c:pt idx="413">
                  <c:v>28.603700000000131</c:v>
                </c:pt>
                <c:pt idx="414">
                  <c:v>28.603800000000131</c:v>
                </c:pt>
                <c:pt idx="415">
                  <c:v>28.603900000000131</c:v>
                </c:pt>
                <c:pt idx="416">
                  <c:v>28.604000000000131</c:v>
                </c:pt>
                <c:pt idx="417">
                  <c:v>28.60410000000013</c:v>
                </c:pt>
                <c:pt idx="418">
                  <c:v>28.60420000000013</c:v>
                </c:pt>
                <c:pt idx="419">
                  <c:v>28.60430000000013</c:v>
                </c:pt>
                <c:pt idx="420">
                  <c:v>28.60440000000013</c:v>
                </c:pt>
                <c:pt idx="421">
                  <c:v>28.604500000000129</c:v>
                </c:pt>
                <c:pt idx="422">
                  <c:v>28.604600000000129</c:v>
                </c:pt>
                <c:pt idx="423">
                  <c:v>28.604700000000129</c:v>
                </c:pt>
                <c:pt idx="424">
                  <c:v>28.604800000000129</c:v>
                </c:pt>
                <c:pt idx="425">
                  <c:v>28.604900000000129</c:v>
                </c:pt>
                <c:pt idx="426">
                  <c:v>28.605000000000128</c:v>
                </c:pt>
                <c:pt idx="427">
                  <c:v>28.605100000000128</c:v>
                </c:pt>
                <c:pt idx="428">
                  <c:v>28.605200000000128</c:v>
                </c:pt>
                <c:pt idx="429">
                  <c:v>28.605300000000128</c:v>
                </c:pt>
                <c:pt idx="430">
                  <c:v>28.605400000000127</c:v>
                </c:pt>
                <c:pt idx="431">
                  <c:v>28.605500000000127</c:v>
                </c:pt>
                <c:pt idx="432">
                  <c:v>28.605600000000127</c:v>
                </c:pt>
                <c:pt idx="433">
                  <c:v>28.605700000000127</c:v>
                </c:pt>
                <c:pt idx="434">
                  <c:v>28.605800000000126</c:v>
                </c:pt>
                <c:pt idx="435">
                  <c:v>28.605900000000126</c:v>
                </c:pt>
                <c:pt idx="436">
                  <c:v>28.606000000000126</c:v>
                </c:pt>
                <c:pt idx="437">
                  <c:v>28.606100000000126</c:v>
                </c:pt>
                <c:pt idx="438">
                  <c:v>28.606200000000126</c:v>
                </c:pt>
                <c:pt idx="439">
                  <c:v>28.606300000000125</c:v>
                </c:pt>
                <c:pt idx="440">
                  <c:v>28.606400000000125</c:v>
                </c:pt>
                <c:pt idx="441">
                  <c:v>28.606500000000125</c:v>
                </c:pt>
                <c:pt idx="442">
                  <c:v>28.606600000000125</c:v>
                </c:pt>
                <c:pt idx="443">
                  <c:v>28.606700000000124</c:v>
                </c:pt>
                <c:pt idx="444">
                  <c:v>28.606800000000124</c:v>
                </c:pt>
                <c:pt idx="445">
                  <c:v>28.606900000000124</c:v>
                </c:pt>
                <c:pt idx="446">
                  <c:v>28.607000000000124</c:v>
                </c:pt>
                <c:pt idx="447">
                  <c:v>28.607100000000123</c:v>
                </c:pt>
                <c:pt idx="448">
                  <c:v>28.607200000000123</c:v>
                </c:pt>
                <c:pt idx="449">
                  <c:v>28.607300000000123</c:v>
                </c:pt>
                <c:pt idx="450">
                  <c:v>28.607400000000123</c:v>
                </c:pt>
                <c:pt idx="451">
                  <c:v>28.607500000000122</c:v>
                </c:pt>
                <c:pt idx="452">
                  <c:v>28.607600000000122</c:v>
                </c:pt>
                <c:pt idx="453">
                  <c:v>28.607700000000122</c:v>
                </c:pt>
                <c:pt idx="454">
                  <c:v>28.607800000000122</c:v>
                </c:pt>
                <c:pt idx="455">
                  <c:v>28.607900000000122</c:v>
                </c:pt>
                <c:pt idx="456">
                  <c:v>28.608000000000121</c:v>
                </c:pt>
                <c:pt idx="457">
                  <c:v>28.608100000000121</c:v>
                </c:pt>
                <c:pt idx="458">
                  <c:v>28.608200000000121</c:v>
                </c:pt>
                <c:pt idx="459">
                  <c:v>28.608300000000121</c:v>
                </c:pt>
                <c:pt idx="460">
                  <c:v>28.60840000000012</c:v>
                </c:pt>
                <c:pt idx="461">
                  <c:v>28.60850000000012</c:v>
                </c:pt>
                <c:pt idx="462">
                  <c:v>28.60860000000012</c:v>
                </c:pt>
                <c:pt idx="463">
                  <c:v>28.60870000000012</c:v>
                </c:pt>
                <c:pt idx="464">
                  <c:v>28.608800000000119</c:v>
                </c:pt>
                <c:pt idx="465">
                  <c:v>28.608900000000119</c:v>
                </c:pt>
                <c:pt idx="466">
                  <c:v>28.609000000000119</c:v>
                </c:pt>
                <c:pt idx="467">
                  <c:v>28.609100000000119</c:v>
                </c:pt>
                <c:pt idx="468">
                  <c:v>28.609200000000119</c:v>
                </c:pt>
                <c:pt idx="469">
                  <c:v>28.609300000000118</c:v>
                </c:pt>
                <c:pt idx="470">
                  <c:v>28.609400000000118</c:v>
                </c:pt>
                <c:pt idx="471">
                  <c:v>28.609500000000118</c:v>
                </c:pt>
                <c:pt idx="472">
                  <c:v>28.609600000000118</c:v>
                </c:pt>
                <c:pt idx="473">
                  <c:v>28.609700000000117</c:v>
                </c:pt>
                <c:pt idx="474">
                  <c:v>28.609800000000117</c:v>
                </c:pt>
                <c:pt idx="475">
                  <c:v>28.609900000000117</c:v>
                </c:pt>
                <c:pt idx="476">
                  <c:v>28.610000000000117</c:v>
                </c:pt>
                <c:pt idx="477">
                  <c:v>28.610100000000116</c:v>
                </c:pt>
                <c:pt idx="478">
                  <c:v>28.610200000000116</c:v>
                </c:pt>
                <c:pt idx="479">
                  <c:v>28.610300000000116</c:v>
                </c:pt>
                <c:pt idx="480">
                  <c:v>28.610400000000116</c:v>
                </c:pt>
                <c:pt idx="481">
                  <c:v>28.610500000000116</c:v>
                </c:pt>
                <c:pt idx="482">
                  <c:v>28.610600000000115</c:v>
                </c:pt>
                <c:pt idx="483">
                  <c:v>28.610700000000115</c:v>
                </c:pt>
                <c:pt idx="484">
                  <c:v>28.610800000000115</c:v>
                </c:pt>
                <c:pt idx="485">
                  <c:v>28.610900000000115</c:v>
                </c:pt>
                <c:pt idx="486">
                  <c:v>28.611000000000114</c:v>
                </c:pt>
                <c:pt idx="487">
                  <c:v>28.611100000000114</c:v>
                </c:pt>
                <c:pt idx="488">
                  <c:v>28.611200000000114</c:v>
                </c:pt>
                <c:pt idx="489">
                  <c:v>28.611300000000114</c:v>
                </c:pt>
                <c:pt idx="490">
                  <c:v>28.611400000000113</c:v>
                </c:pt>
                <c:pt idx="491">
                  <c:v>28.611500000000113</c:v>
                </c:pt>
                <c:pt idx="492">
                  <c:v>28.611600000000113</c:v>
                </c:pt>
                <c:pt idx="493">
                  <c:v>28.611700000000113</c:v>
                </c:pt>
                <c:pt idx="494">
                  <c:v>28.611800000000112</c:v>
                </c:pt>
                <c:pt idx="495">
                  <c:v>28.611900000000112</c:v>
                </c:pt>
                <c:pt idx="496">
                  <c:v>28.612000000000112</c:v>
                </c:pt>
                <c:pt idx="497">
                  <c:v>28.612100000000112</c:v>
                </c:pt>
                <c:pt idx="498">
                  <c:v>28.612200000000112</c:v>
                </c:pt>
                <c:pt idx="499">
                  <c:v>28.612300000000111</c:v>
                </c:pt>
                <c:pt idx="500">
                  <c:v>28.612400000000111</c:v>
                </c:pt>
                <c:pt idx="501">
                  <c:v>28.612500000000111</c:v>
                </c:pt>
                <c:pt idx="502">
                  <c:v>28.612600000000111</c:v>
                </c:pt>
                <c:pt idx="503">
                  <c:v>28.61270000000011</c:v>
                </c:pt>
                <c:pt idx="504">
                  <c:v>28.61280000000011</c:v>
                </c:pt>
                <c:pt idx="505">
                  <c:v>28.61290000000011</c:v>
                </c:pt>
                <c:pt idx="506">
                  <c:v>28.61300000000011</c:v>
                </c:pt>
                <c:pt idx="507">
                  <c:v>28.613100000000109</c:v>
                </c:pt>
                <c:pt idx="508">
                  <c:v>28.613200000000109</c:v>
                </c:pt>
                <c:pt idx="509">
                  <c:v>28.613300000000109</c:v>
                </c:pt>
                <c:pt idx="510">
                  <c:v>28.613400000000109</c:v>
                </c:pt>
                <c:pt idx="511">
                  <c:v>28.613500000000109</c:v>
                </c:pt>
                <c:pt idx="512">
                  <c:v>28.613600000000108</c:v>
                </c:pt>
                <c:pt idx="513">
                  <c:v>28.613700000000108</c:v>
                </c:pt>
                <c:pt idx="514">
                  <c:v>28.613800000000108</c:v>
                </c:pt>
                <c:pt idx="515">
                  <c:v>28.613900000000108</c:v>
                </c:pt>
                <c:pt idx="516">
                  <c:v>28.614000000000107</c:v>
                </c:pt>
                <c:pt idx="517">
                  <c:v>28.614100000000107</c:v>
                </c:pt>
                <c:pt idx="518">
                  <c:v>28.614200000000107</c:v>
                </c:pt>
                <c:pt idx="519">
                  <c:v>28.614300000000107</c:v>
                </c:pt>
                <c:pt idx="520">
                  <c:v>28.614400000000106</c:v>
                </c:pt>
                <c:pt idx="521">
                  <c:v>28.614500000000106</c:v>
                </c:pt>
                <c:pt idx="522">
                  <c:v>28.614600000000106</c:v>
                </c:pt>
                <c:pt idx="523">
                  <c:v>28.614700000000106</c:v>
                </c:pt>
                <c:pt idx="524">
                  <c:v>28.614800000000105</c:v>
                </c:pt>
                <c:pt idx="525">
                  <c:v>28.614900000000105</c:v>
                </c:pt>
                <c:pt idx="526">
                  <c:v>28.615000000000105</c:v>
                </c:pt>
                <c:pt idx="527">
                  <c:v>28.615100000000105</c:v>
                </c:pt>
                <c:pt idx="528">
                  <c:v>28.615200000000105</c:v>
                </c:pt>
                <c:pt idx="529">
                  <c:v>28.615300000000104</c:v>
                </c:pt>
                <c:pt idx="530">
                  <c:v>28.615400000000104</c:v>
                </c:pt>
                <c:pt idx="531">
                  <c:v>28.615500000000104</c:v>
                </c:pt>
                <c:pt idx="532">
                  <c:v>28.615600000000104</c:v>
                </c:pt>
                <c:pt idx="533">
                  <c:v>28.615700000000103</c:v>
                </c:pt>
                <c:pt idx="534">
                  <c:v>28.615800000000103</c:v>
                </c:pt>
                <c:pt idx="535">
                  <c:v>28.615900000000103</c:v>
                </c:pt>
                <c:pt idx="536">
                  <c:v>28.616000000000103</c:v>
                </c:pt>
                <c:pt idx="537">
                  <c:v>28.616100000000102</c:v>
                </c:pt>
                <c:pt idx="538">
                  <c:v>28.616200000000102</c:v>
                </c:pt>
                <c:pt idx="539">
                  <c:v>28.616300000000102</c:v>
                </c:pt>
                <c:pt idx="540">
                  <c:v>28.616400000000102</c:v>
                </c:pt>
                <c:pt idx="541">
                  <c:v>28.616500000000102</c:v>
                </c:pt>
                <c:pt idx="542">
                  <c:v>28.616600000000101</c:v>
                </c:pt>
                <c:pt idx="543">
                  <c:v>28.616700000000101</c:v>
                </c:pt>
                <c:pt idx="544">
                  <c:v>28.616800000000101</c:v>
                </c:pt>
                <c:pt idx="545">
                  <c:v>28.616900000000101</c:v>
                </c:pt>
                <c:pt idx="546">
                  <c:v>28.6170000000001</c:v>
                </c:pt>
                <c:pt idx="547">
                  <c:v>28.6171000000001</c:v>
                </c:pt>
                <c:pt idx="548">
                  <c:v>28.6172000000001</c:v>
                </c:pt>
                <c:pt idx="549">
                  <c:v>28.6173000000001</c:v>
                </c:pt>
                <c:pt idx="550">
                  <c:v>28.617400000000099</c:v>
                </c:pt>
                <c:pt idx="551">
                  <c:v>28.617500000000099</c:v>
                </c:pt>
                <c:pt idx="552">
                  <c:v>28.617600000000099</c:v>
                </c:pt>
                <c:pt idx="553">
                  <c:v>28.617700000000099</c:v>
                </c:pt>
                <c:pt idx="554">
                  <c:v>28.617800000000098</c:v>
                </c:pt>
                <c:pt idx="555">
                  <c:v>28.617900000000098</c:v>
                </c:pt>
                <c:pt idx="556">
                  <c:v>28.618000000000098</c:v>
                </c:pt>
                <c:pt idx="557">
                  <c:v>28.618100000000098</c:v>
                </c:pt>
                <c:pt idx="558">
                  <c:v>28.618200000000098</c:v>
                </c:pt>
                <c:pt idx="559">
                  <c:v>28.618300000000097</c:v>
                </c:pt>
                <c:pt idx="560">
                  <c:v>28.618400000000097</c:v>
                </c:pt>
                <c:pt idx="561">
                  <c:v>28.618500000000097</c:v>
                </c:pt>
                <c:pt idx="562">
                  <c:v>28.618600000000097</c:v>
                </c:pt>
                <c:pt idx="563">
                  <c:v>28.618700000000096</c:v>
                </c:pt>
                <c:pt idx="564">
                  <c:v>28.618800000000096</c:v>
                </c:pt>
                <c:pt idx="565">
                  <c:v>28.618900000000096</c:v>
                </c:pt>
                <c:pt idx="566">
                  <c:v>28.619000000000096</c:v>
                </c:pt>
                <c:pt idx="567">
                  <c:v>28.619100000000095</c:v>
                </c:pt>
                <c:pt idx="568">
                  <c:v>28.619200000000095</c:v>
                </c:pt>
                <c:pt idx="569">
                  <c:v>28.619300000000095</c:v>
                </c:pt>
                <c:pt idx="570">
                  <c:v>28.619400000000095</c:v>
                </c:pt>
                <c:pt idx="571">
                  <c:v>28.619500000000095</c:v>
                </c:pt>
                <c:pt idx="572">
                  <c:v>28.619600000000094</c:v>
                </c:pt>
                <c:pt idx="573">
                  <c:v>28.619700000000094</c:v>
                </c:pt>
                <c:pt idx="574">
                  <c:v>28.619800000000094</c:v>
                </c:pt>
                <c:pt idx="575">
                  <c:v>28.619900000000094</c:v>
                </c:pt>
                <c:pt idx="576">
                  <c:v>28.620000000000093</c:v>
                </c:pt>
                <c:pt idx="577">
                  <c:v>28.620100000000093</c:v>
                </c:pt>
                <c:pt idx="578">
                  <c:v>28.620200000000093</c:v>
                </c:pt>
                <c:pt idx="579">
                  <c:v>28.620300000000093</c:v>
                </c:pt>
                <c:pt idx="580">
                  <c:v>28.620400000000092</c:v>
                </c:pt>
                <c:pt idx="581">
                  <c:v>28.620500000000092</c:v>
                </c:pt>
                <c:pt idx="582">
                  <c:v>28.620600000000092</c:v>
                </c:pt>
                <c:pt idx="583">
                  <c:v>28.620700000000092</c:v>
                </c:pt>
                <c:pt idx="584">
                  <c:v>28.620800000000092</c:v>
                </c:pt>
                <c:pt idx="585">
                  <c:v>28.620900000000091</c:v>
                </c:pt>
                <c:pt idx="586">
                  <c:v>28.621000000000091</c:v>
                </c:pt>
                <c:pt idx="587">
                  <c:v>28.621100000000091</c:v>
                </c:pt>
                <c:pt idx="588">
                  <c:v>28.621200000000091</c:v>
                </c:pt>
                <c:pt idx="589">
                  <c:v>28.62130000000009</c:v>
                </c:pt>
                <c:pt idx="590">
                  <c:v>28.62140000000009</c:v>
                </c:pt>
                <c:pt idx="591">
                  <c:v>28.62150000000009</c:v>
                </c:pt>
                <c:pt idx="592">
                  <c:v>28.62160000000009</c:v>
                </c:pt>
                <c:pt idx="593">
                  <c:v>28.621700000000089</c:v>
                </c:pt>
                <c:pt idx="594">
                  <c:v>28.621800000000089</c:v>
                </c:pt>
                <c:pt idx="595">
                  <c:v>28.621900000000089</c:v>
                </c:pt>
                <c:pt idx="596">
                  <c:v>28.622000000000089</c:v>
                </c:pt>
                <c:pt idx="597">
                  <c:v>28.622100000000088</c:v>
                </c:pt>
                <c:pt idx="598">
                  <c:v>28.622200000000088</c:v>
                </c:pt>
                <c:pt idx="599">
                  <c:v>28.622300000000088</c:v>
                </c:pt>
                <c:pt idx="600">
                  <c:v>28.622400000000088</c:v>
                </c:pt>
                <c:pt idx="601">
                  <c:v>28.622500000000088</c:v>
                </c:pt>
                <c:pt idx="602">
                  <c:v>28.622600000000087</c:v>
                </c:pt>
                <c:pt idx="603">
                  <c:v>28.622700000000087</c:v>
                </c:pt>
                <c:pt idx="604">
                  <c:v>28.622800000000087</c:v>
                </c:pt>
                <c:pt idx="605">
                  <c:v>28.622900000000087</c:v>
                </c:pt>
                <c:pt idx="606">
                  <c:v>28.623000000000086</c:v>
                </c:pt>
                <c:pt idx="607">
                  <c:v>28.623100000000086</c:v>
                </c:pt>
                <c:pt idx="608">
                  <c:v>28.623200000000086</c:v>
                </c:pt>
                <c:pt idx="609">
                  <c:v>28.623300000000086</c:v>
                </c:pt>
                <c:pt idx="610">
                  <c:v>28.623400000000085</c:v>
                </c:pt>
                <c:pt idx="611">
                  <c:v>28.623500000000085</c:v>
                </c:pt>
                <c:pt idx="612">
                  <c:v>28.623600000000085</c:v>
                </c:pt>
                <c:pt idx="613">
                  <c:v>28.623700000000085</c:v>
                </c:pt>
                <c:pt idx="614">
                  <c:v>28.623800000000085</c:v>
                </c:pt>
                <c:pt idx="615">
                  <c:v>28.623900000000084</c:v>
                </c:pt>
                <c:pt idx="616">
                  <c:v>28.624000000000084</c:v>
                </c:pt>
                <c:pt idx="617">
                  <c:v>28.624100000000084</c:v>
                </c:pt>
                <c:pt idx="618">
                  <c:v>28.624200000000084</c:v>
                </c:pt>
                <c:pt idx="619">
                  <c:v>28.624300000000083</c:v>
                </c:pt>
                <c:pt idx="620">
                  <c:v>28.624400000000083</c:v>
                </c:pt>
                <c:pt idx="621">
                  <c:v>28.624500000000083</c:v>
                </c:pt>
                <c:pt idx="622">
                  <c:v>28.624600000000083</c:v>
                </c:pt>
                <c:pt idx="623">
                  <c:v>28.624700000000082</c:v>
                </c:pt>
                <c:pt idx="624">
                  <c:v>28.624800000000082</c:v>
                </c:pt>
                <c:pt idx="625">
                  <c:v>28.624900000000082</c:v>
                </c:pt>
                <c:pt idx="626">
                  <c:v>28.625000000000082</c:v>
                </c:pt>
                <c:pt idx="627">
                  <c:v>28.625100000000081</c:v>
                </c:pt>
                <c:pt idx="628">
                  <c:v>28.625200000000081</c:v>
                </c:pt>
                <c:pt idx="629">
                  <c:v>28.625300000000081</c:v>
                </c:pt>
                <c:pt idx="630">
                  <c:v>28.625400000000081</c:v>
                </c:pt>
                <c:pt idx="631">
                  <c:v>28.625500000000081</c:v>
                </c:pt>
                <c:pt idx="632">
                  <c:v>28.62560000000008</c:v>
                </c:pt>
                <c:pt idx="633">
                  <c:v>28.62570000000008</c:v>
                </c:pt>
                <c:pt idx="634">
                  <c:v>28.62580000000008</c:v>
                </c:pt>
                <c:pt idx="635">
                  <c:v>28.62590000000008</c:v>
                </c:pt>
                <c:pt idx="636">
                  <c:v>28.626000000000079</c:v>
                </c:pt>
                <c:pt idx="637">
                  <c:v>28.626100000000079</c:v>
                </c:pt>
                <c:pt idx="638">
                  <c:v>28.626200000000079</c:v>
                </c:pt>
                <c:pt idx="639">
                  <c:v>28.626300000000079</c:v>
                </c:pt>
                <c:pt idx="640">
                  <c:v>28.626400000000078</c:v>
                </c:pt>
                <c:pt idx="641">
                  <c:v>28.626500000000078</c:v>
                </c:pt>
                <c:pt idx="642">
                  <c:v>28.626600000000078</c:v>
                </c:pt>
                <c:pt idx="643">
                  <c:v>28.626700000000078</c:v>
                </c:pt>
                <c:pt idx="644">
                  <c:v>28.626800000000078</c:v>
                </c:pt>
                <c:pt idx="645">
                  <c:v>28.626900000000077</c:v>
                </c:pt>
                <c:pt idx="646">
                  <c:v>28.627000000000077</c:v>
                </c:pt>
                <c:pt idx="647">
                  <c:v>28.627100000000077</c:v>
                </c:pt>
                <c:pt idx="648">
                  <c:v>28.627200000000077</c:v>
                </c:pt>
                <c:pt idx="649">
                  <c:v>28.627300000000076</c:v>
                </c:pt>
                <c:pt idx="650">
                  <c:v>28.627400000000076</c:v>
                </c:pt>
                <c:pt idx="651">
                  <c:v>28.627500000000076</c:v>
                </c:pt>
                <c:pt idx="652">
                  <c:v>28.627600000000076</c:v>
                </c:pt>
                <c:pt idx="653">
                  <c:v>28.627700000000075</c:v>
                </c:pt>
                <c:pt idx="654">
                  <c:v>28.627800000000075</c:v>
                </c:pt>
                <c:pt idx="655">
                  <c:v>28.627900000000075</c:v>
                </c:pt>
                <c:pt idx="656">
                  <c:v>28.628000000000075</c:v>
                </c:pt>
                <c:pt idx="657">
                  <c:v>28.628100000000074</c:v>
                </c:pt>
                <c:pt idx="658">
                  <c:v>28.628200000000074</c:v>
                </c:pt>
                <c:pt idx="659">
                  <c:v>28.628300000000074</c:v>
                </c:pt>
                <c:pt idx="660">
                  <c:v>28.628400000000074</c:v>
                </c:pt>
                <c:pt idx="661">
                  <c:v>28.628500000000074</c:v>
                </c:pt>
                <c:pt idx="662">
                  <c:v>28.628600000000073</c:v>
                </c:pt>
                <c:pt idx="663">
                  <c:v>28.628700000000073</c:v>
                </c:pt>
                <c:pt idx="664">
                  <c:v>28.628800000000073</c:v>
                </c:pt>
                <c:pt idx="665">
                  <c:v>28.628900000000073</c:v>
                </c:pt>
                <c:pt idx="666">
                  <c:v>28.629000000000072</c:v>
                </c:pt>
                <c:pt idx="667">
                  <c:v>28.629100000000072</c:v>
                </c:pt>
                <c:pt idx="668">
                  <c:v>28.629200000000072</c:v>
                </c:pt>
                <c:pt idx="669">
                  <c:v>28.629300000000072</c:v>
                </c:pt>
                <c:pt idx="670">
                  <c:v>28.629400000000071</c:v>
                </c:pt>
                <c:pt idx="671">
                  <c:v>28.629500000000071</c:v>
                </c:pt>
                <c:pt idx="672">
                  <c:v>28.629600000000071</c:v>
                </c:pt>
                <c:pt idx="673">
                  <c:v>28.629700000000071</c:v>
                </c:pt>
                <c:pt idx="674">
                  <c:v>28.629800000000071</c:v>
                </c:pt>
                <c:pt idx="675">
                  <c:v>28.62990000000007</c:v>
                </c:pt>
                <c:pt idx="676">
                  <c:v>28.63000000000007</c:v>
                </c:pt>
                <c:pt idx="677">
                  <c:v>28.63010000000007</c:v>
                </c:pt>
                <c:pt idx="678">
                  <c:v>28.63020000000007</c:v>
                </c:pt>
                <c:pt idx="679">
                  <c:v>28.630300000000069</c:v>
                </c:pt>
                <c:pt idx="680">
                  <c:v>28.630400000000069</c:v>
                </c:pt>
                <c:pt idx="681">
                  <c:v>28.630500000000069</c:v>
                </c:pt>
                <c:pt idx="682">
                  <c:v>28.630600000000069</c:v>
                </c:pt>
                <c:pt idx="683">
                  <c:v>28.630700000000068</c:v>
                </c:pt>
                <c:pt idx="684">
                  <c:v>28.630800000000068</c:v>
                </c:pt>
                <c:pt idx="685">
                  <c:v>28.630900000000068</c:v>
                </c:pt>
                <c:pt idx="686">
                  <c:v>28.631000000000068</c:v>
                </c:pt>
                <c:pt idx="687">
                  <c:v>28.631100000000067</c:v>
                </c:pt>
                <c:pt idx="688">
                  <c:v>28.631200000000067</c:v>
                </c:pt>
                <c:pt idx="689">
                  <c:v>28.631300000000067</c:v>
                </c:pt>
                <c:pt idx="690">
                  <c:v>28.631400000000067</c:v>
                </c:pt>
                <c:pt idx="691">
                  <c:v>28.631500000000067</c:v>
                </c:pt>
                <c:pt idx="692">
                  <c:v>28.631600000000066</c:v>
                </c:pt>
                <c:pt idx="693">
                  <c:v>28.631700000000066</c:v>
                </c:pt>
                <c:pt idx="694">
                  <c:v>28.631800000000066</c:v>
                </c:pt>
                <c:pt idx="695">
                  <c:v>28.631900000000066</c:v>
                </c:pt>
                <c:pt idx="696">
                  <c:v>28.632000000000065</c:v>
                </c:pt>
                <c:pt idx="697">
                  <c:v>28.632100000000065</c:v>
                </c:pt>
                <c:pt idx="698">
                  <c:v>28.632200000000065</c:v>
                </c:pt>
                <c:pt idx="699">
                  <c:v>28.632300000000065</c:v>
                </c:pt>
                <c:pt idx="700">
                  <c:v>28.632400000000064</c:v>
                </c:pt>
                <c:pt idx="701">
                  <c:v>28.632500000000064</c:v>
                </c:pt>
                <c:pt idx="702">
                  <c:v>28.632600000000064</c:v>
                </c:pt>
                <c:pt idx="703">
                  <c:v>28.632700000000064</c:v>
                </c:pt>
                <c:pt idx="704">
                  <c:v>28.632800000000064</c:v>
                </c:pt>
                <c:pt idx="705">
                  <c:v>28.632900000000063</c:v>
                </c:pt>
                <c:pt idx="706">
                  <c:v>28.633000000000063</c:v>
                </c:pt>
                <c:pt idx="707">
                  <c:v>28.633100000000063</c:v>
                </c:pt>
                <c:pt idx="708">
                  <c:v>28.633200000000063</c:v>
                </c:pt>
                <c:pt idx="709">
                  <c:v>28.633300000000062</c:v>
                </c:pt>
                <c:pt idx="710">
                  <c:v>28.633400000000062</c:v>
                </c:pt>
                <c:pt idx="711">
                  <c:v>28.633500000000062</c:v>
                </c:pt>
                <c:pt idx="712">
                  <c:v>28.633600000000062</c:v>
                </c:pt>
                <c:pt idx="713">
                  <c:v>28.633700000000061</c:v>
                </c:pt>
                <c:pt idx="714">
                  <c:v>28.633800000000061</c:v>
                </c:pt>
                <c:pt idx="715">
                  <c:v>28.633900000000061</c:v>
                </c:pt>
                <c:pt idx="716">
                  <c:v>28.634000000000061</c:v>
                </c:pt>
                <c:pt idx="717">
                  <c:v>28.634100000000061</c:v>
                </c:pt>
                <c:pt idx="718">
                  <c:v>28.63420000000006</c:v>
                </c:pt>
                <c:pt idx="719">
                  <c:v>28.63430000000006</c:v>
                </c:pt>
                <c:pt idx="720">
                  <c:v>28.63440000000006</c:v>
                </c:pt>
                <c:pt idx="721">
                  <c:v>28.63450000000006</c:v>
                </c:pt>
                <c:pt idx="722">
                  <c:v>28.634600000000059</c:v>
                </c:pt>
                <c:pt idx="723">
                  <c:v>28.634700000000059</c:v>
                </c:pt>
                <c:pt idx="724">
                  <c:v>28.634800000000059</c:v>
                </c:pt>
                <c:pt idx="725">
                  <c:v>28.634900000000059</c:v>
                </c:pt>
                <c:pt idx="726">
                  <c:v>28.635000000000058</c:v>
                </c:pt>
                <c:pt idx="727">
                  <c:v>28.635100000000058</c:v>
                </c:pt>
                <c:pt idx="728">
                  <c:v>28.635200000000058</c:v>
                </c:pt>
                <c:pt idx="729">
                  <c:v>28.635300000000058</c:v>
                </c:pt>
                <c:pt idx="730">
                  <c:v>28.635400000000057</c:v>
                </c:pt>
                <c:pt idx="731">
                  <c:v>28.635500000000057</c:v>
                </c:pt>
                <c:pt idx="732">
                  <c:v>28.635600000000057</c:v>
                </c:pt>
                <c:pt idx="733">
                  <c:v>28.635700000000057</c:v>
                </c:pt>
                <c:pt idx="734">
                  <c:v>28.635800000000057</c:v>
                </c:pt>
                <c:pt idx="735">
                  <c:v>28.635900000000056</c:v>
                </c:pt>
                <c:pt idx="736">
                  <c:v>28.636000000000056</c:v>
                </c:pt>
                <c:pt idx="737">
                  <c:v>28.636100000000056</c:v>
                </c:pt>
                <c:pt idx="738">
                  <c:v>28.636200000000056</c:v>
                </c:pt>
                <c:pt idx="739">
                  <c:v>28.636300000000055</c:v>
                </c:pt>
                <c:pt idx="740">
                  <c:v>28.636400000000055</c:v>
                </c:pt>
                <c:pt idx="741">
                  <c:v>28.636500000000055</c:v>
                </c:pt>
                <c:pt idx="742">
                  <c:v>28.636600000000055</c:v>
                </c:pt>
                <c:pt idx="743">
                  <c:v>28.636700000000054</c:v>
                </c:pt>
                <c:pt idx="744">
                  <c:v>28.636800000000054</c:v>
                </c:pt>
                <c:pt idx="745">
                  <c:v>28.636900000000054</c:v>
                </c:pt>
                <c:pt idx="746">
                  <c:v>28.637000000000054</c:v>
                </c:pt>
                <c:pt idx="747">
                  <c:v>28.637100000000054</c:v>
                </c:pt>
                <c:pt idx="748">
                  <c:v>28.637200000000053</c:v>
                </c:pt>
                <c:pt idx="749">
                  <c:v>28.637300000000053</c:v>
                </c:pt>
                <c:pt idx="750">
                  <c:v>28.637400000000053</c:v>
                </c:pt>
                <c:pt idx="751">
                  <c:v>28.637500000000053</c:v>
                </c:pt>
                <c:pt idx="752">
                  <c:v>28.637600000000052</c:v>
                </c:pt>
                <c:pt idx="753">
                  <c:v>28.637700000000052</c:v>
                </c:pt>
                <c:pt idx="754">
                  <c:v>28.637800000000052</c:v>
                </c:pt>
                <c:pt idx="755">
                  <c:v>28.637900000000052</c:v>
                </c:pt>
                <c:pt idx="756">
                  <c:v>28.638000000000051</c:v>
                </c:pt>
                <c:pt idx="757">
                  <c:v>28.638100000000051</c:v>
                </c:pt>
                <c:pt idx="758">
                  <c:v>28.638200000000051</c:v>
                </c:pt>
                <c:pt idx="759">
                  <c:v>28.638300000000051</c:v>
                </c:pt>
                <c:pt idx="760">
                  <c:v>28.63840000000005</c:v>
                </c:pt>
                <c:pt idx="761">
                  <c:v>28.63850000000005</c:v>
                </c:pt>
                <c:pt idx="762">
                  <c:v>28.63860000000005</c:v>
                </c:pt>
                <c:pt idx="763">
                  <c:v>28.63870000000005</c:v>
                </c:pt>
                <c:pt idx="764">
                  <c:v>28.63880000000005</c:v>
                </c:pt>
                <c:pt idx="765">
                  <c:v>28.638900000000049</c:v>
                </c:pt>
                <c:pt idx="766">
                  <c:v>28.639000000000049</c:v>
                </c:pt>
                <c:pt idx="767">
                  <c:v>28.639100000000049</c:v>
                </c:pt>
                <c:pt idx="768">
                  <c:v>28.639200000000049</c:v>
                </c:pt>
                <c:pt idx="769">
                  <c:v>28.639300000000048</c:v>
                </c:pt>
                <c:pt idx="770">
                  <c:v>28.639400000000048</c:v>
                </c:pt>
                <c:pt idx="771">
                  <c:v>28.639500000000048</c:v>
                </c:pt>
                <c:pt idx="772">
                  <c:v>28.639600000000048</c:v>
                </c:pt>
                <c:pt idx="773">
                  <c:v>28.639700000000047</c:v>
                </c:pt>
                <c:pt idx="774">
                  <c:v>28.639800000000047</c:v>
                </c:pt>
                <c:pt idx="775">
                  <c:v>28.639900000000047</c:v>
                </c:pt>
                <c:pt idx="776">
                  <c:v>28.640000000000047</c:v>
                </c:pt>
                <c:pt idx="777">
                  <c:v>28.640100000000047</c:v>
                </c:pt>
                <c:pt idx="778">
                  <c:v>28.640200000000046</c:v>
                </c:pt>
                <c:pt idx="779">
                  <c:v>28.640300000000046</c:v>
                </c:pt>
                <c:pt idx="780">
                  <c:v>28.640400000000046</c:v>
                </c:pt>
                <c:pt idx="781">
                  <c:v>28.640500000000046</c:v>
                </c:pt>
                <c:pt idx="782">
                  <c:v>28.640600000000045</c:v>
                </c:pt>
                <c:pt idx="783">
                  <c:v>28.640700000000045</c:v>
                </c:pt>
                <c:pt idx="784">
                  <c:v>28.640800000000045</c:v>
                </c:pt>
                <c:pt idx="785">
                  <c:v>28.640900000000045</c:v>
                </c:pt>
                <c:pt idx="786">
                  <c:v>28.641000000000044</c:v>
                </c:pt>
                <c:pt idx="787">
                  <c:v>28.641100000000044</c:v>
                </c:pt>
                <c:pt idx="788">
                  <c:v>28.641200000000044</c:v>
                </c:pt>
                <c:pt idx="789">
                  <c:v>28.641300000000044</c:v>
                </c:pt>
                <c:pt idx="790">
                  <c:v>28.641400000000043</c:v>
                </c:pt>
                <c:pt idx="791">
                  <c:v>28.641500000000043</c:v>
                </c:pt>
                <c:pt idx="792">
                  <c:v>28.641600000000043</c:v>
                </c:pt>
                <c:pt idx="793">
                  <c:v>28.641700000000043</c:v>
                </c:pt>
                <c:pt idx="794">
                  <c:v>28.641800000000043</c:v>
                </c:pt>
                <c:pt idx="795">
                  <c:v>28.641900000000042</c:v>
                </c:pt>
                <c:pt idx="796">
                  <c:v>28.642000000000042</c:v>
                </c:pt>
                <c:pt idx="797">
                  <c:v>28.642100000000042</c:v>
                </c:pt>
                <c:pt idx="798">
                  <c:v>28.642200000000042</c:v>
                </c:pt>
                <c:pt idx="799">
                  <c:v>28.642300000000041</c:v>
                </c:pt>
                <c:pt idx="800">
                  <c:v>28.642400000000041</c:v>
                </c:pt>
                <c:pt idx="801">
                  <c:v>28.642500000000041</c:v>
                </c:pt>
                <c:pt idx="802">
                  <c:v>28.642600000000041</c:v>
                </c:pt>
                <c:pt idx="803">
                  <c:v>28.64270000000004</c:v>
                </c:pt>
                <c:pt idx="804">
                  <c:v>28.64280000000004</c:v>
                </c:pt>
                <c:pt idx="805">
                  <c:v>28.64290000000004</c:v>
                </c:pt>
                <c:pt idx="806">
                  <c:v>28.64300000000004</c:v>
                </c:pt>
                <c:pt idx="807">
                  <c:v>28.64310000000004</c:v>
                </c:pt>
                <c:pt idx="808">
                  <c:v>28.643200000000039</c:v>
                </c:pt>
                <c:pt idx="809">
                  <c:v>28.643300000000039</c:v>
                </c:pt>
                <c:pt idx="810">
                  <c:v>28.643400000000039</c:v>
                </c:pt>
                <c:pt idx="811">
                  <c:v>28.643500000000039</c:v>
                </c:pt>
                <c:pt idx="812">
                  <c:v>28.643600000000038</c:v>
                </c:pt>
                <c:pt idx="813">
                  <c:v>28.643700000000038</c:v>
                </c:pt>
                <c:pt idx="814">
                  <c:v>28.643800000000038</c:v>
                </c:pt>
                <c:pt idx="815">
                  <c:v>28.643900000000038</c:v>
                </c:pt>
                <c:pt idx="816">
                  <c:v>28.644000000000037</c:v>
                </c:pt>
                <c:pt idx="817">
                  <c:v>28.644100000000037</c:v>
                </c:pt>
                <c:pt idx="818">
                  <c:v>28.644200000000037</c:v>
                </c:pt>
                <c:pt idx="819">
                  <c:v>28.644300000000037</c:v>
                </c:pt>
                <c:pt idx="820">
                  <c:v>28.644400000000036</c:v>
                </c:pt>
                <c:pt idx="821">
                  <c:v>28.644500000000036</c:v>
                </c:pt>
                <c:pt idx="822">
                  <c:v>28.644600000000036</c:v>
                </c:pt>
                <c:pt idx="823">
                  <c:v>28.644700000000036</c:v>
                </c:pt>
                <c:pt idx="824">
                  <c:v>28.644800000000036</c:v>
                </c:pt>
                <c:pt idx="825">
                  <c:v>28.644900000000035</c:v>
                </c:pt>
                <c:pt idx="826">
                  <c:v>28.645000000000035</c:v>
                </c:pt>
                <c:pt idx="827">
                  <c:v>28.645100000000035</c:v>
                </c:pt>
                <c:pt idx="828">
                  <c:v>28.645200000000035</c:v>
                </c:pt>
                <c:pt idx="829">
                  <c:v>28.645300000000034</c:v>
                </c:pt>
                <c:pt idx="830">
                  <c:v>28.645400000000034</c:v>
                </c:pt>
                <c:pt idx="831">
                  <c:v>28.645500000000034</c:v>
                </c:pt>
                <c:pt idx="832">
                  <c:v>28.645600000000034</c:v>
                </c:pt>
                <c:pt idx="833">
                  <c:v>28.645700000000033</c:v>
                </c:pt>
                <c:pt idx="834">
                  <c:v>28.645800000000033</c:v>
                </c:pt>
                <c:pt idx="835">
                  <c:v>28.645900000000033</c:v>
                </c:pt>
                <c:pt idx="836">
                  <c:v>28.646000000000033</c:v>
                </c:pt>
                <c:pt idx="837">
                  <c:v>28.646100000000033</c:v>
                </c:pt>
                <c:pt idx="838">
                  <c:v>28.646200000000032</c:v>
                </c:pt>
                <c:pt idx="839">
                  <c:v>28.646300000000032</c:v>
                </c:pt>
                <c:pt idx="840">
                  <c:v>28.646400000000032</c:v>
                </c:pt>
                <c:pt idx="841">
                  <c:v>28.646500000000032</c:v>
                </c:pt>
                <c:pt idx="842">
                  <c:v>28.646600000000031</c:v>
                </c:pt>
                <c:pt idx="843">
                  <c:v>28.646700000000031</c:v>
                </c:pt>
                <c:pt idx="844">
                  <c:v>28.646800000000031</c:v>
                </c:pt>
                <c:pt idx="845">
                  <c:v>28.646900000000031</c:v>
                </c:pt>
                <c:pt idx="846">
                  <c:v>28.64700000000003</c:v>
                </c:pt>
                <c:pt idx="847">
                  <c:v>28.64710000000003</c:v>
                </c:pt>
                <c:pt idx="848">
                  <c:v>28.64720000000003</c:v>
                </c:pt>
                <c:pt idx="849">
                  <c:v>28.64730000000003</c:v>
                </c:pt>
                <c:pt idx="850">
                  <c:v>28.64740000000003</c:v>
                </c:pt>
                <c:pt idx="851">
                  <c:v>28.647500000000029</c:v>
                </c:pt>
                <c:pt idx="852">
                  <c:v>28.647600000000029</c:v>
                </c:pt>
                <c:pt idx="853">
                  <c:v>28.647700000000029</c:v>
                </c:pt>
                <c:pt idx="854">
                  <c:v>28.647800000000029</c:v>
                </c:pt>
                <c:pt idx="855">
                  <c:v>28.647900000000028</c:v>
                </c:pt>
                <c:pt idx="856">
                  <c:v>28.648000000000028</c:v>
                </c:pt>
                <c:pt idx="857">
                  <c:v>28.648100000000028</c:v>
                </c:pt>
                <c:pt idx="858">
                  <c:v>28.648200000000028</c:v>
                </c:pt>
                <c:pt idx="859">
                  <c:v>28.648300000000027</c:v>
                </c:pt>
                <c:pt idx="860">
                  <c:v>28.648400000000027</c:v>
                </c:pt>
                <c:pt idx="861">
                  <c:v>28.648500000000027</c:v>
                </c:pt>
                <c:pt idx="862">
                  <c:v>28.648600000000027</c:v>
                </c:pt>
                <c:pt idx="863">
                  <c:v>28.648700000000026</c:v>
                </c:pt>
                <c:pt idx="864">
                  <c:v>28.648800000000026</c:v>
                </c:pt>
                <c:pt idx="865">
                  <c:v>28.648900000000026</c:v>
                </c:pt>
                <c:pt idx="866">
                  <c:v>28.649000000000026</c:v>
                </c:pt>
                <c:pt idx="867">
                  <c:v>28.649100000000026</c:v>
                </c:pt>
                <c:pt idx="868">
                  <c:v>28.649200000000025</c:v>
                </c:pt>
                <c:pt idx="869">
                  <c:v>28.649300000000025</c:v>
                </c:pt>
                <c:pt idx="870">
                  <c:v>28.649400000000025</c:v>
                </c:pt>
                <c:pt idx="871">
                  <c:v>28.649500000000025</c:v>
                </c:pt>
                <c:pt idx="872">
                  <c:v>28.649600000000024</c:v>
                </c:pt>
                <c:pt idx="873">
                  <c:v>28.649700000000024</c:v>
                </c:pt>
                <c:pt idx="874">
                  <c:v>28.649800000000024</c:v>
                </c:pt>
                <c:pt idx="875">
                  <c:v>28.649900000000024</c:v>
                </c:pt>
                <c:pt idx="876">
                  <c:v>28.650000000000023</c:v>
                </c:pt>
                <c:pt idx="877">
                  <c:v>28.650100000000023</c:v>
                </c:pt>
                <c:pt idx="878">
                  <c:v>28.650200000000023</c:v>
                </c:pt>
                <c:pt idx="879">
                  <c:v>28.650300000000023</c:v>
                </c:pt>
                <c:pt idx="880">
                  <c:v>28.650400000000023</c:v>
                </c:pt>
                <c:pt idx="881">
                  <c:v>28.650500000000022</c:v>
                </c:pt>
                <c:pt idx="882">
                  <c:v>28.650600000000022</c:v>
                </c:pt>
                <c:pt idx="883">
                  <c:v>28.650700000000022</c:v>
                </c:pt>
                <c:pt idx="884">
                  <c:v>28.650800000000022</c:v>
                </c:pt>
                <c:pt idx="885">
                  <c:v>28.650900000000021</c:v>
                </c:pt>
                <c:pt idx="886">
                  <c:v>28.651000000000021</c:v>
                </c:pt>
                <c:pt idx="887">
                  <c:v>28.651100000000021</c:v>
                </c:pt>
                <c:pt idx="888">
                  <c:v>28.651200000000021</c:v>
                </c:pt>
                <c:pt idx="889">
                  <c:v>28.65130000000002</c:v>
                </c:pt>
                <c:pt idx="890">
                  <c:v>28.65140000000002</c:v>
                </c:pt>
                <c:pt idx="891">
                  <c:v>28.65150000000002</c:v>
                </c:pt>
                <c:pt idx="892">
                  <c:v>28.65160000000002</c:v>
                </c:pt>
                <c:pt idx="893">
                  <c:v>28.651700000000019</c:v>
                </c:pt>
                <c:pt idx="894">
                  <c:v>28.651800000000019</c:v>
                </c:pt>
                <c:pt idx="895">
                  <c:v>28.651900000000019</c:v>
                </c:pt>
                <c:pt idx="896">
                  <c:v>28.652000000000019</c:v>
                </c:pt>
                <c:pt idx="897">
                  <c:v>28.652100000000019</c:v>
                </c:pt>
                <c:pt idx="898">
                  <c:v>28.652200000000018</c:v>
                </c:pt>
                <c:pt idx="899">
                  <c:v>28.652300000000018</c:v>
                </c:pt>
                <c:pt idx="900">
                  <c:v>28.652400000000018</c:v>
                </c:pt>
                <c:pt idx="901">
                  <c:v>28.652500000000018</c:v>
                </c:pt>
                <c:pt idx="902">
                  <c:v>28.652600000000017</c:v>
                </c:pt>
                <c:pt idx="903">
                  <c:v>28.652700000000017</c:v>
                </c:pt>
                <c:pt idx="904">
                  <c:v>28.652800000000017</c:v>
                </c:pt>
                <c:pt idx="905">
                  <c:v>28.652900000000017</c:v>
                </c:pt>
                <c:pt idx="906">
                  <c:v>28.653000000000016</c:v>
                </c:pt>
                <c:pt idx="907">
                  <c:v>28.653100000000016</c:v>
                </c:pt>
                <c:pt idx="908">
                  <c:v>28.653200000000016</c:v>
                </c:pt>
                <c:pt idx="909">
                  <c:v>28.653300000000016</c:v>
                </c:pt>
                <c:pt idx="910">
                  <c:v>28.653400000000016</c:v>
                </c:pt>
                <c:pt idx="911">
                  <c:v>28.653500000000015</c:v>
                </c:pt>
                <c:pt idx="912">
                  <c:v>28.653600000000015</c:v>
                </c:pt>
                <c:pt idx="913">
                  <c:v>28.653700000000015</c:v>
                </c:pt>
                <c:pt idx="914">
                  <c:v>28.653800000000015</c:v>
                </c:pt>
                <c:pt idx="915">
                  <c:v>28.653900000000014</c:v>
                </c:pt>
                <c:pt idx="916">
                  <c:v>28.654000000000014</c:v>
                </c:pt>
                <c:pt idx="917">
                  <c:v>28.654100000000014</c:v>
                </c:pt>
                <c:pt idx="918">
                  <c:v>28.654200000000014</c:v>
                </c:pt>
                <c:pt idx="919">
                  <c:v>28.654300000000013</c:v>
                </c:pt>
                <c:pt idx="920">
                  <c:v>28.654400000000013</c:v>
                </c:pt>
                <c:pt idx="921">
                  <c:v>28.654500000000013</c:v>
                </c:pt>
                <c:pt idx="922">
                  <c:v>28.654600000000013</c:v>
                </c:pt>
                <c:pt idx="923">
                  <c:v>28.654700000000012</c:v>
                </c:pt>
                <c:pt idx="924">
                  <c:v>28.654800000000012</c:v>
                </c:pt>
                <c:pt idx="925">
                  <c:v>28.654900000000012</c:v>
                </c:pt>
                <c:pt idx="926">
                  <c:v>28.655000000000012</c:v>
                </c:pt>
                <c:pt idx="927">
                  <c:v>28.655100000000012</c:v>
                </c:pt>
                <c:pt idx="928">
                  <c:v>28.655200000000011</c:v>
                </c:pt>
                <c:pt idx="929">
                  <c:v>28.655300000000011</c:v>
                </c:pt>
                <c:pt idx="930">
                  <c:v>28.655400000000011</c:v>
                </c:pt>
                <c:pt idx="931">
                  <c:v>28.655500000000011</c:v>
                </c:pt>
                <c:pt idx="932">
                  <c:v>28.65560000000001</c:v>
                </c:pt>
                <c:pt idx="933">
                  <c:v>28.65570000000001</c:v>
                </c:pt>
                <c:pt idx="934">
                  <c:v>28.65580000000001</c:v>
                </c:pt>
                <c:pt idx="935">
                  <c:v>28.65590000000001</c:v>
                </c:pt>
                <c:pt idx="936">
                  <c:v>28.656000000000009</c:v>
                </c:pt>
                <c:pt idx="937">
                  <c:v>28.656100000000009</c:v>
                </c:pt>
                <c:pt idx="938">
                  <c:v>28.656200000000009</c:v>
                </c:pt>
                <c:pt idx="939">
                  <c:v>28.656300000000009</c:v>
                </c:pt>
                <c:pt idx="940">
                  <c:v>28.656400000000009</c:v>
                </c:pt>
                <c:pt idx="941">
                  <c:v>28.656500000000008</c:v>
                </c:pt>
                <c:pt idx="942">
                  <c:v>28.656600000000008</c:v>
                </c:pt>
                <c:pt idx="943">
                  <c:v>28.656700000000008</c:v>
                </c:pt>
                <c:pt idx="944">
                  <c:v>28.656800000000008</c:v>
                </c:pt>
                <c:pt idx="945">
                  <c:v>28.656900000000007</c:v>
                </c:pt>
                <c:pt idx="946">
                  <c:v>28.657000000000007</c:v>
                </c:pt>
                <c:pt idx="947">
                  <c:v>28.657100000000007</c:v>
                </c:pt>
                <c:pt idx="948">
                  <c:v>28.657200000000007</c:v>
                </c:pt>
                <c:pt idx="949">
                  <c:v>28.657300000000006</c:v>
                </c:pt>
                <c:pt idx="950">
                  <c:v>28.657400000000006</c:v>
                </c:pt>
                <c:pt idx="951">
                  <c:v>28.657500000000006</c:v>
                </c:pt>
                <c:pt idx="952">
                  <c:v>28.657600000000006</c:v>
                </c:pt>
                <c:pt idx="953">
                  <c:v>28.657700000000006</c:v>
                </c:pt>
                <c:pt idx="954">
                  <c:v>28.657800000000005</c:v>
                </c:pt>
                <c:pt idx="955">
                  <c:v>28.657900000000005</c:v>
                </c:pt>
                <c:pt idx="956">
                  <c:v>28.658000000000005</c:v>
                </c:pt>
                <c:pt idx="957">
                  <c:v>28.658100000000005</c:v>
                </c:pt>
                <c:pt idx="958">
                  <c:v>28.658200000000004</c:v>
                </c:pt>
                <c:pt idx="959">
                  <c:v>28.658300000000004</c:v>
                </c:pt>
                <c:pt idx="960">
                  <c:v>28.658400000000004</c:v>
                </c:pt>
                <c:pt idx="961">
                  <c:v>28.658500000000004</c:v>
                </c:pt>
                <c:pt idx="962">
                  <c:v>28.658600000000003</c:v>
                </c:pt>
                <c:pt idx="963">
                  <c:v>28.658700000000003</c:v>
                </c:pt>
                <c:pt idx="964">
                  <c:v>28.658800000000003</c:v>
                </c:pt>
                <c:pt idx="965">
                  <c:v>28.658900000000003</c:v>
                </c:pt>
                <c:pt idx="966">
                  <c:v>28.659000000000002</c:v>
                </c:pt>
                <c:pt idx="967">
                  <c:v>28.659100000000002</c:v>
                </c:pt>
                <c:pt idx="968">
                  <c:v>28.659200000000002</c:v>
                </c:pt>
                <c:pt idx="969">
                  <c:v>28.659300000000002</c:v>
                </c:pt>
                <c:pt idx="970">
                  <c:v>28.659400000000002</c:v>
                </c:pt>
                <c:pt idx="971">
                  <c:v>28.659500000000001</c:v>
                </c:pt>
                <c:pt idx="972">
                  <c:v>28.659600000000001</c:v>
                </c:pt>
                <c:pt idx="973">
                  <c:v>28.659700000000001</c:v>
                </c:pt>
                <c:pt idx="974">
                  <c:v>28.659800000000001</c:v>
                </c:pt>
                <c:pt idx="975">
                  <c:v>28.6599</c:v>
                </c:pt>
                <c:pt idx="976">
                  <c:v>28.66</c:v>
                </c:pt>
                <c:pt idx="977">
                  <c:v>28.6601</c:v>
                </c:pt>
                <c:pt idx="978">
                  <c:v>28.6602</c:v>
                </c:pt>
                <c:pt idx="979">
                  <c:v>28.660299999999999</c:v>
                </c:pt>
                <c:pt idx="980">
                  <c:v>28.660399999999999</c:v>
                </c:pt>
                <c:pt idx="981">
                  <c:v>28.660499999999999</c:v>
                </c:pt>
                <c:pt idx="982">
                  <c:v>28.660599999999999</c:v>
                </c:pt>
                <c:pt idx="983">
                  <c:v>28.660699999999999</c:v>
                </c:pt>
                <c:pt idx="984">
                  <c:v>28.660799999999998</c:v>
                </c:pt>
                <c:pt idx="985">
                  <c:v>28.660899999999998</c:v>
                </c:pt>
                <c:pt idx="986">
                  <c:v>28.660999999999998</c:v>
                </c:pt>
                <c:pt idx="987">
                  <c:v>28.661099999999998</c:v>
                </c:pt>
                <c:pt idx="988">
                  <c:v>28.661199999999997</c:v>
                </c:pt>
                <c:pt idx="989">
                  <c:v>28.661299999999997</c:v>
                </c:pt>
                <c:pt idx="990">
                  <c:v>28.661399999999997</c:v>
                </c:pt>
                <c:pt idx="991">
                  <c:v>28.661499999999997</c:v>
                </c:pt>
                <c:pt idx="992">
                  <c:v>28.661599999999996</c:v>
                </c:pt>
                <c:pt idx="993">
                  <c:v>28.661699999999996</c:v>
                </c:pt>
                <c:pt idx="994">
                  <c:v>28.661799999999996</c:v>
                </c:pt>
                <c:pt idx="995">
                  <c:v>28.661899999999996</c:v>
                </c:pt>
                <c:pt idx="996">
                  <c:v>28.661999999999995</c:v>
                </c:pt>
                <c:pt idx="997">
                  <c:v>28.662099999999995</c:v>
                </c:pt>
                <c:pt idx="998">
                  <c:v>28.662199999999995</c:v>
                </c:pt>
                <c:pt idx="999">
                  <c:v>28.662299999999995</c:v>
                </c:pt>
                <c:pt idx="1000">
                  <c:v>28.662399999999995</c:v>
                </c:pt>
              </c:numCache>
            </c:numRef>
          </c:xVal>
          <c:yVal>
            <c:numRef>
              <c:f>Calculs!$Q$4:$Q$1004</c:f>
              <c:numCache>
                <c:formatCode>0.00</c:formatCode>
                <c:ptCount val="1001"/>
                <c:pt idx="0">
                  <c:v>0</c:v>
                </c:pt>
                <c:pt idx="1">
                  <c:v>5.0000000000000001E-4</c:v>
                </c:pt>
                <c:pt idx="2">
                  <c:v>1.4999999999999998E-3</c:v>
                </c:pt>
                <c:pt idx="3">
                  <c:v>2.4999999999999996E-3</c:v>
                </c:pt>
                <c:pt idx="4">
                  <c:v>3.5000000000000001E-3</c:v>
                </c:pt>
                <c:pt idx="5">
                  <c:v>4.5000000000000005E-3</c:v>
                </c:pt>
                <c:pt idx="6">
                  <c:v>5.5000000000000005E-3</c:v>
                </c:pt>
                <c:pt idx="7">
                  <c:v>6.4999999999999997E-3</c:v>
                </c:pt>
                <c:pt idx="8">
                  <c:v>7.4999999999999989E-3</c:v>
                </c:pt>
                <c:pt idx="9">
                  <c:v>8.4999999999999989E-3</c:v>
                </c:pt>
                <c:pt idx="10">
                  <c:v>9.499999999999998E-3</c:v>
                </c:pt>
                <c:pt idx="11">
                  <c:v>9.5000000000000032E-3</c:v>
                </c:pt>
                <c:pt idx="12">
                  <c:v>8.5000000000000041E-3</c:v>
                </c:pt>
                <c:pt idx="13">
                  <c:v>7.5000000000000032E-3</c:v>
                </c:pt>
                <c:pt idx="14">
                  <c:v>6.5000000000000023E-3</c:v>
                </c:pt>
                <c:pt idx="15">
                  <c:v>5.5000000000000023E-3</c:v>
                </c:pt>
                <c:pt idx="16">
                  <c:v>4.5000000000000014E-3</c:v>
                </c:pt>
                <c:pt idx="17">
                  <c:v>3.5000000000000005E-3</c:v>
                </c:pt>
                <c:pt idx="18">
                  <c:v>2.4999999999999996E-3</c:v>
                </c:pt>
                <c:pt idx="19">
                  <c:v>1.4999999999999996E-3</c:v>
                </c:pt>
                <c:pt idx="20">
                  <c:v>4.9999999999999871E-4</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pt idx="1000">
                  <c:v>0</c:v>
                </c:pt>
              </c:numCache>
            </c:numRef>
          </c:yVal>
          <c:smooth val="0"/>
          <c:extLst>
            <c:ext xmlns:c16="http://schemas.microsoft.com/office/drawing/2014/chart" uri="{C3380CC4-5D6E-409C-BE32-E72D297353CC}">
              <c16:uniqueId val="{00000000-B98B-46BB-BB51-DAAA2071230C}"/>
            </c:ext>
          </c:extLst>
        </c:ser>
        <c:ser>
          <c:idx val="2"/>
          <c:order val="1"/>
          <c:tx>
            <c:strRef>
              <c:f>Courbes!$B$135</c:f>
              <c:strCache>
                <c:ptCount val="1"/>
                <c:pt idx="0">
                  <c:v>Poids</c:v>
                </c:pt>
              </c:strCache>
            </c:strRef>
          </c:tx>
          <c:spPr>
            <a:ln w="25400">
              <a:solidFill>
                <a:srgbClr val="0000FF"/>
              </a:solidFill>
              <a:prstDash val="solid"/>
            </a:ln>
          </c:spPr>
          <c:marker>
            <c:symbol val="none"/>
          </c:marker>
          <c:xVal>
            <c:numRef>
              <c:f>Calculs!$B$4:$B$1004</c:f>
              <c:numCache>
                <c:formatCode>0.00</c:formatCode>
                <c:ptCount val="1001"/>
                <c:pt idx="0">
                  <c:v>0</c:v>
                </c:pt>
                <c:pt idx="1">
                  <c:v>0.01</c:v>
                </c:pt>
                <c:pt idx="2">
                  <c:v>0.02</c:v>
                </c:pt>
                <c:pt idx="3">
                  <c:v>0.03</c:v>
                </c:pt>
                <c:pt idx="4">
                  <c:v>0.04</c:v>
                </c:pt>
                <c:pt idx="5">
                  <c:v>0.05</c:v>
                </c:pt>
                <c:pt idx="6">
                  <c:v>6.0000000000000005E-2</c:v>
                </c:pt>
                <c:pt idx="7">
                  <c:v>7.0000000000000007E-2</c:v>
                </c:pt>
                <c:pt idx="8">
                  <c:v>0.08</c:v>
                </c:pt>
                <c:pt idx="9">
                  <c:v>0.09</c:v>
                </c:pt>
                <c:pt idx="10">
                  <c:v>9.9999999999999992E-2</c:v>
                </c:pt>
                <c:pt idx="11">
                  <c:v>0.10999999999999999</c:v>
                </c:pt>
                <c:pt idx="12">
                  <c:v>0.11999999999999998</c:v>
                </c:pt>
                <c:pt idx="13">
                  <c:v>0.12999999999999998</c:v>
                </c:pt>
                <c:pt idx="14">
                  <c:v>0.13999999999999999</c:v>
                </c:pt>
                <c:pt idx="15">
                  <c:v>0.15</c:v>
                </c:pt>
                <c:pt idx="16">
                  <c:v>0.16</c:v>
                </c:pt>
                <c:pt idx="17">
                  <c:v>0.17</c:v>
                </c:pt>
                <c:pt idx="18">
                  <c:v>0.18000000000000002</c:v>
                </c:pt>
                <c:pt idx="19">
                  <c:v>0.19000000000000003</c:v>
                </c:pt>
                <c:pt idx="20">
                  <c:v>0.20000000000000004</c:v>
                </c:pt>
                <c:pt idx="21">
                  <c:v>0.21000000000000005</c:v>
                </c:pt>
                <c:pt idx="22">
                  <c:v>0.22000000000000006</c:v>
                </c:pt>
                <c:pt idx="23">
                  <c:v>0.23000000000000007</c:v>
                </c:pt>
                <c:pt idx="24">
                  <c:v>0.24000000000000007</c:v>
                </c:pt>
                <c:pt idx="25">
                  <c:v>0.25000000000000006</c:v>
                </c:pt>
                <c:pt idx="26">
                  <c:v>0.26000000000000006</c:v>
                </c:pt>
                <c:pt idx="27">
                  <c:v>0.27000000000000007</c:v>
                </c:pt>
                <c:pt idx="28">
                  <c:v>0.28000000000000008</c:v>
                </c:pt>
                <c:pt idx="29">
                  <c:v>0.29000000000000009</c:v>
                </c:pt>
                <c:pt idx="30">
                  <c:v>0.3000000000000001</c:v>
                </c:pt>
                <c:pt idx="31">
                  <c:v>0.31000000000000011</c:v>
                </c:pt>
                <c:pt idx="32">
                  <c:v>0.32000000000000012</c:v>
                </c:pt>
                <c:pt idx="33">
                  <c:v>0.33000000000000013</c:v>
                </c:pt>
                <c:pt idx="34">
                  <c:v>0.34000000000000014</c:v>
                </c:pt>
                <c:pt idx="35">
                  <c:v>0.35000000000000014</c:v>
                </c:pt>
                <c:pt idx="36">
                  <c:v>0.36000000000000015</c:v>
                </c:pt>
                <c:pt idx="37">
                  <c:v>0.37000000000000016</c:v>
                </c:pt>
                <c:pt idx="38">
                  <c:v>0.38000000000000017</c:v>
                </c:pt>
                <c:pt idx="39">
                  <c:v>0.39000000000000018</c:v>
                </c:pt>
                <c:pt idx="40">
                  <c:v>0.40000000000000019</c:v>
                </c:pt>
                <c:pt idx="41">
                  <c:v>0.4100000000000002</c:v>
                </c:pt>
                <c:pt idx="42">
                  <c:v>0.42000000000000021</c:v>
                </c:pt>
                <c:pt idx="43">
                  <c:v>0.43000000000000022</c:v>
                </c:pt>
                <c:pt idx="44">
                  <c:v>0.44000000000000022</c:v>
                </c:pt>
                <c:pt idx="45">
                  <c:v>0.45000000000000023</c:v>
                </c:pt>
                <c:pt idx="46">
                  <c:v>0.46000000000000024</c:v>
                </c:pt>
                <c:pt idx="47">
                  <c:v>0.47000000000000025</c:v>
                </c:pt>
                <c:pt idx="48">
                  <c:v>0.48000000000000026</c:v>
                </c:pt>
                <c:pt idx="49">
                  <c:v>0.49000000000000027</c:v>
                </c:pt>
                <c:pt idx="50">
                  <c:v>0.50000000000000022</c:v>
                </c:pt>
                <c:pt idx="51">
                  <c:v>0.51000000000000023</c:v>
                </c:pt>
                <c:pt idx="52">
                  <c:v>0.52000000000000024</c:v>
                </c:pt>
                <c:pt idx="53">
                  <c:v>0.53000000000000025</c:v>
                </c:pt>
                <c:pt idx="54">
                  <c:v>0.54000000000000026</c:v>
                </c:pt>
                <c:pt idx="55">
                  <c:v>0.55000000000000027</c:v>
                </c:pt>
                <c:pt idx="56">
                  <c:v>0.56000000000000028</c:v>
                </c:pt>
                <c:pt idx="57">
                  <c:v>0.57000000000000028</c:v>
                </c:pt>
                <c:pt idx="58">
                  <c:v>0.58000000000000029</c:v>
                </c:pt>
                <c:pt idx="59">
                  <c:v>0.5900000000000003</c:v>
                </c:pt>
                <c:pt idx="60">
                  <c:v>0.60000000000000031</c:v>
                </c:pt>
                <c:pt idx="61">
                  <c:v>0.61000000000000032</c:v>
                </c:pt>
                <c:pt idx="62">
                  <c:v>0.62000000000000033</c:v>
                </c:pt>
                <c:pt idx="63">
                  <c:v>0.63000000000000034</c:v>
                </c:pt>
                <c:pt idx="64">
                  <c:v>0.64000000000000035</c:v>
                </c:pt>
                <c:pt idx="65">
                  <c:v>0.65000000000000036</c:v>
                </c:pt>
                <c:pt idx="66">
                  <c:v>0.66000000000000036</c:v>
                </c:pt>
                <c:pt idx="67">
                  <c:v>0.67000000000000037</c:v>
                </c:pt>
                <c:pt idx="68">
                  <c:v>0.68000000000000038</c:v>
                </c:pt>
                <c:pt idx="69">
                  <c:v>0.69000000000000039</c:v>
                </c:pt>
                <c:pt idx="70">
                  <c:v>0.7000000000000004</c:v>
                </c:pt>
                <c:pt idx="71">
                  <c:v>0.71000000000000041</c:v>
                </c:pt>
                <c:pt idx="72">
                  <c:v>0.72000000000000042</c:v>
                </c:pt>
                <c:pt idx="73">
                  <c:v>0.73000000000000043</c:v>
                </c:pt>
                <c:pt idx="74">
                  <c:v>0.74000000000000044</c:v>
                </c:pt>
                <c:pt idx="75">
                  <c:v>0.75000000000000044</c:v>
                </c:pt>
                <c:pt idx="76">
                  <c:v>0.76000000000000045</c:v>
                </c:pt>
                <c:pt idx="77">
                  <c:v>0.77000000000000046</c:v>
                </c:pt>
                <c:pt idx="78">
                  <c:v>0.78000000000000047</c:v>
                </c:pt>
                <c:pt idx="79">
                  <c:v>0.79000000000000048</c:v>
                </c:pt>
                <c:pt idx="80">
                  <c:v>0.80000000000000049</c:v>
                </c:pt>
                <c:pt idx="81">
                  <c:v>0.8100000000000005</c:v>
                </c:pt>
                <c:pt idx="82">
                  <c:v>0.82000000000000051</c:v>
                </c:pt>
                <c:pt idx="83">
                  <c:v>0.83000000000000052</c:v>
                </c:pt>
                <c:pt idx="84">
                  <c:v>0.84000000000000052</c:v>
                </c:pt>
                <c:pt idx="85">
                  <c:v>0.85000000000000053</c:v>
                </c:pt>
                <c:pt idx="86">
                  <c:v>0.86000000000000054</c:v>
                </c:pt>
                <c:pt idx="87">
                  <c:v>0.87000000000000055</c:v>
                </c:pt>
                <c:pt idx="88">
                  <c:v>0.88000000000000056</c:v>
                </c:pt>
                <c:pt idx="89">
                  <c:v>0.89000000000000057</c:v>
                </c:pt>
                <c:pt idx="90">
                  <c:v>0.90000000000000058</c:v>
                </c:pt>
                <c:pt idx="91">
                  <c:v>0.91000000000000059</c:v>
                </c:pt>
                <c:pt idx="92">
                  <c:v>0.9200000000000006</c:v>
                </c:pt>
                <c:pt idx="93">
                  <c:v>0.9300000000000006</c:v>
                </c:pt>
                <c:pt idx="94">
                  <c:v>0.94000000000000061</c:v>
                </c:pt>
                <c:pt idx="95">
                  <c:v>0.95000000000000062</c:v>
                </c:pt>
                <c:pt idx="96">
                  <c:v>0.96000000000000063</c:v>
                </c:pt>
                <c:pt idx="97">
                  <c:v>0.97000000000000064</c:v>
                </c:pt>
                <c:pt idx="98">
                  <c:v>0.98000000000000065</c:v>
                </c:pt>
                <c:pt idx="99">
                  <c:v>0.99000000000000066</c:v>
                </c:pt>
                <c:pt idx="100">
                  <c:v>1.0000000000000007</c:v>
                </c:pt>
                <c:pt idx="101">
                  <c:v>1.1000000000000008</c:v>
                </c:pt>
                <c:pt idx="102">
                  <c:v>1.2000000000000008</c:v>
                </c:pt>
                <c:pt idx="103">
                  <c:v>1.3000000000000009</c:v>
                </c:pt>
                <c:pt idx="104">
                  <c:v>1.400000000000001</c:v>
                </c:pt>
                <c:pt idx="105">
                  <c:v>1.5000000000000011</c:v>
                </c:pt>
                <c:pt idx="106">
                  <c:v>1.6000000000000012</c:v>
                </c:pt>
                <c:pt idx="107">
                  <c:v>1.7000000000000013</c:v>
                </c:pt>
                <c:pt idx="108">
                  <c:v>1.8000000000000014</c:v>
                </c:pt>
                <c:pt idx="109">
                  <c:v>1.9000000000000015</c:v>
                </c:pt>
                <c:pt idx="110">
                  <c:v>2.0000000000000013</c:v>
                </c:pt>
                <c:pt idx="111">
                  <c:v>2.1000000000000014</c:v>
                </c:pt>
                <c:pt idx="112">
                  <c:v>2.2000000000000015</c:v>
                </c:pt>
                <c:pt idx="113">
                  <c:v>2.3000000000000016</c:v>
                </c:pt>
                <c:pt idx="114">
                  <c:v>2.4000000000000017</c:v>
                </c:pt>
                <c:pt idx="115">
                  <c:v>2.5000000000000018</c:v>
                </c:pt>
                <c:pt idx="116">
                  <c:v>2.6000000000000019</c:v>
                </c:pt>
                <c:pt idx="117">
                  <c:v>2.700000000000002</c:v>
                </c:pt>
                <c:pt idx="118">
                  <c:v>2.800000000000002</c:v>
                </c:pt>
                <c:pt idx="119">
                  <c:v>2.9000000000000021</c:v>
                </c:pt>
                <c:pt idx="120">
                  <c:v>3.0000000000000022</c:v>
                </c:pt>
                <c:pt idx="121">
                  <c:v>3.1000000000000023</c:v>
                </c:pt>
                <c:pt idx="122">
                  <c:v>3.2000000000000024</c:v>
                </c:pt>
                <c:pt idx="123">
                  <c:v>3.3000000000000025</c:v>
                </c:pt>
                <c:pt idx="124">
                  <c:v>3.4000000000000026</c:v>
                </c:pt>
                <c:pt idx="125">
                  <c:v>3.5000000000000027</c:v>
                </c:pt>
                <c:pt idx="126">
                  <c:v>3.6000000000000028</c:v>
                </c:pt>
                <c:pt idx="127">
                  <c:v>3.7000000000000028</c:v>
                </c:pt>
                <c:pt idx="128">
                  <c:v>3.8000000000000029</c:v>
                </c:pt>
                <c:pt idx="129">
                  <c:v>3.900000000000003</c:v>
                </c:pt>
                <c:pt idx="130">
                  <c:v>4.0000000000000027</c:v>
                </c:pt>
                <c:pt idx="131">
                  <c:v>4.1000000000000023</c:v>
                </c:pt>
                <c:pt idx="132">
                  <c:v>4.200000000000002</c:v>
                </c:pt>
                <c:pt idx="133">
                  <c:v>4.3000000000000016</c:v>
                </c:pt>
                <c:pt idx="134">
                  <c:v>4.4000000000000012</c:v>
                </c:pt>
                <c:pt idx="135">
                  <c:v>4.5000000000000009</c:v>
                </c:pt>
                <c:pt idx="136">
                  <c:v>4.6000000000000005</c:v>
                </c:pt>
                <c:pt idx="137">
                  <c:v>4.7</c:v>
                </c:pt>
                <c:pt idx="138">
                  <c:v>4.8</c:v>
                </c:pt>
                <c:pt idx="139">
                  <c:v>4.8999999999999995</c:v>
                </c:pt>
                <c:pt idx="140">
                  <c:v>4.9999999999999991</c:v>
                </c:pt>
                <c:pt idx="141">
                  <c:v>5.0999999999999988</c:v>
                </c:pt>
                <c:pt idx="142">
                  <c:v>5.1999999999999984</c:v>
                </c:pt>
                <c:pt idx="143">
                  <c:v>5.299999999999998</c:v>
                </c:pt>
                <c:pt idx="144">
                  <c:v>5.3999999999999977</c:v>
                </c:pt>
                <c:pt idx="145">
                  <c:v>5.4999999999999973</c:v>
                </c:pt>
                <c:pt idx="146">
                  <c:v>5.599999999999997</c:v>
                </c:pt>
                <c:pt idx="147">
                  <c:v>5.6999999999999966</c:v>
                </c:pt>
                <c:pt idx="148">
                  <c:v>5.7999999999999963</c:v>
                </c:pt>
                <c:pt idx="149">
                  <c:v>5.8999999999999959</c:v>
                </c:pt>
                <c:pt idx="150">
                  <c:v>5.9999999999999956</c:v>
                </c:pt>
                <c:pt idx="151">
                  <c:v>6.0999999999999952</c:v>
                </c:pt>
                <c:pt idx="152">
                  <c:v>6.1999999999999948</c:v>
                </c:pt>
                <c:pt idx="153">
                  <c:v>6.2999999999999945</c:v>
                </c:pt>
                <c:pt idx="154">
                  <c:v>6.3999999999999941</c:v>
                </c:pt>
                <c:pt idx="155">
                  <c:v>6.4999999999999938</c:v>
                </c:pt>
                <c:pt idx="156">
                  <c:v>6.5999999999999934</c:v>
                </c:pt>
                <c:pt idx="157">
                  <c:v>6.6999999999999931</c:v>
                </c:pt>
                <c:pt idx="158">
                  <c:v>6.7999999999999927</c:v>
                </c:pt>
                <c:pt idx="159">
                  <c:v>6.8999999999999924</c:v>
                </c:pt>
                <c:pt idx="160">
                  <c:v>6.999999999999992</c:v>
                </c:pt>
                <c:pt idx="161">
                  <c:v>7.0999999999999917</c:v>
                </c:pt>
                <c:pt idx="162">
                  <c:v>7.1999999999999913</c:v>
                </c:pt>
                <c:pt idx="163">
                  <c:v>7.2999999999999909</c:v>
                </c:pt>
                <c:pt idx="164">
                  <c:v>7.3999999999999906</c:v>
                </c:pt>
                <c:pt idx="165">
                  <c:v>7.4999999999999902</c:v>
                </c:pt>
                <c:pt idx="166">
                  <c:v>7.5999999999999899</c:v>
                </c:pt>
                <c:pt idx="167">
                  <c:v>7.6999999999999895</c:v>
                </c:pt>
                <c:pt idx="168">
                  <c:v>7.7999999999999892</c:v>
                </c:pt>
                <c:pt idx="169">
                  <c:v>7.8999999999999888</c:v>
                </c:pt>
                <c:pt idx="170">
                  <c:v>7.9999999999999885</c:v>
                </c:pt>
                <c:pt idx="171">
                  <c:v>8.099999999999989</c:v>
                </c:pt>
                <c:pt idx="172">
                  <c:v>8.1999999999999886</c:v>
                </c:pt>
                <c:pt idx="173">
                  <c:v>8.2999999999999883</c:v>
                </c:pt>
                <c:pt idx="174">
                  <c:v>8.3999999999999879</c:v>
                </c:pt>
                <c:pt idx="175">
                  <c:v>8.4999999999999876</c:v>
                </c:pt>
                <c:pt idx="176">
                  <c:v>8.5999999999999872</c:v>
                </c:pt>
                <c:pt idx="177">
                  <c:v>8.6999999999999869</c:v>
                </c:pt>
                <c:pt idx="178">
                  <c:v>8.7999999999999865</c:v>
                </c:pt>
                <c:pt idx="179">
                  <c:v>8.8999999999999861</c:v>
                </c:pt>
                <c:pt idx="180">
                  <c:v>8.9999999999999858</c:v>
                </c:pt>
                <c:pt idx="181">
                  <c:v>9.0999999999999854</c:v>
                </c:pt>
                <c:pt idx="182">
                  <c:v>9.1999999999999851</c:v>
                </c:pt>
                <c:pt idx="183">
                  <c:v>9.2999999999999847</c:v>
                </c:pt>
                <c:pt idx="184">
                  <c:v>9.3999999999999844</c:v>
                </c:pt>
                <c:pt idx="185">
                  <c:v>9.499999999999984</c:v>
                </c:pt>
                <c:pt idx="186">
                  <c:v>9.5999999999999837</c:v>
                </c:pt>
                <c:pt idx="187">
                  <c:v>9.6999999999999833</c:v>
                </c:pt>
                <c:pt idx="188">
                  <c:v>9.7999999999999829</c:v>
                </c:pt>
                <c:pt idx="189">
                  <c:v>9.8999999999999826</c:v>
                </c:pt>
                <c:pt idx="190">
                  <c:v>9.9999999999999822</c:v>
                </c:pt>
                <c:pt idx="191">
                  <c:v>10.099999999999982</c:v>
                </c:pt>
                <c:pt idx="192">
                  <c:v>10.199999999999982</c:v>
                </c:pt>
                <c:pt idx="193">
                  <c:v>10.299999999999981</c:v>
                </c:pt>
                <c:pt idx="194">
                  <c:v>10.399999999999981</c:v>
                </c:pt>
                <c:pt idx="195">
                  <c:v>10.49999999999998</c:v>
                </c:pt>
                <c:pt idx="196">
                  <c:v>10.59999999999998</c:v>
                </c:pt>
                <c:pt idx="197">
                  <c:v>10.69999999999998</c:v>
                </c:pt>
                <c:pt idx="198">
                  <c:v>10.799999999999979</c:v>
                </c:pt>
                <c:pt idx="199">
                  <c:v>10.899999999999979</c:v>
                </c:pt>
                <c:pt idx="200">
                  <c:v>10.999999999999979</c:v>
                </c:pt>
                <c:pt idx="201">
                  <c:v>11.099999999999978</c:v>
                </c:pt>
                <c:pt idx="202">
                  <c:v>11.199999999999978</c:v>
                </c:pt>
                <c:pt idx="203">
                  <c:v>11.299999999999978</c:v>
                </c:pt>
                <c:pt idx="204">
                  <c:v>11.399999999999977</c:v>
                </c:pt>
                <c:pt idx="205">
                  <c:v>11.499999999999977</c:v>
                </c:pt>
                <c:pt idx="206">
                  <c:v>11.599999999999977</c:v>
                </c:pt>
                <c:pt idx="207">
                  <c:v>11.699999999999976</c:v>
                </c:pt>
                <c:pt idx="208">
                  <c:v>11.799999999999976</c:v>
                </c:pt>
                <c:pt idx="209">
                  <c:v>11.899999999999975</c:v>
                </c:pt>
                <c:pt idx="210">
                  <c:v>11.999999999999975</c:v>
                </c:pt>
                <c:pt idx="211">
                  <c:v>12.099999999999975</c:v>
                </c:pt>
                <c:pt idx="212">
                  <c:v>12.199999999999974</c:v>
                </c:pt>
                <c:pt idx="213">
                  <c:v>12.299999999999974</c:v>
                </c:pt>
                <c:pt idx="214">
                  <c:v>12.399999999999974</c:v>
                </c:pt>
                <c:pt idx="215">
                  <c:v>12.499999999999973</c:v>
                </c:pt>
                <c:pt idx="216">
                  <c:v>12.599999999999973</c:v>
                </c:pt>
                <c:pt idx="217">
                  <c:v>12.699999999999973</c:v>
                </c:pt>
                <c:pt idx="218">
                  <c:v>12.799999999999972</c:v>
                </c:pt>
                <c:pt idx="219">
                  <c:v>12.899999999999972</c:v>
                </c:pt>
                <c:pt idx="220">
                  <c:v>12.999999999999972</c:v>
                </c:pt>
                <c:pt idx="221">
                  <c:v>13.099999999999971</c:v>
                </c:pt>
                <c:pt idx="222">
                  <c:v>13.199999999999971</c:v>
                </c:pt>
                <c:pt idx="223">
                  <c:v>13.299999999999971</c:v>
                </c:pt>
                <c:pt idx="224">
                  <c:v>13.39999999999997</c:v>
                </c:pt>
                <c:pt idx="225">
                  <c:v>13.49999999999997</c:v>
                </c:pt>
                <c:pt idx="226">
                  <c:v>13.599999999999969</c:v>
                </c:pt>
                <c:pt idx="227">
                  <c:v>13.699999999999969</c:v>
                </c:pt>
                <c:pt idx="228">
                  <c:v>13.799999999999969</c:v>
                </c:pt>
                <c:pt idx="229">
                  <c:v>13.899999999999968</c:v>
                </c:pt>
                <c:pt idx="230">
                  <c:v>13.999999999999968</c:v>
                </c:pt>
                <c:pt idx="231">
                  <c:v>14.099999999999968</c:v>
                </c:pt>
                <c:pt idx="232">
                  <c:v>14.199999999999967</c:v>
                </c:pt>
                <c:pt idx="233">
                  <c:v>14.299999999999967</c:v>
                </c:pt>
                <c:pt idx="234">
                  <c:v>14.399999999999967</c:v>
                </c:pt>
                <c:pt idx="235">
                  <c:v>14.499999999999966</c:v>
                </c:pt>
                <c:pt idx="236">
                  <c:v>14.599999999999966</c:v>
                </c:pt>
                <c:pt idx="237">
                  <c:v>14.699999999999966</c:v>
                </c:pt>
                <c:pt idx="238">
                  <c:v>14.799999999999965</c:v>
                </c:pt>
                <c:pt idx="239">
                  <c:v>14.899999999999965</c:v>
                </c:pt>
                <c:pt idx="240">
                  <c:v>14.999999999999964</c:v>
                </c:pt>
                <c:pt idx="241">
                  <c:v>15.099999999999964</c:v>
                </c:pt>
                <c:pt idx="242">
                  <c:v>15.199999999999964</c:v>
                </c:pt>
                <c:pt idx="243">
                  <c:v>15.299999999999963</c:v>
                </c:pt>
                <c:pt idx="244">
                  <c:v>15.399999999999963</c:v>
                </c:pt>
                <c:pt idx="245">
                  <c:v>15.499999999999963</c:v>
                </c:pt>
                <c:pt idx="246">
                  <c:v>15.599999999999962</c:v>
                </c:pt>
                <c:pt idx="247">
                  <c:v>15.699999999999962</c:v>
                </c:pt>
                <c:pt idx="248">
                  <c:v>15.799999999999962</c:v>
                </c:pt>
                <c:pt idx="249">
                  <c:v>15.899999999999961</c:v>
                </c:pt>
                <c:pt idx="250">
                  <c:v>15.999999999999961</c:v>
                </c:pt>
                <c:pt idx="251">
                  <c:v>16.099999999999962</c:v>
                </c:pt>
                <c:pt idx="252">
                  <c:v>16.199999999999964</c:v>
                </c:pt>
                <c:pt idx="253">
                  <c:v>16.299999999999965</c:v>
                </c:pt>
                <c:pt idx="254">
                  <c:v>16.399999999999967</c:v>
                </c:pt>
                <c:pt idx="255">
                  <c:v>16.499999999999968</c:v>
                </c:pt>
                <c:pt idx="256">
                  <c:v>16.599999999999969</c:v>
                </c:pt>
                <c:pt idx="257">
                  <c:v>16.699999999999971</c:v>
                </c:pt>
                <c:pt idx="258">
                  <c:v>16.799999999999972</c:v>
                </c:pt>
                <c:pt idx="259">
                  <c:v>16.899999999999974</c:v>
                </c:pt>
                <c:pt idx="260">
                  <c:v>16.999999999999975</c:v>
                </c:pt>
                <c:pt idx="261">
                  <c:v>17.099999999999977</c:v>
                </c:pt>
                <c:pt idx="262">
                  <c:v>17.199999999999978</c:v>
                </c:pt>
                <c:pt idx="263">
                  <c:v>17.299999999999979</c:v>
                </c:pt>
                <c:pt idx="264">
                  <c:v>17.399999999999981</c:v>
                </c:pt>
                <c:pt idx="265">
                  <c:v>17.499999999999982</c:v>
                </c:pt>
                <c:pt idx="266">
                  <c:v>17.599999999999984</c:v>
                </c:pt>
                <c:pt idx="267">
                  <c:v>17.699999999999985</c:v>
                </c:pt>
                <c:pt idx="268">
                  <c:v>17.799999999999986</c:v>
                </c:pt>
                <c:pt idx="269">
                  <c:v>17.899999999999988</c:v>
                </c:pt>
                <c:pt idx="270">
                  <c:v>17.999999999999989</c:v>
                </c:pt>
                <c:pt idx="271">
                  <c:v>18.099999999999991</c:v>
                </c:pt>
                <c:pt idx="272">
                  <c:v>18.199999999999992</c:v>
                </c:pt>
                <c:pt idx="273">
                  <c:v>18.299999999999994</c:v>
                </c:pt>
                <c:pt idx="274">
                  <c:v>18.399999999999995</c:v>
                </c:pt>
                <c:pt idx="275">
                  <c:v>18.499999999999996</c:v>
                </c:pt>
                <c:pt idx="276">
                  <c:v>18.599999999999998</c:v>
                </c:pt>
                <c:pt idx="277">
                  <c:v>18.7</c:v>
                </c:pt>
                <c:pt idx="278">
                  <c:v>18.8</c:v>
                </c:pt>
                <c:pt idx="279">
                  <c:v>18.900000000000002</c:v>
                </c:pt>
                <c:pt idx="280">
                  <c:v>19.000000000000004</c:v>
                </c:pt>
                <c:pt idx="281">
                  <c:v>19.100000000000005</c:v>
                </c:pt>
                <c:pt idx="282">
                  <c:v>19.200000000000006</c:v>
                </c:pt>
                <c:pt idx="283">
                  <c:v>19.300000000000008</c:v>
                </c:pt>
                <c:pt idx="284">
                  <c:v>19.400000000000009</c:v>
                </c:pt>
                <c:pt idx="285">
                  <c:v>19.500000000000011</c:v>
                </c:pt>
                <c:pt idx="286">
                  <c:v>19.600000000000012</c:v>
                </c:pt>
                <c:pt idx="287">
                  <c:v>19.700000000000014</c:v>
                </c:pt>
                <c:pt idx="288">
                  <c:v>19.800000000000015</c:v>
                </c:pt>
                <c:pt idx="289">
                  <c:v>19.900000000000016</c:v>
                </c:pt>
                <c:pt idx="290">
                  <c:v>20.000000000000018</c:v>
                </c:pt>
                <c:pt idx="291">
                  <c:v>20.100000000000019</c:v>
                </c:pt>
                <c:pt idx="292">
                  <c:v>20.200000000000021</c:v>
                </c:pt>
                <c:pt idx="293">
                  <c:v>20.300000000000022</c:v>
                </c:pt>
                <c:pt idx="294">
                  <c:v>20.400000000000023</c:v>
                </c:pt>
                <c:pt idx="295">
                  <c:v>20.500000000000025</c:v>
                </c:pt>
                <c:pt idx="296">
                  <c:v>20.600000000000026</c:v>
                </c:pt>
                <c:pt idx="297">
                  <c:v>20.700000000000028</c:v>
                </c:pt>
                <c:pt idx="298">
                  <c:v>20.800000000000029</c:v>
                </c:pt>
                <c:pt idx="299">
                  <c:v>20.900000000000031</c:v>
                </c:pt>
                <c:pt idx="300">
                  <c:v>21.000000000000032</c:v>
                </c:pt>
                <c:pt idx="301">
                  <c:v>21.100000000000033</c:v>
                </c:pt>
                <c:pt idx="302">
                  <c:v>21.200000000000035</c:v>
                </c:pt>
                <c:pt idx="303">
                  <c:v>21.300000000000036</c:v>
                </c:pt>
                <c:pt idx="304">
                  <c:v>21.400000000000038</c:v>
                </c:pt>
                <c:pt idx="305">
                  <c:v>21.500000000000039</c:v>
                </c:pt>
                <c:pt idx="306">
                  <c:v>21.600000000000041</c:v>
                </c:pt>
                <c:pt idx="307">
                  <c:v>21.700000000000042</c:v>
                </c:pt>
                <c:pt idx="308">
                  <c:v>21.800000000000043</c:v>
                </c:pt>
                <c:pt idx="309">
                  <c:v>21.900000000000045</c:v>
                </c:pt>
                <c:pt idx="310">
                  <c:v>22.000000000000046</c:v>
                </c:pt>
                <c:pt idx="311">
                  <c:v>22.100000000000048</c:v>
                </c:pt>
                <c:pt idx="312">
                  <c:v>22.200000000000049</c:v>
                </c:pt>
                <c:pt idx="313">
                  <c:v>22.30000000000005</c:v>
                </c:pt>
                <c:pt idx="314">
                  <c:v>22.400000000000052</c:v>
                </c:pt>
                <c:pt idx="315">
                  <c:v>22.500000000000053</c:v>
                </c:pt>
                <c:pt idx="316">
                  <c:v>22.600000000000055</c:v>
                </c:pt>
                <c:pt idx="317">
                  <c:v>22.700000000000056</c:v>
                </c:pt>
                <c:pt idx="318">
                  <c:v>22.800000000000058</c:v>
                </c:pt>
                <c:pt idx="319">
                  <c:v>22.900000000000059</c:v>
                </c:pt>
                <c:pt idx="320">
                  <c:v>23.00000000000006</c:v>
                </c:pt>
                <c:pt idx="321">
                  <c:v>23.100000000000062</c:v>
                </c:pt>
                <c:pt idx="322">
                  <c:v>23.200000000000063</c:v>
                </c:pt>
                <c:pt idx="323">
                  <c:v>23.300000000000065</c:v>
                </c:pt>
                <c:pt idx="324">
                  <c:v>23.400000000000066</c:v>
                </c:pt>
                <c:pt idx="325">
                  <c:v>23.500000000000068</c:v>
                </c:pt>
                <c:pt idx="326">
                  <c:v>23.600000000000069</c:v>
                </c:pt>
                <c:pt idx="327">
                  <c:v>23.70000000000007</c:v>
                </c:pt>
                <c:pt idx="328">
                  <c:v>23.800000000000072</c:v>
                </c:pt>
                <c:pt idx="329">
                  <c:v>23.900000000000073</c:v>
                </c:pt>
                <c:pt idx="330">
                  <c:v>24.000000000000075</c:v>
                </c:pt>
                <c:pt idx="331">
                  <c:v>24.100000000000076</c:v>
                </c:pt>
                <c:pt idx="332">
                  <c:v>24.200000000000077</c:v>
                </c:pt>
                <c:pt idx="333">
                  <c:v>24.300000000000079</c:v>
                </c:pt>
                <c:pt idx="334">
                  <c:v>24.40000000000008</c:v>
                </c:pt>
                <c:pt idx="335">
                  <c:v>24.500000000000082</c:v>
                </c:pt>
                <c:pt idx="336">
                  <c:v>24.600000000000083</c:v>
                </c:pt>
                <c:pt idx="337">
                  <c:v>24.700000000000085</c:v>
                </c:pt>
                <c:pt idx="338">
                  <c:v>24.800000000000086</c:v>
                </c:pt>
                <c:pt idx="339">
                  <c:v>24.900000000000087</c:v>
                </c:pt>
                <c:pt idx="340">
                  <c:v>25.000000000000089</c:v>
                </c:pt>
                <c:pt idx="341">
                  <c:v>25.10000000000009</c:v>
                </c:pt>
                <c:pt idx="342">
                  <c:v>25.200000000000092</c:v>
                </c:pt>
                <c:pt idx="343">
                  <c:v>25.300000000000093</c:v>
                </c:pt>
                <c:pt idx="344">
                  <c:v>25.400000000000095</c:v>
                </c:pt>
                <c:pt idx="345">
                  <c:v>25.500000000000096</c:v>
                </c:pt>
                <c:pt idx="346">
                  <c:v>25.600000000000097</c:v>
                </c:pt>
                <c:pt idx="347">
                  <c:v>25.700000000000099</c:v>
                </c:pt>
                <c:pt idx="348">
                  <c:v>25.8000000000001</c:v>
                </c:pt>
                <c:pt idx="349">
                  <c:v>25.900000000000102</c:v>
                </c:pt>
                <c:pt idx="350">
                  <c:v>26.000000000000103</c:v>
                </c:pt>
                <c:pt idx="351">
                  <c:v>26.100000000000104</c:v>
                </c:pt>
                <c:pt idx="352">
                  <c:v>26.200000000000106</c:v>
                </c:pt>
                <c:pt idx="353">
                  <c:v>26.300000000000107</c:v>
                </c:pt>
                <c:pt idx="354">
                  <c:v>26.400000000000109</c:v>
                </c:pt>
                <c:pt idx="355">
                  <c:v>26.50000000000011</c:v>
                </c:pt>
                <c:pt idx="356">
                  <c:v>26.600000000000112</c:v>
                </c:pt>
                <c:pt idx="357">
                  <c:v>26.700000000000113</c:v>
                </c:pt>
                <c:pt idx="358">
                  <c:v>26.800000000000114</c:v>
                </c:pt>
                <c:pt idx="359">
                  <c:v>26.900000000000116</c:v>
                </c:pt>
                <c:pt idx="360">
                  <c:v>27.000000000000117</c:v>
                </c:pt>
                <c:pt idx="361">
                  <c:v>27.100000000000119</c:v>
                </c:pt>
                <c:pt idx="362">
                  <c:v>27.20000000000012</c:v>
                </c:pt>
                <c:pt idx="363">
                  <c:v>27.300000000000122</c:v>
                </c:pt>
                <c:pt idx="364">
                  <c:v>27.400000000000123</c:v>
                </c:pt>
                <c:pt idx="365">
                  <c:v>27.500000000000124</c:v>
                </c:pt>
                <c:pt idx="366">
                  <c:v>27.600000000000126</c:v>
                </c:pt>
                <c:pt idx="367">
                  <c:v>27.700000000000127</c:v>
                </c:pt>
                <c:pt idx="368">
                  <c:v>27.800000000000129</c:v>
                </c:pt>
                <c:pt idx="369">
                  <c:v>27.90000000000013</c:v>
                </c:pt>
                <c:pt idx="370">
                  <c:v>28.000000000000131</c:v>
                </c:pt>
                <c:pt idx="371">
                  <c:v>28.100000000000133</c:v>
                </c:pt>
                <c:pt idx="372">
                  <c:v>28.200000000000134</c:v>
                </c:pt>
                <c:pt idx="373">
                  <c:v>28.300000000000136</c:v>
                </c:pt>
                <c:pt idx="374">
                  <c:v>28.400000000000137</c:v>
                </c:pt>
                <c:pt idx="375">
                  <c:v>28.500000000000139</c:v>
                </c:pt>
                <c:pt idx="376">
                  <c:v>28.60000000000014</c:v>
                </c:pt>
                <c:pt idx="377">
                  <c:v>28.60010000000014</c:v>
                </c:pt>
                <c:pt idx="378">
                  <c:v>28.60020000000014</c:v>
                </c:pt>
                <c:pt idx="379">
                  <c:v>28.600300000000139</c:v>
                </c:pt>
                <c:pt idx="380">
                  <c:v>28.600400000000139</c:v>
                </c:pt>
                <c:pt idx="381">
                  <c:v>28.600500000000139</c:v>
                </c:pt>
                <c:pt idx="382">
                  <c:v>28.600600000000139</c:v>
                </c:pt>
                <c:pt idx="383">
                  <c:v>28.600700000000138</c:v>
                </c:pt>
                <c:pt idx="384">
                  <c:v>28.600800000000138</c:v>
                </c:pt>
                <c:pt idx="385">
                  <c:v>28.600900000000138</c:v>
                </c:pt>
                <c:pt idx="386">
                  <c:v>28.601000000000138</c:v>
                </c:pt>
                <c:pt idx="387">
                  <c:v>28.601100000000137</c:v>
                </c:pt>
                <c:pt idx="388">
                  <c:v>28.601200000000137</c:v>
                </c:pt>
                <c:pt idx="389">
                  <c:v>28.601300000000137</c:v>
                </c:pt>
                <c:pt idx="390">
                  <c:v>28.601400000000137</c:v>
                </c:pt>
                <c:pt idx="391">
                  <c:v>28.601500000000136</c:v>
                </c:pt>
                <c:pt idx="392">
                  <c:v>28.601600000000136</c:v>
                </c:pt>
                <c:pt idx="393">
                  <c:v>28.601700000000136</c:v>
                </c:pt>
                <c:pt idx="394">
                  <c:v>28.601800000000136</c:v>
                </c:pt>
                <c:pt idx="395">
                  <c:v>28.601900000000136</c:v>
                </c:pt>
                <c:pt idx="396">
                  <c:v>28.602000000000135</c:v>
                </c:pt>
                <c:pt idx="397">
                  <c:v>28.602100000000135</c:v>
                </c:pt>
                <c:pt idx="398">
                  <c:v>28.602200000000135</c:v>
                </c:pt>
                <c:pt idx="399">
                  <c:v>28.602300000000135</c:v>
                </c:pt>
                <c:pt idx="400">
                  <c:v>28.602400000000134</c:v>
                </c:pt>
                <c:pt idx="401">
                  <c:v>28.602500000000134</c:v>
                </c:pt>
                <c:pt idx="402">
                  <c:v>28.602600000000134</c:v>
                </c:pt>
                <c:pt idx="403">
                  <c:v>28.602700000000134</c:v>
                </c:pt>
                <c:pt idx="404">
                  <c:v>28.602800000000133</c:v>
                </c:pt>
                <c:pt idx="405">
                  <c:v>28.602900000000133</c:v>
                </c:pt>
                <c:pt idx="406">
                  <c:v>28.603000000000133</c:v>
                </c:pt>
                <c:pt idx="407">
                  <c:v>28.603100000000133</c:v>
                </c:pt>
                <c:pt idx="408">
                  <c:v>28.603200000000133</c:v>
                </c:pt>
                <c:pt idx="409">
                  <c:v>28.603300000000132</c:v>
                </c:pt>
                <c:pt idx="410">
                  <c:v>28.603400000000132</c:v>
                </c:pt>
                <c:pt idx="411">
                  <c:v>28.603500000000132</c:v>
                </c:pt>
                <c:pt idx="412">
                  <c:v>28.603600000000132</c:v>
                </c:pt>
                <c:pt idx="413">
                  <c:v>28.603700000000131</c:v>
                </c:pt>
                <c:pt idx="414">
                  <c:v>28.603800000000131</c:v>
                </c:pt>
                <c:pt idx="415">
                  <c:v>28.603900000000131</c:v>
                </c:pt>
                <c:pt idx="416">
                  <c:v>28.604000000000131</c:v>
                </c:pt>
                <c:pt idx="417">
                  <c:v>28.60410000000013</c:v>
                </c:pt>
                <c:pt idx="418">
                  <c:v>28.60420000000013</c:v>
                </c:pt>
                <c:pt idx="419">
                  <c:v>28.60430000000013</c:v>
                </c:pt>
                <c:pt idx="420">
                  <c:v>28.60440000000013</c:v>
                </c:pt>
                <c:pt idx="421">
                  <c:v>28.604500000000129</c:v>
                </c:pt>
                <c:pt idx="422">
                  <c:v>28.604600000000129</c:v>
                </c:pt>
                <c:pt idx="423">
                  <c:v>28.604700000000129</c:v>
                </c:pt>
                <c:pt idx="424">
                  <c:v>28.604800000000129</c:v>
                </c:pt>
                <c:pt idx="425">
                  <c:v>28.604900000000129</c:v>
                </c:pt>
                <c:pt idx="426">
                  <c:v>28.605000000000128</c:v>
                </c:pt>
                <c:pt idx="427">
                  <c:v>28.605100000000128</c:v>
                </c:pt>
                <c:pt idx="428">
                  <c:v>28.605200000000128</c:v>
                </c:pt>
                <c:pt idx="429">
                  <c:v>28.605300000000128</c:v>
                </c:pt>
                <c:pt idx="430">
                  <c:v>28.605400000000127</c:v>
                </c:pt>
                <c:pt idx="431">
                  <c:v>28.605500000000127</c:v>
                </c:pt>
                <c:pt idx="432">
                  <c:v>28.605600000000127</c:v>
                </c:pt>
                <c:pt idx="433">
                  <c:v>28.605700000000127</c:v>
                </c:pt>
                <c:pt idx="434">
                  <c:v>28.605800000000126</c:v>
                </c:pt>
                <c:pt idx="435">
                  <c:v>28.605900000000126</c:v>
                </c:pt>
                <c:pt idx="436">
                  <c:v>28.606000000000126</c:v>
                </c:pt>
                <c:pt idx="437">
                  <c:v>28.606100000000126</c:v>
                </c:pt>
                <c:pt idx="438">
                  <c:v>28.606200000000126</c:v>
                </c:pt>
                <c:pt idx="439">
                  <c:v>28.606300000000125</c:v>
                </c:pt>
                <c:pt idx="440">
                  <c:v>28.606400000000125</c:v>
                </c:pt>
                <c:pt idx="441">
                  <c:v>28.606500000000125</c:v>
                </c:pt>
                <c:pt idx="442">
                  <c:v>28.606600000000125</c:v>
                </c:pt>
                <c:pt idx="443">
                  <c:v>28.606700000000124</c:v>
                </c:pt>
                <c:pt idx="444">
                  <c:v>28.606800000000124</c:v>
                </c:pt>
                <c:pt idx="445">
                  <c:v>28.606900000000124</c:v>
                </c:pt>
                <c:pt idx="446">
                  <c:v>28.607000000000124</c:v>
                </c:pt>
                <c:pt idx="447">
                  <c:v>28.607100000000123</c:v>
                </c:pt>
                <c:pt idx="448">
                  <c:v>28.607200000000123</c:v>
                </c:pt>
                <c:pt idx="449">
                  <c:v>28.607300000000123</c:v>
                </c:pt>
                <c:pt idx="450">
                  <c:v>28.607400000000123</c:v>
                </c:pt>
                <c:pt idx="451">
                  <c:v>28.607500000000122</c:v>
                </c:pt>
                <c:pt idx="452">
                  <c:v>28.607600000000122</c:v>
                </c:pt>
                <c:pt idx="453">
                  <c:v>28.607700000000122</c:v>
                </c:pt>
                <c:pt idx="454">
                  <c:v>28.607800000000122</c:v>
                </c:pt>
                <c:pt idx="455">
                  <c:v>28.607900000000122</c:v>
                </c:pt>
                <c:pt idx="456">
                  <c:v>28.608000000000121</c:v>
                </c:pt>
                <c:pt idx="457">
                  <c:v>28.608100000000121</c:v>
                </c:pt>
                <c:pt idx="458">
                  <c:v>28.608200000000121</c:v>
                </c:pt>
                <c:pt idx="459">
                  <c:v>28.608300000000121</c:v>
                </c:pt>
                <c:pt idx="460">
                  <c:v>28.60840000000012</c:v>
                </c:pt>
                <c:pt idx="461">
                  <c:v>28.60850000000012</c:v>
                </c:pt>
                <c:pt idx="462">
                  <c:v>28.60860000000012</c:v>
                </c:pt>
                <c:pt idx="463">
                  <c:v>28.60870000000012</c:v>
                </c:pt>
                <c:pt idx="464">
                  <c:v>28.608800000000119</c:v>
                </c:pt>
                <c:pt idx="465">
                  <c:v>28.608900000000119</c:v>
                </c:pt>
                <c:pt idx="466">
                  <c:v>28.609000000000119</c:v>
                </c:pt>
                <c:pt idx="467">
                  <c:v>28.609100000000119</c:v>
                </c:pt>
                <c:pt idx="468">
                  <c:v>28.609200000000119</c:v>
                </c:pt>
                <c:pt idx="469">
                  <c:v>28.609300000000118</c:v>
                </c:pt>
                <c:pt idx="470">
                  <c:v>28.609400000000118</c:v>
                </c:pt>
                <c:pt idx="471">
                  <c:v>28.609500000000118</c:v>
                </c:pt>
                <c:pt idx="472">
                  <c:v>28.609600000000118</c:v>
                </c:pt>
                <c:pt idx="473">
                  <c:v>28.609700000000117</c:v>
                </c:pt>
                <c:pt idx="474">
                  <c:v>28.609800000000117</c:v>
                </c:pt>
                <c:pt idx="475">
                  <c:v>28.609900000000117</c:v>
                </c:pt>
                <c:pt idx="476">
                  <c:v>28.610000000000117</c:v>
                </c:pt>
                <c:pt idx="477">
                  <c:v>28.610100000000116</c:v>
                </c:pt>
                <c:pt idx="478">
                  <c:v>28.610200000000116</c:v>
                </c:pt>
                <c:pt idx="479">
                  <c:v>28.610300000000116</c:v>
                </c:pt>
                <c:pt idx="480">
                  <c:v>28.610400000000116</c:v>
                </c:pt>
                <c:pt idx="481">
                  <c:v>28.610500000000116</c:v>
                </c:pt>
                <c:pt idx="482">
                  <c:v>28.610600000000115</c:v>
                </c:pt>
                <c:pt idx="483">
                  <c:v>28.610700000000115</c:v>
                </c:pt>
                <c:pt idx="484">
                  <c:v>28.610800000000115</c:v>
                </c:pt>
                <c:pt idx="485">
                  <c:v>28.610900000000115</c:v>
                </c:pt>
                <c:pt idx="486">
                  <c:v>28.611000000000114</c:v>
                </c:pt>
                <c:pt idx="487">
                  <c:v>28.611100000000114</c:v>
                </c:pt>
                <c:pt idx="488">
                  <c:v>28.611200000000114</c:v>
                </c:pt>
                <c:pt idx="489">
                  <c:v>28.611300000000114</c:v>
                </c:pt>
                <c:pt idx="490">
                  <c:v>28.611400000000113</c:v>
                </c:pt>
                <c:pt idx="491">
                  <c:v>28.611500000000113</c:v>
                </c:pt>
                <c:pt idx="492">
                  <c:v>28.611600000000113</c:v>
                </c:pt>
                <c:pt idx="493">
                  <c:v>28.611700000000113</c:v>
                </c:pt>
                <c:pt idx="494">
                  <c:v>28.611800000000112</c:v>
                </c:pt>
                <c:pt idx="495">
                  <c:v>28.611900000000112</c:v>
                </c:pt>
                <c:pt idx="496">
                  <c:v>28.612000000000112</c:v>
                </c:pt>
                <c:pt idx="497">
                  <c:v>28.612100000000112</c:v>
                </c:pt>
                <c:pt idx="498">
                  <c:v>28.612200000000112</c:v>
                </c:pt>
                <c:pt idx="499">
                  <c:v>28.612300000000111</c:v>
                </c:pt>
                <c:pt idx="500">
                  <c:v>28.612400000000111</c:v>
                </c:pt>
                <c:pt idx="501">
                  <c:v>28.612500000000111</c:v>
                </c:pt>
                <c:pt idx="502">
                  <c:v>28.612600000000111</c:v>
                </c:pt>
                <c:pt idx="503">
                  <c:v>28.61270000000011</c:v>
                </c:pt>
                <c:pt idx="504">
                  <c:v>28.61280000000011</c:v>
                </c:pt>
                <c:pt idx="505">
                  <c:v>28.61290000000011</c:v>
                </c:pt>
                <c:pt idx="506">
                  <c:v>28.61300000000011</c:v>
                </c:pt>
                <c:pt idx="507">
                  <c:v>28.613100000000109</c:v>
                </c:pt>
                <c:pt idx="508">
                  <c:v>28.613200000000109</c:v>
                </c:pt>
                <c:pt idx="509">
                  <c:v>28.613300000000109</c:v>
                </c:pt>
                <c:pt idx="510">
                  <c:v>28.613400000000109</c:v>
                </c:pt>
                <c:pt idx="511">
                  <c:v>28.613500000000109</c:v>
                </c:pt>
                <c:pt idx="512">
                  <c:v>28.613600000000108</c:v>
                </c:pt>
                <c:pt idx="513">
                  <c:v>28.613700000000108</c:v>
                </c:pt>
                <c:pt idx="514">
                  <c:v>28.613800000000108</c:v>
                </c:pt>
                <c:pt idx="515">
                  <c:v>28.613900000000108</c:v>
                </c:pt>
                <c:pt idx="516">
                  <c:v>28.614000000000107</c:v>
                </c:pt>
                <c:pt idx="517">
                  <c:v>28.614100000000107</c:v>
                </c:pt>
                <c:pt idx="518">
                  <c:v>28.614200000000107</c:v>
                </c:pt>
                <c:pt idx="519">
                  <c:v>28.614300000000107</c:v>
                </c:pt>
                <c:pt idx="520">
                  <c:v>28.614400000000106</c:v>
                </c:pt>
                <c:pt idx="521">
                  <c:v>28.614500000000106</c:v>
                </c:pt>
                <c:pt idx="522">
                  <c:v>28.614600000000106</c:v>
                </c:pt>
                <c:pt idx="523">
                  <c:v>28.614700000000106</c:v>
                </c:pt>
                <c:pt idx="524">
                  <c:v>28.614800000000105</c:v>
                </c:pt>
                <c:pt idx="525">
                  <c:v>28.614900000000105</c:v>
                </c:pt>
                <c:pt idx="526">
                  <c:v>28.615000000000105</c:v>
                </c:pt>
                <c:pt idx="527">
                  <c:v>28.615100000000105</c:v>
                </c:pt>
                <c:pt idx="528">
                  <c:v>28.615200000000105</c:v>
                </c:pt>
                <c:pt idx="529">
                  <c:v>28.615300000000104</c:v>
                </c:pt>
                <c:pt idx="530">
                  <c:v>28.615400000000104</c:v>
                </c:pt>
                <c:pt idx="531">
                  <c:v>28.615500000000104</c:v>
                </c:pt>
                <c:pt idx="532">
                  <c:v>28.615600000000104</c:v>
                </c:pt>
                <c:pt idx="533">
                  <c:v>28.615700000000103</c:v>
                </c:pt>
                <c:pt idx="534">
                  <c:v>28.615800000000103</c:v>
                </c:pt>
                <c:pt idx="535">
                  <c:v>28.615900000000103</c:v>
                </c:pt>
                <c:pt idx="536">
                  <c:v>28.616000000000103</c:v>
                </c:pt>
                <c:pt idx="537">
                  <c:v>28.616100000000102</c:v>
                </c:pt>
                <c:pt idx="538">
                  <c:v>28.616200000000102</c:v>
                </c:pt>
                <c:pt idx="539">
                  <c:v>28.616300000000102</c:v>
                </c:pt>
                <c:pt idx="540">
                  <c:v>28.616400000000102</c:v>
                </c:pt>
                <c:pt idx="541">
                  <c:v>28.616500000000102</c:v>
                </c:pt>
                <c:pt idx="542">
                  <c:v>28.616600000000101</c:v>
                </c:pt>
                <c:pt idx="543">
                  <c:v>28.616700000000101</c:v>
                </c:pt>
                <c:pt idx="544">
                  <c:v>28.616800000000101</c:v>
                </c:pt>
                <c:pt idx="545">
                  <c:v>28.616900000000101</c:v>
                </c:pt>
                <c:pt idx="546">
                  <c:v>28.6170000000001</c:v>
                </c:pt>
                <c:pt idx="547">
                  <c:v>28.6171000000001</c:v>
                </c:pt>
                <c:pt idx="548">
                  <c:v>28.6172000000001</c:v>
                </c:pt>
                <c:pt idx="549">
                  <c:v>28.6173000000001</c:v>
                </c:pt>
                <c:pt idx="550">
                  <c:v>28.617400000000099</c:v>
                </c:pt>
                <c:pt idx="551">
                  <c:v>28.617500000000099</c:v>
                </c:pt>
                <c:pt idx="552">
                  <c:v>28.617600000000099</c:v>
                </c:pt>
                <c:pt idx="553">
                  <c:v>28.617700000000099</c:v>
                </c:pt>
                <c:pt idx="554">
                  <c:v>28.617800000000098</c:v>
                </c:pt>
                <c:pt idx="555">
                  <c:v>28.617900000000098</c:v>
                </c:pt>
                <c:pt idx="556">
                  <c:v>28.618000000000098</c:v>
                </c:pt>
                <c:pt idx="557">
                  <c:v>28.618100000000098</c:v>
                </c:pt>
                <c:pt idx="558">
                  <c:v>28.618200000000098</c:v>
                </c:pt>
                <c:pt idx="559">
                  <c:v>28.618300000000097</c:v>
                </c:pt>
                <c:pt idx="560">
                  <c:v>28.618400000000097</c:v>
                </c:pt>
                <c:pt idx="561">
                  <c:v>28.618500000000097</c:v>
                </c:pt>
                <c:pt idx="562">
                  <c:v>28.618600000000097</c:v>
                </c:pt>
                <c:pt idx="563">
                  <c:v>28.618700000000096</c:v>
                </c:pt>
                <c:pt idx="564">
                  <c:v>28.618800000000096</c:v>
                </c:pt>
                <c:pt idx="565">
                  <c:v>28.618900000000096</c:v>
                </c:pt>
                <c:pt idx="566">
                  <c:v>28.619000000000096</c:v>
                </c:pt>
                <c:pt idx="567">
                  <c:v>28.619100000000095</c:v>
                </c:pt>
                <c:pt idx="568">
                  <c:v>28.619200000000095</c:v>
                </c:pt>
                <c:pt idx="569">
                  <c:v>28.619300000000095</c:v>
                </c:pt>
                <c:pt idx="570">
                  <c:v>28.619400000000095</c:v>
                </c:pt>
                <c:pt idx="571">
                  <c:v>28.619500000000095</c:v>
                </c:pt>
                <c:pt idx="572">
                  <c:v>28.619600000000094</c:v>
                </c:pt>
                <c:pt idx="573">
                  <c:v>28.619700000000094</c:v>
                </c:pt>
                <c:pt idx="574">
                  <c:v>28.619800000000094</c:v>
                </c:pt>
                <c:pt idx="575">
                  <c:v>28.619900000000094</c:v>
                </c:pt>
                <c:pt idx="576">
                  <c:v>28.620000000000093</c:v>
                </c:pt>
                <c:pt idx="577">
                  <c:v>28.620100000000093</c:v>
                </c:pt>
                <c:pt idx="578">
                  <c:v>28.620200000000093</c:v>
                </c:pt>
                <c:pt idx="579">
                  <c:v>28.620300000000093</c:v>
                </c:pt>
                <c:pt idx="580">
                  <c:v>28.620400000000092</c:v>
                </c:pt>
                <c:pt idx="581">
                  <c:v>28.620500000000092</c:v>
                </c:pt>
                <c:pt idx="582">
                  <c:v>28.620600000000092</c:v>
                </c:pt>
                <c:pt idx="583">
                  <c:v>28.620700000000092</c:v>
                </c:pt>
                <c:pt idx="584">
                  <c:v>28.620800000000092</c:v>
                </c:pt>
                <c:pt idx="585">
                  <c:v>28.620900000000091</c:v>
                </c:pt>
                <c:pt idx="586">
                  <c:v>28.621000000000091</c:v>
                </c:pt>
                <c:pt idx="587">
                  <c:v>28.621100000000091</c:v>
                </c:pt>
                <c:pt idx="588">
                  <c:v>28.621200000000091</c:v>
                </c:pt>
                <c:pt idx="589">
                  <c:v>28.62130000000009</c:v>
                </c:pt>
                <c:pt idx="590">
                  <c:v>28.62140000000009</c:v>
                </c:pt>
                <c:pt idx="591">
                  <c:v>28.62150000000009</c:v>
                </c:pt>
                <c:pt idx="592">
                  <c:v>28.62160000000009</c:v>
                </c:pt>
                <c:pt idx="593">
                  <c:v>28.621700000000089</c:v>
                </c:pt>
                <c:pt idx="594">
                  <c:v>28.621800000000089</c:v>
                </c:pt>
                <c:pt idx="595">
                  <c:v>28.621900000000089</c:v>
                </c:pt>
                <c:pt idx="596">
                  <c:v>28.622000000000089</c:v>
                </c:pt>
                <c:pt idx="597">
                  <c:v>28.622100000000088</c:v>
                </c:pt>
                <c:pt idx="598">
                  <c:v>28.622200000000088</c:v>
                </c:pt>
                <c:pt idx="599">
                  <c:v>28.622300000000088</c:v>
                </c:pt>
                <c:pt idx="600">
                  <c:v>28.622400000000088</c:v>
                </c:pt>
                <c:pt idx="601">
                  <c:v>28.622500000000088</c:v>
                </c:pt>
                <c:pt idx="602">
                  <c:v>28.622600000000087</c:v>
                </c:pt>
                <c:pt idx="603">
                  <c:v>28.622700000000087</c:v>
                </c:pt>
                <c:pt idx="604">
                  <c:v>28.622800000000087</c:v>
                </c:pt>
                <c:pt idx="605">
                  <c:v>28.622900000000087</c:v>
                </c:pt>
                <c:pt idx="606">
                  <c:v>28.623000000000086</c:v>
                </c:pt>
                <c:pt idx="607">
                  <c:v>28.623100000000086</c:v>
                </c:pt>
                <c:pt idx="608">
                  <c:v>28.623200000000086</c:v>
                </c:pt>
                <c:pt idx="609">
                  <c:v>28.623300000000086</c:v>
                </c:pt>
                <c:pt idx="610">
                  <c:v>28.623400000000085</c:v>
                </c:pt>
                <c:pt idx="611">
                  <c:v>28.623500000000085</c:v>
                </c:pt>
                <c:pt idx="612">
                  <c:v>28.623600000000085</c:v>
                </c:pt>
                <c:pt idx="613">
                  <c:v>28.623700000000085</c:v>
                </c:pt>
                <c:pt idx="614">
                  <c:v>28.623800000000085</c:v>
                </c:pt>
                <c:pt idx="615">
                  <c:v>28.623900000000084</c:v>
                </c:pt>
                <c:pt idx="616">
                  <c:v>28.624000000000084</c:v>
                </c:pt>
                <c:pt idx="617">
                  <c:v>28.624100000000084</c:v>
                </c:pt>
                <c:pt idx="618">
                  <c:v>28.624200000000084</c:v>
                </c:pt>
                <c:pt idx="619">
                  <c:v>28.624300000000083</c:v>
                </c:pt>
                <c:pt idx="620">
                  <c:v>28.624400000000083</c:v>
                </c:pt>
                <c:pt idx="621">
                  <c:v>28.624500000000083</c:v>
                </c:pt>
                <c:pt idx="622">
                  <c:v>28.624600000000083</c:v>
                </c:pt>
                <c:pt idx="623">
                  <c:v>28.624700000000082</c:v>
                </c:pt>
                <c:pt idx="624">
                  <c:v>28.624800000000082</c:v>
                </c:pt>
                <c:pt idx="625">
                  <c:v>28.624900000000082</c:v>
                </c:pt>
                <c:pt idx="626">
                  <c:v>28.625000000000082</c:v>
                </c:pt>
                <c:pt idx="627">
                  <c:v>28.625100000000081</c:v>
                </c:pt>
                <c:pt idx="628">
                  <c:v>28.625200000000081</c:v>
                </c:pt>
                <c:pt idx="629">
                  <c:v>28.625300000000081</c:v>
                </c:pt>
                <c:pt idx="630">
                  <c:v>28.625400000000081</c:v>
                </c:pt>
                <c:pt idx="631">
                  <c:v>28.625500000000081</c:v>
                </c:pt>
                <c:pt idx="632">
                  <c:v>28.62560000000008</c:v>
                </c:pt>
                <c:pt idx="633">
                  <c:v>28.62570000000008</c:v>
                </c:pt>
                <c:pt idx="634">
                  <c:v>28.62580000000008</c:v>
                </c:pt>
                <c:pt idx="635">
                  <c:v>28.62590000000008</c:v>
                </c:pt>
                <c:pt idx="636">
                  <c:v>28.626000000000079</c:v>
                </c:pt>
                <c:pt idx="637">
                  <c:v>28.626100000000079</c:v>
                </c:pt>
                <c:pt idx="638">
                  <c:v>28.626200000000079</c:v>
                </c:pt>
                <c:pt idx="639">
                  <c:v>28.626300000000079</c:v>
                </c:pt>
                <c:pt idx="640">
                  <c:v>28.626400000000078</c:v>
                </c:pt>
                <c:pt idx="641">
                  <c:v>28.626500000000078</c:v>
                </c:pt>
                <c:pt idx="642">
                  <c:v>28.626600000000078</c:v>
                </c:pt>
                <c:pt idx="643">
                  <c:v>28.626700000000078</c:v>
                </c:pt>
                <c:pt idx="644">
                  <c:v>28.626800000000078</c:v>
                </c:pt>
                <c:pt idx="645">
                  <c:v>28.626900000000077</c:v>
                </c:pt>
                <c:pt idx="646">
                  <c:v>28.627000000000077</c:v>
                </c:pt>
                <c:pt idx="647">
                  <c:v>28.627100000000077</c:v>
                </c:pt>
                <c:pt idx="648">
                  <c:v>28.627200000000077</c:v>
                </c:pt>
                <c:pt idx="649">
                  <c:v>28.627300000000076</c:v>
                </c:pt>
                <c:pt idx="650">
                  <c:v>28.627400000000076</c:v>
                </c:pt>
                <c:pt idx="651">
                  <c:v>28.627500000000076</c:v>
                </c:pt>
                <c:pt idx="652">
                  <c:v>28.627600000000076</c:v>
                </c:pt>
                <c:pt idx="653">
                  <c:v>28.627700000000075</c:v>
                </c:pt>
                <c:pt idx="654">
                  <c:v>28.627800000000075</c:v>
                </c:pt>
                <c:pt idx="655">
                  <c:v>28.627900000000075</c:v>
                </c:pt>
                <c:pt idx="656">
                  <c:v>28.628000000000075</c:v>
                </c:pt>
                <c:pt idx="657">
                  <c:v>28.628100000000074</c:v>
                </c:pt>
                <c:pt idx="658">
                  <c:v>28.628200000000074</c:v>
                </c:pt>
                <c:pt idx="659">
                  <c:v>28.628300000000074</c:v>
                </c:pt>
                <c:pt idx="660">
                  <c:v>28.628400000000074</c:v>
                </c:pt>
                <c:pt idx="661">
                  <c:v>28.628500000000074</c:v>
                </c:pt>
                <c:pt idx="662">
                  <c:v>28.628600000000073</c:v>
                </c:pt>
                <c:pt idx="663">
                  <c:v>28.628700000000073</c:v>
                </c:pt>
                <c:pt idx="664">
                  <c:v>28.628800000000073</c:v>
                </c:pt>
                <c:pt idx="665">
                  <c:v>28.628900000000073</c:v>
                </c:pt>
                <c:pt idx="666">
                  <c:v>28.629000000000072</c:v>
                </c:pt>
                <c:pt idx="667">
                  <c:v>28.629100000000072</c:v>
                </c:pt>
                <c:pt idx="668">
                  <c:v>28.629200000000072</c:v>
                </c:pt>
                <c:pt idx="669">
                  <c:v>28.629300000000072</c:v>
                </c:pt>
                <c:pt idx="670">
                  <c:v>28.629400000000071</c:v>
                </c:pt>
                <c:pt idx="671">
                  <c:v>28.629500000000071</c:v>
                </c:pt>
                <c:pt idx="672">
                  <c:v>28.629600000000071</c:v>
                </c:pt>
                <c:pt idx="673">
                  <c:v>28.629700000000071</c:v>
                </c:pt>
                <c:pt idx="674">
                  <c:v>28.629800000000071</c:v>
                </c:pt>
                <c:pt idx="675">
                  <c:v>28.62990000000007</c:v>
                </c:pt>
                <c:pt idx="676">
                  <c:v>28.63000000000007</c:v>
                </c:pt>
                <c:pt idx="677">
                  <c:v>28.63010000000007</c:v>
                </c:pt>
                <c:pt idx="678">
                  <c:v>28.63020000000007</c:v>
                </c:pt>
                <c:pt idx="679">
                  <c:v>28.630300000000069</c:v>
                </c:pt>
                <c:pt idx="680">
                  <c:v>28.630400000000069</c:v>
                </c:pt>
                <c:pt idx="681">
                  <c:v>28.630500000000069</c:v>
                </c:pt>
                <c:pt idx="682">
                  <c:v>28.630600000000069</c:v>
                </c:pt>
                <c:pt idx="683">
                  <c:v>28.630700000000068</c:v>
                </c:pt>
                <c:pt idx="684">
                  <c:v>28.630800000000068</c:v>
                </c:pt>
                <c:pt idx="685">
                  <c:v>28.630900000000068</c:v>
                </c:pt>
                <c:pt idx="686">
                  <c:v>28.631000000000068</c:v>
                </c:pt>
                <c:pt idx="687">
                  <c:v>28.631100000000067</c:v>
                </c:pt>
                <c:pt idx="688">
                  <c:v>28.631200000000067</c:v>
                </c:pt>
                <c:pt idx="689">
                  <c:v>28.631300000000067</c:v>
                </c:pt>
                <c:pt idx="690">
                  <c:v>28.631400000000067</c:v>
                </c:pt>
                <c:pt idx="691">
                  <c:v>28.631500000000067</c:v>
                </c:pt>
                <c:pt idx="692">
                  <c:v>28.631600000000066</c:v>
                </c:pt>
                <c:pt idx="693">
                  <c:v>28.631700000000066</c:v>
                </c:pt>
                <c:pt idx="694">
                  <c:v>28.631800000000066</c:v>
                </c:pt>
                <c:pt idx="695">
                  <c:v>28.631900000000066</c:v>
                </c:pt>
                <c:pt idx="696">
                  <c:v>28.632000000000065</c:v>
                </c:pt>
                <c:pt idx="697">
                  <c:v>28.632100000000065</c:v>
                </c:pt>
                <c:pt idx="698">
                  <c:v>28.632200000000065</c:v>
                </c:pt>
                <c:pt idx="699">
                  <c:v>28.632300000000065</c:v>
                </c:pt>
                <c:pt idx="700">
                  <c:v>28.632400000000064</c:v>
                </c:pt>
                <c:pt idx="701">
                  <c:v>28.632500000000064</c:v>
                </c:pt>
                <c:pt idx="702">
                  <c:v>28.632600000000064</c:v>
                </c:pt>
                <c:pt idx="703">
                  <c:v>28.632700000000064</c:v>
                </c:pt>
                <c:pt idx="704">
                  <c:v>28.632800000000064</c:v>
                </c:pt>
                <c:pt idx="705">
                  <c:v>28.632900000000063</c:v>
                </c:pt>
                <c:pt idx="706">
                  <c:v>28.633000000000063</c:v>
                </c:pt>
                <c:pt idx="707">
                  <c:v>28.633100000000063</c:v>
                </c:pt>
                <c:pt idx="708">
                  <c:v>28.633200000000063</c:v>
                </c:pt>
                <c:pt idx="709">
                  <c:v>28.633300000000062</c:v>
                </c:pt>
                <c:pt idx="710">
                  <c:v>28.633400000000062</c:v>
                </c:pt>
                <c:pt idx="711">
                  <c:v>28.633500000000062</c:v>
                </c:pt>
                <c:pt idx="712">
                  <c:v>28.633600000000062</c:v>
                </c:pt>
                <c:pt idx="713">
                  <c:v>28.633700000000061</c:v>
                </c:pt>
                <c:pt idx="714">
                  <c:v>28.633800000000061</c:v>
                </c:pt>
                <c:pt idx="715">
                  <c:v>28.633900000000061</c:v>
                </c:pt>
                <c:pt idx="716">
                  <c:v>28.634000000000061</c:v>
                </c:pt>
                <c:pt idx="717">
                  <c:v>28.634100000000061</c:v>
                </c:pt>
                <c:pt idx="718">
                  <c:v>28.63420000000006</c:v>
                </c:pt>
                <c:pt idx="719">
                  <c:v>28.63430000000006</c:v>
                </c:pt>
                <c:pt idx="720">
                  <c:v>28.63440000000006</c:v>
                </c:pt>
                <c:pt idx="721">
                  <c:v>28.63450000000006</c:v>
                </c:pt>
                <c:pt idx="722">
                  <c:v>28.634600000000059</c:v>
                </c:pt>
                <c:pt idx="723">
                  <c:v>28.634700000000059</c:v>
                </c:pt>
                <c:pt idx="724">
                  <c:v>28.634800000000059</c:v>
                </c:pt>
                <c:pt idx="725">
                  <c:v>28.634900000000059</c:v>
                </c:pt>
                <c:pt idx="726">
                  <c:v>28.635000000000058</c:v>
                </c:pt>
                <c:pt idx="727">
                  <c:v>28.635100000000058</c:v>
                </c:pt>
                <c:pt idx="728">
                  <c:v>28.635200000000058</c:v>
                </c:pt>
                <c:pt idx="729">
                  <c:v>28.635300000000058</c:v>
                </c:pt>
                <c:pt idx="730">
                  <c:v>28.635400000000057</c:v>
                </c:pt>
                <c:pt idx="731">
                  <c:v>28.635500000000057</c:v>
                </c:pt>
                <c:pt idx="732">
                  <c:v>28.635600000000057</c:v>
                </c:pt>
                <c:pt idx="733">
                  <c:v>28.635700000000057</c:v>
                </c:pt>
                <c:pt idx="734">
                  <c:v>28.635800000000057</c:v>
                </c:pt>
                <c:pt idx="735">
                  <c:v>28.635900000000056</c:v>
                </c:pt>
                <c:pt idx="736">
                  <c:v>28.636000000000056</c:v>
                </c:pt>
                <c:pt idx="737">
                  <c:v>28.636100000000056</c:v>
                </c:pt>
                <c:pt idx="738">
                  <c:v>28.636200000000056</c:v>
                </c:pt>
                <c:pt idx="739">
                  <c:v>28.636300000000055</c:v>
                </c:pt>
                <c:pt idx="740">
                  <c:v>28.636400000000055</c:v>
                </c:pt>
                <c:pt idx="741">
                  <c:v>28.636500000000055</c:v>
                </c:pt>
                <c:pt idx="742">
                  <c:v>28.636600000000055</c:v>
                </c:pt>
                <c:pt idx="743">
                  <c:v>28.636700000000054</c:v>
                </c:pt>
                <c:pt idx="744">
                  <c:v>28.636800000000054</c:v>
                </c:pt>
                <c:pt idx="745">
                  <c:v>28.636900000000054</c:v>
                </c:pt>
                <c:pt idx="746">
                  <c:v>28.637000000000054</c:v>
                </c:pt>
                <c:pt idx="747">
                  <c:v>28.637100000000054</c:v>
                </c:pt>
                <c:pt idx="748">
                  <c:v>28.637200000000053</c:v>
                </c:pt>
                <c:pt idx="749">
                  <c:v>28.637300000000053</c:v>
                </c:pt>
                <c:pt idx="750">
                  <c:v>28.637400000000053</c:v>
                </c:pt>
                <c:pt idx="751">
                  <c:v>28.637500000000053</c:v>
                </c:pt>
                <c:pt idx="752">
                  <c:v>28.637600000000052</c:v>
                </c:pt>
                <c:pt idx="753">
                  <c:v>28.637700000000052</c:v>
                </c:pt>
                <c:pt idx="754">
                  <c:v>28.637800000000052</c:v>
                </c:pt>
                <c:pt idx="755">
                  <c:v>28.637900000000052</c:v>
                </c:pt>
                <c:pt idx="756">
                  <c:v>28.638000000000051</c:v>
                </c:pt>
                <c:pt idx="757">
                  <c:v>28.638100000000051</c:v>
                </c:pt>
                <c:pt idx="758">
                  <c:v>28.638200000000051</c:v>
                </c:pt>
                <c:pt idx="759">
                  <c:v>28.638300000000051</c:v>
                </c:pt>
                <c:pt idx="760">
                  <c:v>28.63840000000005</c:v>
                </c:pt>
                <c:pt idx="761">
                  <c:v>28.63850000000005</c:v>
                </c:pt>
                <c:pt idx="762">
                  <c:v>28.63860000000005</c:v>
                </c:pt>
                <c:pt idx="763">
                  <c:v>28.63870000000005</c:v>
                </c:pt>
                <c:pt idx="764">
                  <c:v>28.63880000000005</c:v>
                </c:pt>
                <c:pt idx="765">
                  <c:v>28.638900000000049</c:v>
                </c:pt>
                <c:pt idx="766">
                  <c:v>28.639000000000049</c:v>
                </c:pt>
                <c:pt idx="767">
                  <c:v>28.639100000000049</c:v>
                </c:pt>
                <c:pt idx="768">
                  <c:v>28.639200000000049</c:v>
                </c:pt>
                <c:pt idx="769">
                  <c:v>28.639300000000048</c:v>
                </c:pt>
                <c:pt idx="770">
                  <c:v>28.639400000000048</c:v>
                </c:pt>
                <c:pt idx="771">
                  <c:v>28.639500000000048</c:v>
                </c:pt>
                <c:pt idx="772">
                  <c:v>28.639600000000048</c:v>
                </c:pt>
                <c:pt idx="773">
                  <c:v>28.639700000000047</c:v>
                </c:pt>
                <c:pt idx="774">
                  <c:v>28.639800000000047</c:v>
                </c:pt>
                <c:pt idx="775">
                  <c:v>28.639900000000047</c:v>
                </c:pt>
                <c:pt idx="776">
                  <c:v>28.640000000000047</c:v>
                </c:pt>
                <c:pt idx="777">
                  <c:v>28.640100000000047</c:v>
                </c:pt>
                <c:pt idx="778">
                  <c:v>28.640200000000046</c:v>
                </c:pt>
                <c:pt idx="779">
                  <c:v>28.640300000000046</c:v>
                </c:pt>
                <c:pt idx="780">
                  <c:v>28.640400000000046</c:v>
                </c:pt>
                <c:pt idx="781">
                  <c:v>28.640500000000046</c:v>
                </c:pt>
                <c:pt idx="782">
                  <c:v>28.640600000000045</c:v>
                </c:pt>
                <c:pt idx="783">
                  <c:v>28.640700000000045</c:v>
                </c:pt>
                <c:pt idx="784">
                  <c:v>28.640800000000045</c:v>
                </c:pt>
                <c:pt idx="785">
                  <c:v>28.640900000000045</c:v>
                </c:pt>
                <c:pt idx="786">
                  <c:v>28.641000000000044</c:v>
                </c:pt>
                <c:pt idx="787">
                  <c:v>28.641100000000044</c:v>
                </c:pt>
                <c:pt idx="788">
                  <c:v>28.641200000000044</c:v>
                </c:pt>
                <c:pt idx="789">
                  <c:v>28.641300000000044</c:v>
                </c:pt>
                <c:pt idx="790">
                  <c:v>28.641400000000043</c:v>
                </c:pt>
                <c:pt idx="791">
                  <c:v>28.641500000000043</c:v>
                </c:pt>
                <c:pt idx="792">
                  <c:v>28.641600000000043</c:v>
                </c:pt>
                <c:pt idx="793">
                  <c:v>28.641700000000043</c:v>
                </c:pt>
                <c:pt idx="794">
                  <c:v>28.641800000000043</c:v>
                </c:pt>
                <c:pt idx="795">
                  <c:v>28.641900000000042</c:v>
                </c:pt>
                <c:pt idx="796">
                  <c:v>28.642000000000042</c:v>
                </c:pt>
                <c:pt idx="797">
                  <c:v>28.642100000000042</c:v>
                </c:pt>
                <c:pt idx="798">
                  <c:v>28.642200000000042</c:v>
                </c:pt>
                <c:pt idx="799">
                  <c:v>28.642300000000041</c:v>
                </c:pt>
                <c:pt idx="800">
                  <c:v>28.642400000000041</c:v>
                </c:pt>
                <c:pt idx="801">
                  <c:v>28.642500000000041</c:v>
                </c:pt>
                <c:pt idx="802">
                  <c:v>28.642600000000041</c:v>
                </c:pt>
                <c:pt idx="803">
                  <c:v>28.64270000000004</c:v>
                </c:pt>
                <c:pt idx="804">
                  <c:v>28.64280000000004</c:v>
                </c:pt>
                <c:pt idx="805">
                  <c:v>28.64290000000004</c:v>
                </c:pt>
                <c:pt idx="806">
                  <c:v>28.64300000000004</c:v>
                </c:pt>
                <c:pt idx="807">
                  <c:v>28.64310000000004</c:v>
                </c:pt>
                <c:pt idx="808">
                  <c:v>28.643200000000039</c:v>
                </c:pt>
                <c:pt idx="809">
                  <c:v>28.643300000000039</c:v>
                </c:pt>
                <c:pt idx="810">
                  <c:v>28.643400000000039</c:v>
                </c:pt>
                <c:pt idx="811">
                  <c:v>28.643500000000039</c:v>
                </c:pt>
                <c:pt idx="812">
                  <c:v>28.643600000000038</c:v>
                </c:pt>
                <c:pt idx="813">
                  <c:v>28.643700000000038</c:v>
                </c:pt>
                <c:pt idx="814">
                  <c:v>28.643800000000038</c:v>
                </c:pt>
                <c:pt idx="815">
                  <c:v>28.643900000000038</c:v>
                </c:pt>
                <c:pt idx="816">
                  <c:v>28.644000000000037</c:v>
                </c:pt>
                <c:pt idx="817">
                  <c:v>28.644100000000037</c:v>
                </c:pt>
                <c:pt idx="818">
                  <c:v>28.644200000000037</c:v>
                </c:pt>
                <c:pt idx="819">
                  <c:v>28.644300000000037</c:v>
                </c:pt>
                <c:pt idx="820">
                  <c:v>28.644400000000036</c:v>
                </c:pt>
                <c:pt idx="821">
                  <c:v>28.644500000000036</c:v>
                </c:pt>
                <c:pt idx="822">
                  <c:v>28.644600000000036</c:v>
                </c:pt>
                <c:pt idx="823">
                  <c:v>28.644700000000036</c:v>
                </c:pt>
                <c:pt idx="824">
                  <c:v>28.644800000000036</c:v>
                </c:pt>
                <c:pt idx="825">
                  <c:v>28.644900000000035</c:v>
                </c:pt>
                <c:pt idx="826">
                  <c:v>28.645000000000035</c:v>
                </c:pt>
                <c:pt idx="827">
                  <c:v>28.645100000000035</c:v>
                </c:pt>
                <c:pt idx="828">
                  <c:v>28.645200000000035</c:v>
                </c:pt>
                <c:pt idx="829">
                  <c:v>28.645300000000034</c:v>
                </c:pt>
                <c:pt idx="830">
                  <c:v>28.645400000000034</c:v>
                </c:pt>
                <c:pt idx="831">
                  <c:v>28.645500000000034</c:v>
                </c:pt>
                <c:pt idx="832">
                  <c:v>28.645600000000034</c:v>
                </c:pt>
                <c:pt idx="833">
                  <c:v>28.645700000000033</c:v>
                </c:pt>
                <c:pt idx="834">
                  <c:v>28.645800000000033</c:v>
                </c:pt>
                <c:pt idx="835">
                  <c:v>28.645900000000033</c:v>
                </c:pt>
                <c:pt idx="836">
                  <c:v>28.646000000000033</c:v>
                </c:pt>
                <c:pt idx="837">
                  <c:v>28.646100000000033</c:v>
                </c:pt>
                <c:pt idx="838">
                  <c:v>28.646200000000032</c:v>
                </c:pt>
                <c:pt idx="839">
                  <c:v>28.646300000000032</c:v>
                </c:pt>
                <c:pt idx="840">
                  <c:v>28.646400000000032</c:v>
                </c:pt>
                <c:pt idx="841">
                  <c:v>28.646500000000032</c:v>
                </c:pt>
                <c:pt idx="842">
                  <c:v>28.646600000000031</c:v>
                </c:pt>
                <c:pt idx="843">
                  <c:v>28.646700000000031</c:v>
                </c:pt>
                <c:pt idx="844">
                  <c:v>28.646800000000031</c:v>
                </c:pt>
                <c:pt idx="845">
                  <c:v>28.646900000000031</c:v>
                </c:pt>
                <c:pt idx="846">
                  <c:v>28.64700000000003</c:v>
                </c:pt>
                <c:pt idx="847">
                  <c:v>28.64710000000003</c:v>
                </c:pt>
                <c:pt idx="848">
                  <c:v>28.64720000000003</c:v>
                </c:pt>
                <c:pt idx="849">
                  <c:v>28.64730000000003</c:v>
                </c:pt>
                <c:pt idx="850">
                  <c:v>28.64740000000003</c:v>
                </c:pt>
                <c:pt idx="851">
                  <c:v>28.647500000000029</c:v>
                </c:pt>
                <c:pt idx="852">
                  <c:v>28.647600000000029</c:v>
                </c:pt>
                <c:pt idx="853">
                  <c:v>28.647700000000029</c:v>
                </c:pt>
                <c:pt idx="854">
                  <c:v>28.647800000000029</c:v>
                </c:pt>
                <c:pt idx="855">
                  <c:v>28.647900000000028</c:v>
                </c:pt>
                <c:pt idx="856">
                  <c:v>28.648000000000028</c:v>
                </c:pt>
                <c:pt idx="857">
                  <c:v>28.648100000000028</c:v>
                </c:pt>
                <c:pt idx="858">
                  <c:v>28.648200000000028</c:v>
                </c:pt>
                <c:pt idx="859">
                  <c:v>28.648300000000027</c:v>
                </c:pt>
                <c:pt idx="860">
                  <c:v>28.648400000000027</c:v>
                </c:pt>
                <c:pt idx="861">
                  <c:v>28.648500000000027</c:v>
                </c:pt>
                <c:pt idx="862">
                  <c:v>28.648600000000027</c:v>
                </c:pt>
                <c:pt idx="863">
                  <c:v>28.648700000000026</c:v>
                </c:pt>
                <c:pt idx="864">
                  <c:v>28.648800000000026</c:v>
                </c:pt>
                <c:pt idx="865">
                  <c:v>28.648900000000026</c:v>
                </c:pt>
                <c:pt idx="866">
                  <c:v>28.649000000000026</c:v>
                </c:pt>
                <c:pt idx="867">
                  <c:v>28.649100000000026</c:v>
                </c:pt>
                <c:pt idx="868">
                  <c:v>28.649200000000025</c:v>
                </c:pt>
                <c:pt idx="869">
                  <c:v>28.649300000000025</c:v>
                </c:pt>
                <c:pt idx="870">
                  <c:v>28.649400000000025</c:v>
                </c:pt>
                <c:pt idx="871">
                  <c:v>28.649500000000025</c:v>
                </c:pt>
                <c:pt idx="872">
                  <c:v>28.649600000000024</c:v>
                </c:pt>
                <c:pt idx="873">
                  <c:v>28.649700000000024</c:v>
                </c:pt>
                <c:pt idx="874">
                  <c:v>28.649800000000024</c:v>
                </c:pt>
                <c:pt idx="875">
                  <c:v>28.649900000000024</c:v>
                </c:pt>
                <c:pt idx="876">
                  <c:v>28.650000000000023</c:v>
                </c:pt>
                <c:pt idx="877">
                  <c:v>28.650100000000023</c:v>
                </c:pt>
                <c:pt idx="878">
                  <c:v>28.650200000000023</c:v>
                </c:pt>
                <c:pt idx="879">
                  <c:v>28.650300000000023</c:v>
                </c:pt>
                <c:pt idx="880">
                  <c:v>28.650400000000023</c:v>
                </c:pt>
                <c:pt idx="881">
                  <c:v>28.650500000000022</c:v>
                </c:pt>
                <c:pt idx="882">
                  <c:v>28.650600000000022</c:v>
                </c:pt>
                <c:pt idx="883">
                  <c:v>28.650700000000022</c:v>
                </c:pt>
                <c:pt idx="884">
                  <c:v>28.650800000000022</c:v>
                </c:pt>
                <c:pt idx="885">
                  <c:v>28.650900000000021</c:v>
                </c:pt>
                <c:pt idx="886">
                  <c:v>28.651000000000021</c:v>
                </c:pt>
                <c:pt idx="887">
                  <c:v>28.651100000000021</c:v>
                </c:pt>
                <c:pt idx="888">
                  <c:v>28.651200000000021</c:v>
                </c:pt>
                <c:pt idx="889">
                  <c:v>28.65130000000002</c:v>
                </c:pt>
                <c:pt idx="890">
                  <c:v>28.65140000000002</c:v>
                </c:pt>
                <c:pt idx="891">
                  <c:v>28.65150000000002</c:v>
                </c:pt>
                <c:pt idx="892">
                  <c:v>28.65160000000002</c:v>
                </c:pt>
                <c:pt idx="893">
                  <c:v>28.651700000000019</c:v>
                </c:pt>
                <c:pt idx="894">
                  <c:v>28.651800000000019</c:v>
                </c:pt>
                <c:pt idx="895">
                  <c:v>28.651900000000019</c:v>
                </c:pt>
                <c:pt idx="896">
                  <c:v>28.652000000000019</c:v>
                </c:pt>
                <c:pt idx="897">
                  <c:v>28.652100000000019</c:v>
                </c:pt>
                <c:pt idx="898">
                  <c:v>28.652200000000018</c:v>
                </c:pt>
                <c:pt idx="899">
                  <c:v>28.652300000000018</c:v>
                </c:pt>
                <c:pt idx="900">
                  <c:v>28.652400000000018</c:v>
                </c:pt>
                <c:pt idx="901">
                  <c:v>28.652500000000018</c:v>
                </c:pt>
                <c:pt idx="902">
                  <c:v>28.652600000000017</c:v>
                </c:pt>
                <c:pt idx="903">
                  <c:v>28.652700000000017</c:v>
                </c:pt>
                <c:pt idx="904">
                  <c:v>28.652800000000017</c:v>
                </c:pt>
                <c:pt idx="905">
                  <c:v>28.652900000000017</c:v>
                </c:pt>
                <c:pt idx="906">
                  <c:v>28.653000000000016</c:v>
                </c:pt>
                <c:pt idx="907">
                  <c:v>28.653100000000016</c:v>
                </c:pt>
                <c:pt idx="908">
                  <c:v>28.653200000000016</c:v>
                </c:pt>
                <c:pt idx="909">
                  <c:v>28.653300000000016</c:v>
                </c:pt>
                <c:pt idx="910">
                  <c:v>28.653400000000016</c:v>
                </c:pt>
                <c:pt idx="911">
                  <c:v>28.653500000000015</c:v>
                </c:pt>
                <c:pt idx="912">
                  <c:v>28.653600000000015</c:v>
                </c:pt>
                <c:pt idx="913">
                  <c:v>28.653700000000015</c:v>
                </c:pt>
                <c:pt idx="914">
                  <c:v>28.653800000000015</c:v>
                </c:pt>
                <c:pt idx="915">
                  <c:v>28.653900000000014</c:v>
                </c:pt>
                <c:pt idx="916">
                  <c:v>28.654000000000014</c:v>
                </c:pt>
                <c:pt idx="917">
                  <c:v>28.654100000000014</c:v>
                </c:pt>
                <c:pt idx="918">
                  <c:v>28.654200000000014</c:v>
                </c:pt>
                <c:pt idx="919">
                  <c:v>28.654300000000013</c:v>
                </c:pt>
                <c:pt idx="920">
                  <c:v>28.654400000000013</c:v>
                </c:pt>
                <c:pt idx="921">
                  <c:v>28.654500000000013</c:v>
                </c:pt>
                <c:pt idx="922">
                  <c:v>28.654600000000013</c:v>
                </c:pt>
                <c:pt idx="923">
                  <c:v>28.654700000000012</c:v>
                </c:pt>
                <c:pt idx="924">
                  <c:v>28.654800000000012</c:v>
                </c:pt>
                <c:pt idx="925">
                  <c:v>28.654900000000012</c:v>
                </c:pt>
                <c:pt idx="926">
                  <c:v>28.655000000000012</c:v>
                </c:pt>
                <c:pt idx="927">
                  <c:v>28.655100000000012</c:v>
                </c:pt>
                <c:pt idx="928">
                  <c:v>28.655200000000011</c:v>
                </c:pt>
                <c:pt idx="929">
                  <c:v>28.655300000000011</c:v>
                </c:pt>
                <c:pt idx="930">
                  <c:v>28.655400000000011</c:v>
                </c:pt>
                <c:pt idx="931">
                  <c:v>28.655500000000011</c:v>
                </c:pt>
                <c:pt idx="932">
                  <c:v>28.65560000000001</c:v>
                </c:pt>
                <c:pt idx="933">
                  <c:v>28.65570000000001</c:v>
                </c:pt>
                <c:pt idx="934">
                  <c:v>28.65580000000001</c:v>
                </c:pt>
                <c:pt idx="935">
                  <c:v>28.65590000000001</c:v>
                </c:pt>
                <c:pt idx="936">
                  <c:v>28.656000000000009</c:v>
                </c:pt>
                <c:pt idx="937">
                  <c:v>28.656100000000009</c:v>
                </c:pt>
                <c:pt idx="938">
                  <c:v>28.656200000000009</c:v>
                </c:pt>
                <c:pt idx="939">
                  <c:v>28.656300000000009</c:v>
                </c:pt>
                <c:pt idx="940">
                  <c:v>28.656400000000009</c:v>
                </c:pt>
                <c:pt idx="941">
                  <c:v>28.656500000000008</c:v>
                </c:pt>
                <c:pt idx="942">
                  <c:v>28.656600000000008</c:v>
                </c:pt>
                <c:pt idx="943">
                  <c:v>28.656700000000008</c:v>
                </c:pt>
                <c:pt idx="944">
                  <c:v>28.656800000000008</c:v>
                </c:pt>
                <c:pt idx="945">
                  <c:v>28.656900000000007</c:v>
                </c:pt>
                <c:pt idx="946">
                  <c:v>28.657000000000007</c:v>
                </c:pt>
                <c:pt idx="947">
                  <c:v>28.657100000000007</c:v>
                </c:pt>
                <c:pt idx="948">
                  <c:v>28.657200000000007</c:v>
                </c:pt>
                <c:pt idx="949">
                  <c:v>28.657300000000006</c:v>
                </c:pt>
                <c:pt idx="950">
                  <c:v>28.657400000000006</c:v>
                </c:pt>
                <c:pt idx="951">
                  <c:v>28.657500000000006</c:v>
                </c:pt>
                <c:pt idx="952">
                  <c:v>28.657600000000006</c:v>
                </c:pt>
                <c:pt idx="953">
                  <c:v>28.657700000000006</c:v>
                </c:pt>
                <c:pt idx="954">
                  <c:v>28.657800000000005</c:v>
                </c:pt>
                <c:pt idx="955">
                  <c:v>28.657900000000005</c:v>
                </c:pt>
                <c:pt idx="956">
                  <c:v>28.658000000000005</c:v>
                </c:pt>
                <c:pt idx="957">
                  <c:v>28.658100000000005</c:v>
                </c:pt>
                <c:pt idx="958">
                  <c:v>28.658200000000004</c:v>
                </c:pt>
                <c:pt idx="959">
                  <c:v>28.658300000000004</c:v>
                </c:pt>
                <c:pt idx="960">
                  <c:v>28.658400000000004</c:v>
                </c:pt>
                <c:pt idx="961">
                  <c:v>28.658500000000004</c:v>
                </c:pt>
                <c:pt idx="962">
                  <c:v>28.658600000000003</c:v>
                </c:pt>
                <c:pt idx="963">
                  <c:v>28.658700000000003</c:v>
                </c:pt>
                <c:pt idx="964">
                  <c:v>28.658800000000003</c:v>
                </c:pt>
                <c:pt idx="965">
                  <c:v>28.658900000000003</c:v>
                </c:pt>
                <c:pt idx="966">
                  <c:v>28.659000000000002</c:v>
                </c:pt>
                <c:pt idx="967">
                  <c:v>28.659100000000002</c:v>
                </c:pt>
                <c:pt idx="968">
                  <c:v>28.659200000000002</c:v>
                </c:pt>
                <c:pt idx="969">
                  <c:v>28.659300000000002</c:v>
                </c:pt>
                <c:pt idx="970">
                  <c:v>28.659400000000002</c:v>
                </c:pt>
                <c:pt idx="971">
                  <c:v>28.659500000000001</c:v>
                </c:pt>
                <c:pt idx="972">
                  <c:v>28.659600000000001</c:v>
                </c:pt>
                <c:pt idx="973">
                  <c:v>28.659700000000001</c:v>
                </c:pt>
                <c:pt idx="974">
                  <c:v>28.659800000000001</c:v>
                </c:pt>
                <c:pt idx="975">
                  <c:v>28.6599</c:v>
                </c:pt>
                <c:pt idx="976">
                  <c:v>28.66</c:v>
                </c:pt>
                <c:pt idx="977">
                  <c:v>28.6601</c:v>
                </c:pt>
                <c:pt idx="978">
                  <c:v>28.6602</c:v>
                </c:pt>
                <c:pt idx="979">
                  <c:v>28.660299999999999</c:v>
                </c:pt>
                <c:pt idx="980">
                  <c:v>28.660399999999999</c:v>
                </c:pt>
                <c:pt idx="981">
                  <c:v>28.660499999999999</c:v>
                </c:pt>
                <c:pt idx="982">
                  <c:v>28.660599999999999</c:v>
                </c:pt>
                <c:pt idx="983">
                  <c:v>28.660699999999999</c:v>
                </c:pt>
                <c:pt idx="984">
                  <c:v>28.660799999999998</c:v>
                </c:pt>
                <c:pt idx="985">
                  <c:v>28.660899999999998</c:v>
                </c:pt>
                <c:pt idx="986">
                  <c:v>28.660999999999998</c:v>
                </c:pt>
                <c:pt idx="987">
                  <c:v>28.661099999999998</c:v>
                </c:pt>
                <c:pt idx="988">
                  <c:v>28.661199999999997</c:v>
                </c:pt>
                <c:pt idx="989">
                  <c:v>28.661299999999997</c:v>
                </c:pt>
                <c:pt idx="990">
                  <c:v>28.661399999999997</c:v>
                </c:pt>
                <c:pt idx="991">
                  <c:v>28.661499999999997</c:v>
                </c:pt>
                <c:pt idx="992">
                  <c:v>28.661599999999996</c:v>
                </c:pt>
                <c:pt idx="993">
                  <c:v>28.661699999999996</c:v>
                </c:pt>
                <c:pt idx="994">
                  <c:v>28.661799999999996</c:v>
                </c:pt>
                <c:pt idx="995">
                  <c:v>28.661899999999996</c:v>
                </c:pt>
                <c:pt idx="996">
                  <c:v>28.661999999999995</c:v>
                </c:pt>
                <c:pt idx="997">
                  <c:v>28.662099999999995</c:v>
                </c:pt>
                <c:pt idx="998">
                  <c:v>28.662199999999995</c:v>
                </c:pt>
                <c:pt idx="999">
                  <c:v>28.662299999999995</c:v>
                </c:pt>
                <c:pt idx="1000">
                  <c:v>28.662399999999995</c:v>
                </c:pt>
              </c:numCache>
            </c:numRef>
          </c:xVal>
          <c:yVal>
            <c:numRef>
              <c:f>Calculs!$T$4:$T$1004</c:f>
              <c:numCache>
                <c:formatCode>0.00</c:formatCode>
                <c:ptCount val="1001"/>
                <c:pt idx="0">
                  <c:v>42.586190999999999</c:v>
                </c:pt>
                <c:pt idx="1">
                  <c:v>42.586186095000002</c:v>
                </c:pt>
                <c:pt idx="2">
                  <c:v>42.58617138000001</c:v>
                </c:pt>
                <c:pt idx="3">
                  <c:v>42.58614685500001</c:v>
                </c:pt>
                <c:pt idx="4">
                  <c:v>42.586112520000007</c:v>
                </c:pt>
                <c:pt idx="5">
                  <c:v>42.586068375000004</c:v>
                </c:pt>
                <c:pt idx="6">
                  <c:v>42.586014420000005</c:v>
                </c:pt>
                <c:pt idx="7">
                  <c:v>42.585950655000005</c:v>
                </c:pt>
                <c:pt idx="8">
                  <c:v>42.58587708000001</c:v>
                </c:pt>
                <c:pt idx="9">
                  <c:v>42.585793695000014</c:v>
                </c:pt>
                <c:pt idx="10">
                  <c:v>42.585700500000009</c:v>
                </c:pt>
                <c:pt idx="11">
                  <c:v>42.585607305000011</c:v>
                </c:pt>
                <c:pt idx="12">
                  <c:v>42.585523920000014</c:v>
                </c:pt>
                <c:pt idx="13">
                  <c:v>42.585450345000012</c:v>
                </c:pt>
                <c:pt idx="14">
                  <c:v>42.585386580000019</c:v>
                </c:pt>
                <c:pt idx="15">
                  <c:v>42.585332625000014</c:v>
                </c:pt>
                <c:pt idx="16">
                  <c:v>42.585288480000017</c:v>
                </c:pt>
                <c:pt idx="17">
                  <c:v>42.585254145000015</c:v>
                </c:pt>
                <c:pt idx="18">
                  <c:v>42.585229620000014</c:v>
                </c:pt>
                <c:pt idx="19">
                  <c:v>42.585214905000015</c:v>
                </c:pt>
                <c:pt idx="20">
                  <c:v>42.585210000000025</c:v>
                </c:pt>
                <c:pt idx="21">
                  <c:v>42.585210000000025</c:v>
                </c:pt>
                <c:pt idx="22">
                  <c:v>42.585210000000025</c:v>
                </c:pt>
                <c:pt idx="23">
                  <c:v>42.585210000000025</c:v>
                </c:pt>
                <c:pt idx="24">
                  <c:v>42.585210000000025</c:v>
                </c:pt>
                <c:pt idx="25">
                  <c:v>42.585210000000025</c:v>
                </c:pt>
                <c:pt idx="26">
                  <c:v>42.585210000000025</c:v>
                </c:pt>
                <c:pt idx="27">
                  <c:v>42.585210000000025</c:v>
                </c:pt>
                <c:pt idx="28">
                  <c:v>42.585210000000025</c:v>
                </c:pt>
                <c:pt idx="29">
                  <c:v>42.585210000000025</c:v>
                </c:pt>
                <c:pt idx="30">
                  <c:v>42.585210000000025</c:v>
                </c:pt>
                <c:pt idx="31">
                  <c:v>42.585210000000025</c:v>
                </c:pt>
                <c:pt idx="32">
                  <c:v>42.585210000000025</c:v>
                </c:pt>
                <c:pt idx="33">
                  <c:v>42.585210000000025</c:v>
                </c:pt>
                <c:pt idx="34">
                  <c:v>42.585210000000025</c:v>
                </c:pt>
                <c:pt idx="35">
                  <c:v>42.585210000000025</c:v>
                </c:pt>
                <c:pt idx="36">
                  <c:v>42.585210000000025</c:v>
                </c:pt>
                <c:pt idx="37">
                  <c:v>42.585210000000025</c:v>
                </c:pt>
                <c:pt idx="38">
                  <c:v>42.585210000000025</c:v>
                </c:pt>
                <c:pt idx="39">
                  <c:v>42.585210000000025</c:v>
                </c:pt>
                <c:pt idx="40">
                  <c:v>42.585210000000025</c:v>
                </c:pt>
                <c:pt idx="41">
                  <c:v>42.585210000000025</c:v>
                </c:pt>
                <c:pt idx="42">
                  <c:v>42.585210000000025</c:v>
                </c:pt>
                <c:pt idx="43">
                  <c:v>42.585210000000025</c:v>
                </c:pt>
                <c:pt idx="44">
                  <c:v>42.585210000000025</c:v>
                </c:pt>
                <c:pt idx="45">
                  <c:v>42.585210000000025</c:v>
                </c:pt>
                <c:pt idx="46">
                  <c:v>42.585210000000025</c:v>
                </c:pt>
                <c:pt idx="47">
                  <c:v>42.585210000000025</c:v>
                </c:pt>
                <c:pt idx="48">
                  <c:v>42.585210000000025</c:v>
                </c:pt>
                <c:pt idx="49">
                  <c:v>42.585210000000025</c:v>
                </c:pt>
                <c:pt idx="50">
                  <c:v>42.585210000000025</c:v>
                </c:pt>
                <c:pt idx="51">
                  <c:v>42.585210000000025</c:v>
                </c:pt>
                <c:pt idx="52">
                  <c:v>42.585210000000025</c:v>
                </c:pt>
                <c:pt idx="53">
                  <c:v>42.585210000000025</c:v>
                </c:pt>
                <c:pt idx="54">
                  <c:v>42.585210000000025</c:v>
                </c:pt>
                <c:pt idx="55">
                  <c:v>42.585210000000025</c:v>
                </c:pt>
                <c:pt idx="56">
                  <c:v>42.585210000000025</c:v>
                </c:pt>
                <c:pt idx="57">
                  <c:v>42.585210000000025</c:v>
                </c:pt>
                <c:pt idx="58">
                  <c:v>42.585210000000025</c:v>
                </c:pt>
                <c:pt idx="59">
                  <c:v>42.585210000000025</c:v>
                </c:pt>
                <c:pt idx="60">
                  <c:v>42.585210000000025</c:v>
                </c:pt>
                <c:pt idx="61">
                  <c:v>42.585210000000025</c:v>
                </c:pt>
                <c:pt idx="62">
                  <c:v>42.585210000000025</c:v>
                </c:pt>
                <c:pt idx="63">
                  <c:v>42.585210000000025</c:v>
                </c:pt>
                <c:pt idx="64">
                  <c:v>42.585210000000025</c:v>
                </c:pt>
                <c:pt idx="65">
                  <c:v>42.585210000000025</c:v>
                </c:pt>
                <c:pt idx="66">
                  <c:v>42.585210000000025</c:v>
                </c:pt>
                <c:pt idx="67">
                  <c:v>42.585210000000025</c:v>
                </c:pt>
                <c:pt idx="68">
                  <c:v>42.585210000000025</c:v>
                </c:pt>
                <c:pt idx="69">
                  <c:v>42.585210000000025</c:v>
                </c:pt>
                <c:pt idx="70">
                  <c:v>42.585210000000025</c:v>
                </c:pt>
                <c:pt idx="71">
                  <c:v>42.585210000000025</c:v>
                </c:pt>
                <c:pt idx="72">
                  <c:v>42.585210000000025</c:v>
                </c:pt>
                <c:pt idx="73">
                  <c:v>42.585210000000025</c:v>
                </c:pt>
                <c:pt idx="74">
                  <c:v>42.585210000000025</c:v>
                </c:pt>
                <c:pt idx="75">
                  <c:v>42.585210000000025</c:v>
                </c:pt>
                <c:pt idx="76">
                  <c:v>42.585210000000025</c:v>
                </c:pt>
                <c:pt idx="77">
                  <c:v>42.585210000000025</c:v>
                </c:pt>
                <c:pt idx="78">
                  <c:v>42.585210000000025</c:v>
                </c:pt>
                <c:pt idx="79">
                  <c:v>42.585210000000025</c:v>
                </c:pt>
                <c:pt idx="80">
                  <c:v>42.585210000000025</c:v>
                </c:pt>
                <c:pt idx="81">
                  <c:v>42.585210000000025</c:v>
                </c:pt>
                <c:pt idx="82">
                  <c:v>42.585210000000025</c:v>
                </c:pt>
                <c:pt idx="83">
                  <c:v>42.585210000000025</c:v>
                </c:pt>
                <c:pt idx="84">
                  <c:v>42.585210000000025</c:v>
                </c:pt>
                <c:pt idx="85">
                  <c:v>42.585210000000025</c:v>
                </c:pt>
                <c:pt idx="86">
                  <c:v>42.585210000000025</c:v>
                </c:pt>
                <c:pt idx="87">
                  <c:v>42.585210000000025</c:v>
                </c:pt>
                <c:pt idx="88">
                  <c:v>42.585210000000025</c:v>
                </c:pt>
                <c:pt idx="89">
                  <c:v>42.585210000000025</c:v>
                </c:pt>
                <c:pt idx="90">
                  <c:v>42.585210000000025</c:v>
                </c:pt>
                <c:pt idx="91">
                  <c:v>42.585210000000025</c:v>
                </c:pt>
                <c:pt idx="92">
                  <c:v>42.585210000000025</c:v>
                </c:pt>
                <c:pt idx="93">
                  <c:v>42.585210000000025</c:v>
                </c:pt>
                <c:pt idx="94">
                  <c:v>42.585210000000025</c:v>
                </c:pt>
                <c:pt idx="95">
                  <c:v>42.585210000000025</c:v>
                </c:pt>
                <c:pt idx="96">
                  <c:v>42.585210000000025</c:v>
                </c:pt>
                <c:pt idx="97">
                  <c:v>42.585210000000025</c:v>
                </c:pt>
                <c:pt idx="98">
                  <c:v>42.585210000000025</c:v>
                </c:pt>
                <c:pt idx="99">
                  <c:v>42.585210000000025</c:v>
                </c:pt>
                <c:pt idx="100">
                  <c:v>42.585210000000025</c:v>
                </c:pt>
                <c:pt idx="101">
                  <c:v>42.585210000000025</c:v>
                </c:pt>
                <c:pt idx="102">
                  <c:v>42.585210000000025</c:v>
                </c:pt>
                <c:pt idx="103">
                  <c:v>42.585210000000025</c:v>
                </c:pt>
                <c:pt idx="104">
                  <c:v>42.585210000000025</c:v>
                </c:pt>
                <c:pt idx="105">
                  <c:v>42.585210000000025</c:v>
                </c:pt>
                <c:pt idx="106">
                  <c:v>42.585210000000025</c:v>
                </c:pt>
                <c:pt idx="107">
                  <c:v>42.585210000000025</c:v>
                </c:pt>
                <c:pt idx="108">
                  <c:v>42.585210000000025</c:v>
                </c:pt>
                <c:pt idx="109">
                  <c:v>42.585210000000025</c:v>
                </c:pt>
                <c:pt idx="110">
                  <c:v>42.585210000000025</c:v>
                </c:pt>
                <c:pt idx="111">
                  <c:v>42.585210000000025</c:v>
                </c:pt>
                <c:pt idx="112">
                  <c:v>42.585210000000025</c:v>
                </c:pt>
                <c:pt idx="113">
                  <c:v>42.585210000000025</c:v>
                </c:pt>
                <c:pt idx="114">
                  <c:v>42.585210000000025</c:v>
                </c:pt>
                <c:pt idx="115">
                  <c:v>42.585210000000025</c:v>
                </c:pt>
                <c:pt idx="116">
                  <c:v>42.585210000000025</c:v>
                </c:pt>
                <c:pt idx="117">
                  <c:v>42.585210000000025</c:v>
                </c:pt>
                <c:pt idx="118">
                  <c:v>42.585210000000025</c:v>
                </c:pt>
                <c:pt idx="119">
                  <c:v>42.585210000000025</c:v>
                </c:pt>
                <c:pt idx="120">
                  <c:v>42.585210000000025</c:v>
                </c:pt>
                <c:pt idx="121">
                  <c:v>42.585210000000025</c:v>
                </c:pt>
                <c:pt idx="122">
                  <c:v>42.585210000000025</c:v>
                </c:pt>
                <c:pt idx="123">
                  <c:v>42.585210000000025</c:v>
                </c:pt>
                <c:pt idx="124">
                  <c:v>42.585210000000025</c:v>
                </c:pt>
                <c:pt idx="125">
                  <c:v>42.585210000000025</c:v>
                </c:pt>
                <c:pt idx="126">
                  <c:v>42.585210000000025</c:v>
                </c:pt>
                <c:pt idx="127">
                  <c:v>42.585210000000025</c:v>
                </c:pt>
                <c:pt idx="128">
                  <c:v>42.585210000000025</c:v>
                </c:pt>
                <c:pt idx="129">
                  <c:v>42.585210000000025</c:v>
                </c:pt>
                <c:pt idx="130">
                  <c:v>42.585210000000025</c:v>
                </c:pt>
                <c:pt idx="131">
                  <c:v>42.585210000000025</c:v>
                </c:pt>
                <c:pt idx="132">
                  <c:v>42.585210000000025</c:v>
                </c:pt>
                <c:pt idx="133">
                  <c:v>42.585210000000025</c:v>
                </c:pt>
                <c:pt idx="134">
                  <c:v>42.585210000000025</c:v>
                </c:pt>
                <c:pt idx="135">
                  <c:v>42.585210000000025</c:v>
                </c:pt>
                <c:pt idx="136">
                  <c:v>42.585210000000025</c:v>
                </c:pt>
                <c:pt idx="137">
                  <c:v>42.585210000000025</c:v>
                </c:pt>
                <c:pt idx="138">
                  <c:v>42.585210000000025</c:v>
                </c:pt>
                <c:pt idx="139">
                  <c:v>42.585210000000025</c:v>
                </c:pt>
                <c:pt idx="140">
                  <c:v>42.585210000000025</c:v>
                </c:pt>
                <c:pt idx="141">
                  <c:v>42.585210000000025</c:v>
                </c:pt>
                <c:pt idx="142">
                  <c:v>42.585210000000025</c:v>
                </c:pt>
                <c:pt idx="143">
                  <c:v>42.585210000000025</c:v>
                </c:pt>
                <c:pt idx="144">
                  <c:v>42.585210000000025</c:v>
                </c:pt>
                <c:pt idx="145">
                  <c:v>42.585210000000025</c:v>
                </c:pt>
                <c:pt idx="146">
                  <c:v>42.585210000000025</c:v>
                </c:pt>
                <c:pt idx="147">
                  <c:v>42.585210000000025</c:v>
                </c:pt>
                <c:pt idx="148">
                  <c:v>42.585210000000025</c:v>
                </c:pt>
                <c:pt idx="149">
                  <c:v>42.585210000000025</c:v>
                </c:pt>
                <c:pt idx="150">
                  <c:v>42.585210000000025</c:v>
                </c:pt>
                <c:pt idx="151">
                  <c:v>42.585210000000025</c:v>
                </c:pt>
                <c:pt idx="152">
                  <c:v>42.585210000000025</c:v>
                </c:pt>
                <c:pt idx="153">
                  <c:v>42.585210000000025</c:v>
                </c:pt>
                <c:pt idx="154">
                  <c:v>42.585210000000025</c:v>
                </c:pt>
                <c:pt idx="155">
                  <c:v>42.585210000000025</c:v>
                </c:pt>
                <c:pt idx="156">
                  <c:v>42.585210000000025</c:v>
                </c:pt>
                <c:pt idx="157">
                  <c:v>42.585210000000025</c:v>
                </c:pt>
                <c:pt idx="158">
                  <c:v>42.585210000000025</c:v>
                </c:pt>
                <c:pt idx="159">
                  <c:v>42.585210000000025</c:v>
                </c:pt>
                <c:pt idx="160">
                  <c:v>42.585210000000025</c:v>
                </c:pt>
                <c:pt idx="161">
                  <c:v>42.585210000000025</c:v>
                </c:pt>
                <c:pt idx="162">
                  <c:v>42.585210000000025</c:v>
                </c:pt>
                <c:pt idx="163">
                  <c:v>42.585210000000025</c:v>
                </c:pt>
                <c:pt idx="164">
                  <c:v>42.585210000000025</c:v>
                </c:pt>
                <c:pt idx="165">
                  <c:v>42.585210000000025</c:v>
                </c:pt>
                <c:pt idx="166">
                  <c:v>42.585210000000025</c:v>
                </c:pt>
                <c:pt idx="167">
                  <c:v>42.585210000000025</c:v>
                </c:pt>
                <c:pt idx="168">
                  <c:v>42.585210000000025</c:v>
                </c:pt>
                <c:pt idx="169">
                  <c:v>42.585210000000025</c:v>
                </c:pt>
                <c:pt idx="170">
                  <c:v>42.585210000000025</c:v>
                </c:pt>
                <c:pt idx="171">
                  <c:v>42.585210000000025</c:v>
                </c:pt>
                <c:pt idx="172">
                  <c:v>42.585210000000025</c:v>
                </c:pt>
                <c:pt idx="173">
                  <c:v>42.585210000000025</c:v>
                </c:pt>
                <c:pt idx="174">
                  <c:v>42.585210000000025</c:v>
                </c:pt>
                <c:pt idx="175">
                  <c:v>42.585210000000025</c:v>
                </c:pt>
                <c:pt idx="176">
                  <c:v>42.585210000000025</c:v>
                </c:pt>
                <c:pt idx="177">
                  <c:v>42.585210000000025</c:v>
                </c:pt>
                <c:pt idx="178">
                  <c:v>42.585210000000025</c:v>
                </c:pt>
                <c:pt idx="179">
                  <c:v>42.585210000000025</c:v>
                </c:pt>
                <c:pt idx="180">
                  <c:v>42.585210000000025</c:v>
                </c:pt>
                <c:pt idx="181">
                  <c:v>42.585210000000025</c:v>
                </c:pt>
                <c:pt idx="182">
                  <c:v>42.585210000000025</c:v>
                </c:pt>
                <c:pt idx="183">
                  <c:v>42.585210000000025</c:v>
                </c:pt>
                <c:pt idx="184">
                  <c:v>42.585210000000025</c:v>
                </c:pt>
                <c:pt idx="185">
                  <c:v>42.585210000000025</c:v>
                </c:pt>
                <c:pt idx="186">
                  <c:v>42.585210000000025</c:v>
                </c:pt>
                <c:pt idx="187">
                  <c:v>42.585210000000025</c:v>
                </c:pt>
                <c:pt idx="188">
                  <c:v>42.585210000000025</c:v>
                </c:pt>
                <c:pt idx="189">
                  <c:v>42.585210000000025</c:v>
                </c:pt>
                <c:pt idx="190">
                  <c:v>42.585210000000025</c:v>
                </c:pt>
                <c:pt idx="191">
                  <c:v>42.585210000000025</c:v>
                </c:pt>
                <c:pt idx="192">
                  <c:v>42.585210000000025</c:v>
                </c:pt>
                <c:pt idx="193">
                  <c:v>42.585210000000025</c:v>
                </c:pt>
                <c:pt idx="194">
                  <c:v>42.585210000000025</c:v>
                </c:pt>
                <c:pt idx="195">
                  <c:v>42.585210000000025</c:v>
                </c:pt>
                <c:pt idx="196">
                  <c:v>42.585210000000025</c:v>
                </c:pt>
                <c:pt idx="197">
                  <c:v>42.585210000000025</c:v>
                </c:pt>
                <c:pt idx="198">
                  <c:v>42.585210000000025</c:v>
                </c:pt>
                <c:pt idx="199">
                  <c:v>42.585210000000025</c:v>
                </c:pt>
                <c:pt idx="200">
                  <c:v>42.585210000000025</c:v>
                </c:pt>
                <c:pt idx="201">
                  <c:v>42.585210000000025</c:v>
                </c:pt>
                <c:pt idx="202">
                  <c:v>42.585210000000025</c:v>
                </c:pt>
                <c:pt idx="203">
                  <c:v>42.585210000000025</c:v>
                </c:pt>
                <c:pt idx="204">
                  <c:v>42.585210000000025</c:v>
                </c:pt>
                <c:pt idx="205">
                  <c:v>42.585210000000025</c:v>
                </c:pt>
                <c:pt idx="206">
                  <c:v>42.585210000000025</c:v>
                </c:pt>
                <c:pt idx="207">
                  <c:v>42.585210000000025</c:v>
                </c:pt>
                <c:pt idx="208">
                  <c:v>42.585210000000025</c:v>
                </c:pt>
                <c:pt idx="209">
                  <c:v>42.585210000000025</c:v>
                </c:pt>
                <c:pt idx="210">
                  <c:v>42.585210000000025</c:v>
                </c:pt>
                <c:pt idx="211">
                  <c:v>42.585210000000025</c:v>
                </c:pt>
                <c:pt idx="212">
                  <c:v>42.585210000000025</c:v>
                </c:pt>
                <c:pt idx="213">
                  <c:v>42.585210000000025</c:v>
                </c:pt>
                <c:pt idx="214">
                  <c:v>42.585210000000025</c:v>
                </c:pt>
                <c:pt idx="215">
                  <c:v>42.585210000000025</c:v>
                </c:pt>
                <c:pt idx="216">
                  <c:v>42.585210000000025</c:v>
                </c:pt>
                <c:pt idx="217">
                  <c:v>42.585210000000025</c:v>
                </c:pt>
                <c:pt idx="218">
                  <c:v>42.585210000000025</c:v>
                </c:pt>
                <c:pt idx="219">
                  <c:v>42.585210000000025</c:v>
                </c:pt>
                <c:pt idx="220">
                  <c:v>42.585210000000025</c:v>
                </c:pt>
                <c:pt idx="221">
                  <c:v>42.585210000000025</c:v>
                </c:pt>
                <c:pt idx="222">
                  <c:v>42.585210000000025</c:v>
                </c:pt>
                <c:pt idx="223">
                  <c:v>42.585210000000025</c:v>
                </c:pt>
                <c:pt idx="224">
                  <c:v>42.585210000000025</c:v>
                </c:pt>
                <c:pt idx="225">
                  <c:v>42.585210000000025</c:v>
                </c:pt>
                <c:pt idx="226">
                  <c:v>42.585210000000025</c:v>
                </c:pt>
                <c:pt idx="227">
                  <c:v>42.585210000000025</c:v>
                </c:pt>
                <c:pt idx="228">
                  <c:v>42.585210000000025</c:v>
                </c:pt>
                <c:pt idx="229">
                  <c:v>42.585210000000025</c:v>
                </c:pt>
                <c:pt idx="230">
                  <c:v>42.585210000000025</c:v>
                </c:pt>
                <c:pt idx="231">
                  <c:v>42.585210000000025</c:v>
                </c:pt>
                <c:pt idx="232">
                  <c:v>42.585210000000025</c:v>
                </c:pt>
                <c:pt idx="233">
                  <c:v>42.585210000000025</c:v>
                </c:pt>
                <c:pt idx="234">
                  <c:v>42.585210000000025</c:v>
                </c:pt>
                <c:pt idx="235">
                  <c:v>42.585210000000025</c:v>
                </c:pt>
                <c:pt idx="236">
                  <c:v>42.585210000000025</c:v>
                </c:pt>
                <c:pt idx="237">
                  <c:v>42.585210000000025</c:v>
                </c:pt>
                <c:pt idx="238">
                  <c:v>42.585210000000025</c:v>
                </c:pt>
                <c:pt idx="239">
                  <c:v>42.585210000000025</c:v>
                </c:pt>
                <c:pt idx="240">
                  <c:v>42.585210000000025</c:v>
                </c:pt>
                <c:pt idx="241">
                  <c:v>42.585210000000025</c:v>
                </c:pt>
                <c:pt idx="242">
                  <c:v>42.585210000000025</c:v>
                </c:pt>
                <c:pt idx="243">
                  <c:v>42.585210000000025</c:v>
                </c:pt>
                <c:pt idx="244">
                  <c:v>42.585210000000025</c:v>
                </c:pt>
                <c:pt idx="245">
                  <c:v>42.585210000000025</c:v>
                </c:pt>
                <c:pt idx="246">
                  <c:v>42.585210000000025</c:v>
                </c:pt>
                <c:pt idx="247">
                  <c:v>42.585210000000025</c:v>
                </c:pt>
                <c:pt idx="248">
                  <c:v>42.585210000000025</c:v>
                </c:pt>
                <c:pt idx="249">
                  <c:v>42.585210000000025</c:v>
                </c:pt>
                <c:pt idx="250">
                  <c:v>42.585210000000025</c:v>
                </c:pt>
                <c:pt idx="251">
                  <c:v>42.585210000000025</c:v>
                </c:pt>
                <c:pt idx="252">
                  <c:v>42.585210000000025</c:v>
                </c:pt>
                <c:pt idx="253">
                  <c:v>42.585210000000025</c:v>
                </c:pt>
                <c:pt idx="254">
                  <c:v>42.585210000000025</c:v>
                </c:pt>
                <c:pt idx="255">
                  <c:v>42.585210000000025</c:v>
                </c:pt>
                <c:pt idx="256">
                  <c:v>42.585210000000025</c:v>
                </c:pt>
                <c:pt idx="257">
                  <c:v>42.585210000000025</c:v>
                </c:pt>
                <c:pt idx="258">
                  <c:v>42.585210000000025</c:v>
                </c:pt>
                <c:pt idx="259">
                  <c:v>42.585210000000025</c:v>
                </c:pt>
                <c:pt idx="260">
                  <c:v>42.585210000000025</c:v>
                </c:pt>
                <c:pt idx="261">
                  <c:v>42.585210000000025</c:v>
                </c:pt>
                <c:pt idx="262">
                  <c:v>42.585210000000025</c:v>
                </c:pt>
                <c:pt idx="263">
                  <c:v>42.585210000000025</c:v>
                </c:pt>
                <c:pt idx="264">
                  <c:v>42.585210000000025</c:v>
                </c:pt>
                <c:pt idx="265">
                  <c:v>42.585210000000025</c:v>
                </c:pt>
                <c:pt idx="266">
                  <c:v>42.585210000000025</c:v>
                </c:pt>
                <c:pt idx="267">
                  <c:v>42.585210000000025</c:v>
                </c:pt>
                <c:pt idx="268">
                  <c:v>42.585210000000025</c:v>
                </c:pt>
                <c:pt idx="269">
                  <c:v>42.585210000000025</c:v>
                </c:pt>
                <c:pt idx="270">
                  <c:v>42.585210000000025</c:v>
                </c:pt>
                <c:pt idx="271">
                  <c:v>42.585210000000025</c:v>
                </c:pt>
                <c:pt idx="272">
                  <c:v>42.585210000000025</c:v>
                </c:pt>
                <c:pt idx="273">
                  <c:v>42.585210000000025</c:v>
                </c:pt>
                <c:pt idx="274">
                  <c:v>42.585210000000025</c:v>
                </c:pt>
                <c:pt idx="275">
                  <c:v>42.585210000000025</c:v>
                </c:pt>
                <c:pt idx="276">
                  <c:v>42.585210000000025</c:v>
                </c:pt>
                <c:pt idx="277">
                  <c:v>42.585210000000025</c:v>
                </c:pt>
                <c:pt idx="278">
                  <c:v>42.585210000000025</c:v>
                </c:pt>
                <c:pt idx="279">
                  <c:v>42.585210000000025</c:v>
                </c:pt>
                <c:pt idx="280">
                  <c:v>42.585210000000025</c:v>
                </c:pt>
                <c:pt idx="281">
                  <c:v>42.585210000000025</c:v>
                </c:pt>
                <c:pt idx="282">
                  <c:v>42.585210000000025</c:v>
                </c:pt>
                <c:pt idx="283">
                  <c:v>42.585210000000025</c:v>
                </c:pt>
                <c:pt idx="284">
                  <c:v>42.585210000000025</c:v>
                </c:pt>
                <c:pt idx="285">
                  <c:v>42.585210000000025</c:v>
                </c:pt>
                <c:pt idx="286">
                  <c:v>42.585210000000025</c:v>
                </c:pt>
                <c:pt idx="287">
                  <c:v>42.585210000000025</c:v>
                </c:pt>
                <c:pt idx="288">
                  <c:v>42.585210000000025</c:v>
                </c:pt>
                <c:pt idx="289">
                  <c:v>42.585210000000025</c:v>
                </c:pt>
                <c:pt idx="290">
                  <c:v>42.585210000000025</c:v>
                </c:pt>
                <c:pt idx="291">
                  <c:v>42.585210000000025</c:v>
                </c:pt>
                <c:pt idx="292">
                  <c:v>42.585210000000025</c:v>
                </c:pt>
                <c:pt idx="293">
                  <c:v>42.585210000000025</c:v>
                </c:pt>
                <c:pt idx="294">
                  <c:v>42.585210000000025</c:v>
                </c:pt>
                <c:pt idx="295">
                  <c:v>42.585210000000025</c:v>
                </c:pt>
                <c:pt idx="296">
                  <c:v>42.585210000000025</c:v>
                </c:pt>
                <c:pt idx="297">
                  <c:v>42.585210000000025</c:v>
                </c:pt>
                <c:pt idx="298">
                  <c:v>42.585210000000025</c:v>
                </c:pt>
                <c:pt idx="299">
                  <c:v>42.585210000000025</c:v>
                </c:pt>
                <c:pt idx="300">
                  <c:v>42.585210000000025</c:v>
                </c:pt>
                <c:pt idx="301">
                  <c:v>42.585210000000025</c:v>
                </c:pt>
                <c:pt idx="302">
                  <c:v>42.585210000000025</c:v>
                </c:pt>
                <c:pt idx="303">
                  <c:v>42.585210000000025</c:v>
                </c:pt>
                <c:pt idx="304">
                  <c:v>42.585210000000025</c:v>
                </c:pt>
                <c:pt idx="305">
                  <c:v>42.585210000000025</c:v>
                </c:pt>
                <c:pt idx="306">
                  <c:v>42.585210000000025</c:v>
                </c:pt>
                <c:pt idx="307">
                  <c:v>42.585210000000025</c:v>
                </c:pt>
                <c:pt idx="308">
                  <c:v>42.585210000000025</c:v>
                </c:pt>
                <c:pt idx="309">
                  <c:v>42.585210000000025</c:v>
                </c:pt>
                <c:pt idx="310">
                  <c:v>42.585210000000025</c:v>
                </c:pt>
                <c:pt idx="311">
                  <c:v>42.585210000000025</c:v>
                </c:pt>
                <c:pt idx="312">
                  <c:v>42.585210000000025</c:v>
                </c:pt>
                <c:pt idx="313">
                  <c:v>42.585210000000025</c:v>
                </c:pt>
                <c:pt idx="314">
                  <c:v>42.585210000000025</c:v>
                </c:pt>
                <c:pt idx="315">
                  <c:v>42.585210000000025</c:v>
                </c:pt>
                <c:pt idx="316">
                  <c:v>42.585210000000025</c:v>
                </c:pt>
                <c:pt idx="317">
                  <c:v>42.585210000000025</c:v>
                </c:pt>
                <c:pt idx="318">
                  <c:v>42.585210000000025</c:v>
                </c:pt>
                <c:pt idx="319">
                  <c:v>42.585210000000025</c:v>
                </c:pt>
                <c:pt idx="320">
                  <c:v>42.585210000000025</c:v>
                </c:pt>
                <c:pt idx="321">
                  <c:v>42.585210000000025</c:v>
                </c:pt>
                <c:pt idx="322">
                  <c:v>42.585210000000025</c:v>
                </c:pt>
                <c:pt idx="323">
                  <c:v>42.585210000000025</c:v>
                </c:pt>
                <c:pt idx="324">
                  <c:v>42.585210000000025</c:v>
                </c:pt>
                <c:pt idx="325">
                  <c:v>42.585210000000025</c:v>
                </c:pt>
                <c:pt idx="326">
                  <c:v>42.585210000000025</c:v>
                </c:pt>
                <c:pt idx="327">
                  <c:v>42.585210000000025</c:v>
                </c:pt>
                <c:pt idx="328">
                  <c:v>42.585210000000025</c:v>
                </c:pt>
                <c:pt idx="329">
                  <c:v>42.585210000000025</c:v>
                </c:pt>
                <c:pt idx="330">
                  <c:v>42.585210000000025</c:v>
                </c:pt>
                <c:pt idx="331">
                  <c:v>42.585210000000025</c:v>
                </c:pt>
                <c:pt idx="332">
                  <c:v>42.585210000000025</c:v>
                </c:pt>
                <c:pt idx="333">
                  <c:v>42.585210000000025</c:v>
                </c:pt>
                <c:pt idx="334">
                  <c:v>42.585210000000025</c:v>
                </c:pt>
                <c:pt idx="335">
                  <c:v>42.585210000000025</c:v>
                </c:pt>
                <c:pt idx="336">
                  <c:v>42.585210000000025</c:v>
                </c:pt>
                <c:pt idx="337">
                  <c:v>42.585210000000025</c:v>
                </c:pt>
                <c:pt idx="338">
                  <c:v>42.585210000000025</c:v>
                </c:pt>
                <c:pt idx="339">
                  <c:v>42.585210000000025</c:v>
                </c:pt>
                <c:pt idx="340">
                  <c:v>42.585210000000025</c:v>
                </c:pt>
                <c:pt idx="341">
                  <c:v>42.585210000000025</c:v>
                </c:pt>
                <c:pt idx="342">
                  <c:v>42.585210000000025</c:v>
                </c:pt>
                <c:pt idx="343">
                  <c:v>42.585210000000025</c:v>
                </c:pt>
                <c:pt idx="344">
                  <c:v>42.585210000000025</c:v>
                </c:pt>
                <c:pt idx="345">
                  <c:v>42.585210000000025</c:v>
                </c:pt>
                <c:pt idx="346">
                  <c:v>42.585210000000025</c:v>
                </c:pt>
                <c:pt idx="347">
                  <c:v>42.585210000000025</c:v>
                </c:pt>
                <c:pt idx="348">
                  <c:v>42.585210000000025</c:v>
                </c:pt>
                <c:pt idx="349">
                  <c:v>42.585210000000025</c:v>
                </c:pt>
                <c:pt idx="350">
                  <c:v>42.585210000000025</c:v>
                </c:pt>
                <c:pt idx="351">
                  <c:v>42.585210000000025</c:v>
                </c:pt>
                <c:pt idx="352">
                  <c:v>42.585210000000025</c:v>
                </c:pt>
                <c:pt idx="353">
                  <c:v>42.585210000000025</c:v>
                </c:pt>
                <c:pt idx="354">
                  <c:v>42.585210000000025</c:v>
                </c:pt>
                <c:pt idx="355">
                  <c:v>42.585210000000025</c:v>
                </c:pt>
                <c:pt idx="356">
                  <c:v>42.585210000000025</c:v>
                </c:pt>
                <c:pt idx="357">
                  <c:v>42.585210000000025</c:v>
                </c:pt>
                <c:pt idx="358">
                  <c:v>42.585210000000025</c:v>
                </c:pt>
                <c:pt idx="359">
                  <c:v>42.585210000000025</c:v>
                </c:pt>
                <c:pt idx="360">
                  <c:v>42.585210000000025</c:v>
                </c:pt>
                <c:pt idx="361">
                  <c:v>42.585210000000025</c:v>
                </c:pt>
                <c:pt idx="362">
                  <c:v>42.585210000000025</c:v>
                </c:pt>
                <c:pt idx="363">
                  <c:v>42.585210000000025</c:v>
                </c:pt>
                <c:pt idx="364">
                  <c:v>42.585210000000025</c:v>
                </c:pt>
                <c:pt idx="365">
                  <c:v>42.585210000000025</c:v>
                </c:pt>
                <c:pt idx="366">
                  <c:v>42.585210000000025</c:v>
                </c:pt>
                <c:pt idx="367">
                  <c:v>42.585210000000025</c:v>
                </c:pt>
                <c:pt idx="368">
                  <c:v>42.585210000000025</c:v>
                </c:pt>
                <c:pt idx="369">
                  <c:v>42.585210000000025</c:v>
                </c:pt>
                <c:pt idx="370">
                  <c:v>42.585210000000025</c:v>
                </c:pt>
                <c:pt idx="371">
                  <c:v>42.585210000000025</c:v>
                </c:pt>
                <c:pt idx="372">
                  <c:v>42.585210000000025</c:v>
                </c:pt>
                <c:pt idx="373">
                  <c:v>42.585210000000025</c:v>
                </c:pt>
                <c:pt idx="374">
                  <c:v>42.585210000000025</c:v>
                </c:pt>
                <c:pt idx="375">
                  <c:v>42.585210000000025</c:v>
                </c:pt>
                <c:pt idx="376">
                  <c:v>42.585210000000025</c:v>
                </c:pt>
                <c:pt idx="377">
                  <c:v>42.585210000000025</c:v>
                </c:pt>
                <c:pt idx="378">
                  <c:v>42.585210000000025</c:v>
                </c:pt>
                <c:pt idx="379">
                  <c:v>42.585210000000025</c:v>
                </c:pt>
                <c:pt idx="380">
                  <c:v>42.585210000000025</c:v>
                </c:pt>
                <c:pt idx="381">
                  <c:v>42.585210000000025</c:v>
                </c:pt>
                <c:pt idx="382">
                  <c:v>42.585210000000025</c:v>
                </c:pt>
                <c:pt idx="383">
                  <c:v>42.585210000000025</c:v>
                </c:pt>
                <c:pt idx="384">
                  <c:v>42.585210000000025</c:v>
                </c:pt>
                <c:pt idx="385">
                  <c:v>42.585210000000025</c:v>
                </c:pt>
                <c:pt idx="386">
                  <c:v>42.585210000000025</c:v>
                </c:pt>
                <c:pt idx="387">
                  <c:v>42.585210000000025</c:v>
                </c:pt>
                <c:pt idx="388">
                  <c:v>42.585210000000025</c:v>
                </c:pt>
                <c:pt idx="389">
                  <c:v>42.585210000000025</c:v>
                </c:pt>
                <c:pt idx="390">
                  <c:v>42.585210000000025</c:v>
                </c:pt>
                <c:pt idx="391">
                  <c:v>42.585210000000025</c:v>
                </c:pt>
                <c:pt idx="392">
                  <c:v>42.585210000000025</c:v>
                </c:pt>
                <c:pt idx="393">
                  <c:v>42.585210000000025</c:v>
                </c:pt>
                <c:pt idx="394">
                  <c:v>42.585210000000025</c:v>
                </c:pt>
                <c:pt idx="395">
                  <c:v>42.585210000000025</c:v>
                </c:pt>
                <c:pt idx="396">
                  <c:v>42.585210000000025</c:v>
                </c:pt>
                <c:pt idx="397">
                  <c:v>42.585210000000025</c:v>
                </c:pt>
                <c:pt idx="398">
                  <c:v>42.585210000000025</c:v>
                </c:pt>
                <c:pt idx="399">
                  <c:v>42.585210000000025</c:v>
                </c:pt>
                <c:pt idx="400">
                  <c:v>42.585210000000025</c:v>
                </c:pt>
                <c:pt idx="401">
                  <c:v>42.585210000000025</c:v>
                </c:pt>
                <c:pt idx="402">
                  <c:v>42.585210000000025</c:v>
                </c:pt>
                <c:pt idx="403">
                  <c:v>42.585210000000025</c:v>
                </c:pt>
                <c:pt idx="404">
                  <c:v>42.585210000000025</c:v>
                </c:pt>
                <c:pt idx="405">
                  <c:v>42.585210000000025</c:v>
                </c:pt>
                <c:pt idx="406">
                  <c:v>42.585210000000025</c:v>
                </c:pt>
                <c:pt idx="407">
                  <c:v>42.585210000000025</c:v>
                </c:pt>
                <c:pt idx="408">
                  <c:v>42.585210000000025</c:v>
                </c:pt>
                <c:pt idx="409">
                  <c:v>42.585210000000025</c:v>
                </c:pt>
                <c:pt idx="410">
                  <c:v>42.585210000000025</c:v>
                </c:pt>
                <c:pt idx="411">
                  <c:v>42.585210000000025</c:v>
                </c:pt>
                <c:pt idx="412">
                  <c:v>42.585210000000025</c:v>
                </c:pt>
                <c:pt idx="413">
                  <c:v>42.585210000000025</c:v>
                </c:pt>
                <c:pt idx="414">
                  <c:v>42.585210000000025</c:v>
                </c:pt>
                <c:pt idx="415">
                  <c:v>42.585210000000025</c:v>
                </c:pt>
                <c:pt idx="416">
                  <c:v>42.585210000000025</c:v>
                </c:pt>
                <c:pt idx="417">
                  <c:v>42.585210000000025</c:v>
                </c:pt>
                <c:pt idx="418">
                  <c:v>42.585210000000025</c:v>
                </c:pt>
                <c:pt idx="419">
                  <c:v>42.585210000000025</c:v>
                </c:pt>
                <c:pt idx="420">
                  <c:v>42.585210000000025</c:v>
                </c:pt>
                <c:pt idx="421">
                  <c:v>42.585210000000025</c:v>
                </c:pt>
                <c:pt idx="422">
                  <c:v>42.585210000000025</c:v>
                </c:pt>
                <c:pt idx="423">
                  <c:v>42.585210000000025</c:v>
                </c:pt>
                <c:pt idx="424">
                  <c:v>42.585210000000025</c:v>
                </c:pt>
                <c:pt idx="425">
                  <c:v>42.585210000000025</c:v>
                </c:pt>
                <c:pt idx="426">
                  <c:v>42.585210000000025</c:v>
                </c:pt>
                <c:pt idx="427">
                  <c:v>42.585210000000025</c:v>
                </c:pt>
                <c:pt idx="428">
                  <c:v>42.585210000000025</c:v>
                </c:pt>
                <c:pt idx="429">
                  <c:v>42.585210000000025</c:v>
                </c:pt>
                <c:pt idx="430">
                  <c:v>42.585210000000025</c:v>
                </c:pt>
                <c:pt idx="431">
                  <c:v>42.585210000000025</c:v>
                </c:pt>
                <c:pt idx="432">
                  <c:v>42.585210000000025</c:v>
                </c:pt>
                <c:pt idx="433">
                  <c:v>42.585210000000025</c:v>
                </c:pt>
                <c:pt idx="434">
                  <c:v>42.585210000000025</c:v>
                </c:pt>
                <c:pt idx="435">
                  <c:v>42.585210000000025</c:v>
                </c:pt>
                <c:pt idx="436">
                  <c:v>42.585210000000025</c:v>
                </c:pt>
                <c:pt idx="437">
                  <c:v>42.585210000000025</c:v>
                </c:pt>
                <c:pt idx="438">
                  <c:v>42.585210000000025</c:v>
                </c:pt>
                <c:pt idx="439">
                  <c:v>42.585210000000025</c:v>
                </c:pt>
                <c:pt idx="440">
                  <c:v>42.585210000000025</c:v>
                </c:pt>
                <c:pt idx="441">
                  <c:v>42.585210000000025</c:v>
                </c:pt>
                <c:pt idx="442">
                  <c:v>42.585210000000025</c:v>
                </c:pt>
                <c:pt idx="443">
                  <c:v>42.585210000000025</c:v>
                </c:pt>
                <c:pt idx="444">
                  <c:v>42.585210000000025</c:v>
                </c:pt>
                <c:pt idx="445">
                  <c:v>42.585210000000025</c:v>
                </c:pt>
                <c:pt idx="446">
                  <c:v>42.585210000000025</c:v>
                </c:pt>
                <c:pt idx="447">
                  <c:v>42.585210000000025</c:v>
                </c:pt>
                <c:pt idx="448">
                  <c:v>42.585210000000025</c:v>
                </c:pt>
                <c:pt idx="449">
                  <c:v>42.585210000000025</c:v>
                </c:pt>
                <c:pt idx="450">
                  <c:v>42.585210000000025</c:v>
                </c:pt>
                <c:pt idx="451">
                  <c:v>42.585210000000025</c:v>
                </c:pt>
                <c:pt idx="452">
                  <c:v>42.585210000000025</c:v>
                </c:pt>
                <c:pt idx="453">
                  <c:v>42.585210000000025</c:v>
                </c:pt>
                <c:pt idx="454">
                  <c:v>42.585210000000025</c:v>
                </c:pt>
                <c:pt idx="455">
                  <c:v>42.585210000000025</c:v>
                </c:pt>
                <c:pt idx="456">
                  <c:v>42.585210000000025</c:v>
                </c:pt>
                <c:pt idx="457">
                  <c:v>42.585210000000025</c:v>
                </c:pt>
                <c:pt idx="458">
                  <c:v>42.585210000000025</c:v>
                </c:pt>
                <c:pt idx="459">
                  <c:v>42.585210000000025</c:v>
                </c:pt>
                <c:pt idx="460">
                  <c:v>42.585210000000025</c:v>
                </c:pt>
                <c:pt idx="461">
                  <c:v>42.585210000000025</c:v>
                </c:pt>
                <c:pt idx="462">
                  <c:v>42.585210000000025</c:v>
                </c:pt>
                <c:pt idx="463">
                  <c:v>42.585210000000025</c:v>
                </c:pt>
                <c:pt idx="464">
                  <c:v>42.585210000000025</c:v>
                </c:pt>
                <c:pt idx="465">
                  <c:v>42.585210000000025</c:v>
                </c:pt>
                <c:pt idx="466">
                  <c:v>42.585210000000025</c:v>
                </c:pt>
                <c:pt idx="467">
                  <c:v>42.585210000000025</c:v>
                </c:pt>
                <c:pt idx="468">
                  <c:v>42.585210000000025</c:v>
                </c:pt>
                <c:pt idx="469">
                  <c:v>42.585210000000025</c:v>
                </c:pt>
                <c:pt idx="470">
                  <c:v>42.585210000000025</c:v>
                </c:pt>
                <c:pt idx="471">
                  <c:v>42.585210000000025</c:v>
                </c:pt>
                <c:pt idx="472">
                  <c:v>42.585210000000025</c:v>
                </c:pt>
                <c:pt idx="473">
                  <c:v>42.585210000000025</c:v>
                </c:pt>
                <c:pt idx="474">
                  <c:v>42.585210000000025</c:v>
                </c:pt>
                <c:pt idx="475">
                  <c:v>42.585210000000025</c:v>
                </c:pt>
                <c:pt idx="476">
                  <c:v>42.585210000000025</c:v>
                </c:pt>
                <c:pt idx="477">
                  <c:v>42.585210000000025</c:v>
                </c:pt>
                <c:pt idx="478">
                  <c:v>42.585210000000025</c:v>
                </c:pt>
                <c:pt idx="479">
                  <c:v>42.585210000000025</c:v>
                </c:pt>
                <c:pt idx="480">
                  <c:v>42.585210000000025</c:v>
                </c:pt>
                <c:pt idx="481">
                  <c:v>42.585210000000025</c:v>
                </c:pt>
                <c:pt idx="482">
                  <c:v>42.585210000000025</c:v>
                </c:pt>
                <c:pt idx="483">
                  <c:v>42.585210000000025</c:v>
                </c:pt>
                <c:pt idx="484">
                  <c:v>42.585210000000025</c:v>
                </c:pt>
                <c:pt idx="485">
                  <c:v>42.585210000000025</c:v>
                </c:pt>
                <c:pt idx="486">
                  <c:v>42.585210000000025</c:v>
                </c:pt>
                <c:pt idx="487">
                  <c:v>42.585210000000025</c:v>
                </c:pt>
                <c:pt idx="488">
                  <c:v>42.585210000000025</c:v>
                </c:pt>
                <c:pt idx="489">
                  <c:v>42.585210000000025</c:v>
                </c:pt>
                <c:pt idx="490">
                  <c:v>42.585210000000025</c:v>
                </c:pt>
                <c:pt idx="491">
                  <c:v>42.585210000000025</c:v>
                </c:pt>
                <c:pt idx="492">
                  <c:v>42.585210000000025</c:v>
                </c:pt>
                <c:pt idx="493">
                  <c:v>42.585210000000025</c:v>
                </c:pt>
                <c:pt idx="494">
                  <c:v>42.585210000000025</c:v>
                </c:pt>
                <c:pt idx="495">
                  <c:v>42.585210000000025</c:v>
                </c:pt>
                <c:pt idx="496">
                  <c:v>42.585210000000025</c:v>
                </c:pt>
                <c:pt idx="497">
                  <c:v>42.585210000000025</c:v>
                </c:pt>
                <c:pt idx="498">
                  <c:v>42.585210000000025</c:v>
                </c:pt>
                <c:pt idx="499">
                  <c:v>42.585210000000025</c:v>
                </c:pt>
                <c:pt idx="500">
                  <c:v>42.585210000000025</c:v>
                </c:pt>
                <c:pt idx="501">
                  <c:v>42.585210000000025</c:v>
                </c:pt>
                <c:pt idx="502">
                  <c:v>42.585210000000025</c:v>
                </c:pt>
                <c:pt idx="503">
                  <c:v>42.585210000000025</c:v>
                </c:pt>
                <c:pt idx="504">
                  <c:v>42.585210000000025</c:v>
                </c:pt>
                <c:pt idx="505">
                  <c:v>42.585210000000025</c:v>
                </c:pt>
                <c:pt idx="506">
                  <c:v>42.585210000000025</c:v>
                </c:pt>
                <c:pt idx="507">
                  <c:v>42.585210000000025</c:v>
                </c:pt>
                <c:pt idx="508">
                  <c:v>42.585210000000025</c:v>
                </c:pt>
                <c:pt idx="509">
                  <c:v>42.585210000000025</c:v>
                </c:pt>
                <c:pt idx="510">
                  <c:v>42.585210000000025</c:v>
                </c:pt>
                <c:pt idx="511">
                  <c:v>42.585210000000025</c:v>
                </c:pt>
                <c:pt idx="512">
                  <c:v>42.585210000000025</c:v>
                </c:pt>
                <c:pt idx="513">
                  <c:v>42.585210000000025</c:v>
                </c:pt>
                <c:pt idx="514">
                  <c:v>42.585210000000025</c:v>
                </c:pt>
                <c:pt idx="515">
                  <c:v>42.585210000000025</c:v>
                </c:pt>
                <c:pt idx="516">
                  <c:v>42.585210000000025</c:v>
                </c:pt>
                <c:pt idx="517">
                  <c:v>42.585210000000025</c:v>
                </c:pt>
                <c:pt idx="518">
                  <c:v>42.585210000000025</c:v>
                </c:pt>
                <c:pt idx="519">
                  <c:v>42.585210000000025</c:v>
                </c:pt>
                <c:pt idx="520">
                  <c:v>42.585210000000025</c:v>
                </c:pt>
                <c:pt idx="521">
                  <c:v>42.585210000000025</c:v>
                </c:pt>
                <c:pt idx="522">
                  <c:v>42.585210000000025</c:v>
                </c:pt>
                <c:pt idx="523">
                  <c:v>42.585210000000025</c:v>
                </c:pt>
                <c:pt idx="524">
                  <c:v>42.585210000000025</c:v>
                </c:pt>
                <c:pt idx="525">
                  <c:v>42.585210000000025</c:v>
                </c:pt>
                <c:pt idx="526">
                  <c:v>42.585210000000025</c:v>
                </c:pt>
                <c:pt idx="527">
                  <c:v>42.585210000000025</c:v>
                </c:pt>
                <c:pt idx="528">
                  <c:v>42.585210000000025</c:v>
                </c:pt>
                <c:pt idx="529">
                  <c:v>42.585210000000025</c:v>
                </c:pt>
                <c:pt idx="530">
                  <c:v>42.585210000000025</c:v>
                </c:pt>
                <c:pt idx="531">
                  <c:v>42.585210000000025</c:v>
                </c:pt>
                <c:pt idx="532">
                  <c:v>42.585210000000025</c:v>
                </c:pt>
                <c:pt idx="533">
                  <c:v>42.585210000000025</c:v>
                </c:pt>
                <c:pt idx="534">
                  <c:v>42.585210000000025</c:v>
                </c:pt>
                <c:pt idx="535">
                  <c:v>42.585210000000025</c:v>
                </c:pt>
                <c:pt idx="536">
                  <c:v>42.585210000000025</c:v>
                </c:pt>
                <c:pt idx="537">
                  <c:v>42.585210000000025</c:v>
                </c:pt>
                <c:pt idx="538">
                  <c:v>42.585210000000025</c:v>
                </c:pt>
                <c:pt idx="539">
                  <c:v>42.585210000000025</c:v>
                </c:pt>
                <c:pt idx="540">
                  <c:v>42.585210000000025</c:v>
                </c:pt>
                <c:pt idx="541">
                  <c:v>42.585210000000025</c:v>
                </c:pt>
                <c:pt idx="542">
                  <c:v>42.585210000000025</c:v>
                </c:pt>
                <c:pt idx="543">
                  <c:v>42.585210000000025</c:v>
                </c:pt>
                <c:pt idx="544">
                  <c:v>42.585210000000025</c:v>
                </c:pt>
                <c:pt idx="545">
                  <c:v>42.585210000000025</c:v>
                </c:pt>
                <c:pt idx="546">
                  <c:v>42.585210000000025</c:v>
                </c:pt>
                <c:pt idx="547">
                  <c:v>42.585210000000025</c:v>
                </c:pt>
                <c:pt idx="548">
                  <c:v>42.585210000000025</c:v>
                </c:pt>
                <c:pt idx="549">
                  <c:v>42.585210000000025</c:v>
                </c:pt>
                <c:pt idx="550">
                  <c:v>42.585210000000025</c:v>
                </c:pt>
                <c:pt idx="551">
                  <c:v>42.585210000000025</c:v>
                </c:pt>
                <c:pt idx="552">
                  <c:v>42.585210000000025</c:v>
                </c:pt>
                <c:pt idx="553">
                  <c:v>42.585210000000025</c:v>
                </c:pt>
                <c:pt idx="554">
                  <c:v>42.585210000000025</c:v>
                </c:pt>
                <c:pt idx="555">
                  <c:v>42.585210000000025</c:v>
                </c:pt>
                <c:pt idx="556">
                  <c:v>42.585210000000025</c:v>
                </c:pt>
                <c:pt idx="557">
                  <c:v>42.585210000000025</c:v>
                </c:pt>
                <c:pt idx="558">
                  <c:v>42.585210000000025</c:v>
                </c:pt>
                <c:pt idx="559">
                  <c:v>42.585210000000025</c:v>
                </c:pt>
                <c:pt idx="560">
                  <c:v>42.585210000000025</c:v>
                </c:pt>
                <c:pt idx="561">
                  <c:v>42.585210000000025</c:v>
                </c:pt>
                <c:pt idx="562">
                  <c:v>42.585210000000025</c:v>
                </c:pt>
                <c:pt idx="563">
                  <c:v>42.585210000000025</c:v>
                </c:pt>
                <c:pt idx="564">
                  <c:v>42.585210000000025</c:v>
                </c:pt>
                <c:pt idx="565">
                  <c:v>42.585210000000025</c:v>
                </c:pt>
                <c:pt idx="566">
                  <c:v>42.585210000000025</c:v>
                </c:pt>
                <c:pt idx="567">
                  <c:v>42.585210000000025</c:v>
                </c:pt>
                <c:pt idx="568">
                  <c:v>42.585210000000025</c:v>
                </c:pt>
                <c:pt idx="569">
                  <c:v>42.585210000000025</c:v>
                </c:pt>
                <c:pt idx="570">
                  <c:v>42.585210000000025</c:v>
                </c:pt>
                <c:pt idx="571">
                  <c:v>42.585210000000025</c:v>
                </c:pt>
                <c:pt idx="572">
                  <c:v>42.585210000000025</c:v>
                </c:pt>
                <c:pt idx="573">
                  <c:v>42.585210000000025</c:v>
                </c:pt>
                <c:pt idx="574">
                  <c:v>42.585210000000025</c:v>
                </c:pt>
                <c:pt idx="575">
                  <c:v>42.585210000000025</c:v>
                </c:pt>
                <c:pt idx="576">
                  <c:v>42.585210000000025</c:v>
                </c:pt>
                <c:pt idx="577">
                  <c:v>42.585210000000025</c:v>
                </c:pt>
                <c:pt idx="578">
                  <c:v>42.585210000000025</c:v>
                </c:pt>
                <c:pt idx="579">
                  <c:v>42.585210000000025</c:v>
                </c:pt>
                <c:pt idx="580">
                  <c:v>42.585210000000025</c:v>
                </c:pt>
                <c:pt idx="581">
                  <c:v>42.585210000000025</c:v>
                </c:pt>
                <c:pt idx="582">
                  <c:v>42.585210000000025</c:v>
                </c:pt>
                <c:pt idx="583">
                  <c:v>42.585210000000025</c:v>
                </c:pt>
                <c:pt idx="584">
                  <c:v>42.585210000000025</c:v>
                </c:pt>
                <c:pt idx="585">
                  <c:v>42.585210000000025</c:v>
                </c:pt>
                <c:pt idx="586">
                  <c:v>42.585210000000025</c:v>
                </c:pt>
                <c:pt idx="587">
                  <c:v>42.585210000000025</c:v>
                </c:pt>
                <c:pt idx="588">
                  <c:v>42.585210000000025</c:v>
                </c:pt>
                <c:pt idx="589">
                  <c:v>42.585210000000025</c:v>
                </c:pt>
                <c:pt idx="590">
                  <c:v>42.585210000000025</c:v>
                </c:pt>
                <c:pt idx="591">
                  <c:v>42.585210000000025</c:v>
                </c:pt>
                <c:pt idx="592">
                  <c:v>42.585210000000025</c:v>
                </c:pt>
                <c:pt idx="593">
                  <c:v>42.585210000000025</c:v>
                </c:pt>
                <c:pt idx="594">
                  <c:v>42.585210000000025</c:v>
                </c:pt>
                <c:pt idx="595">
                  <c:v>42.585210000000025</c:v>
                </c:pt>
                <c:pt idx="596">
                  <c:v>42.585210000000025</c:v>
                </c:pt>
                <c:pt idx="597">
                  <c:v>42.585210000000025</c:v>
                </c:pt>
                <c:pt idx="598">
                  <c:v>42.585210000000025</c:v>
                </c:pt>
                <c:pt idx="599">
                  <c:v>42.585210000000025</c:v>
                </c:pt>
                <c:pt idx="600">
                  <c:v>42.585210000000025</c:v>
                </c:pt>
                <c:pt idx="601">
                  <c:v>42.585210000000025</c:v>
                </c:pt>
                <c:pt idx="602">
                  <c:v>42.585210000000025</c:v>
                </c:pt>
                <c:pt idx="603">
                  <c:v>42.585210000000025</c:v>
                </c:pt>
                <c:pt idx="604">
                  <c:v>42.585210000000025</c:v>
                </c:pt>
                <c:pt idx="605">
                  <c:v>42.585210000000025</c:v>
                </c:pt>
                <c:pt idx="606">
                  <c:v>42.585210000000025</c:v>
                </c:pt>
                <c:pt idx="607">
                  <c:v>42.585210000000025</c:v>
                </c:pt>
                <c:pt idx="608">
                  <c:v>42.585210000000025</c:v>
                </c:pt>
                <c:pt idx="609">
                  <c:v>42.585210000000025</c:v>
                </c:pt>
                <c:pt idx="610">
                  <c:v>42.585210000000025</c:v>
                </c:pt>
                <c:pt idx="611">
                  <c:v>42.585210000000025</c:v>
                </c:pt>
                <c:pt idx="612">
                  <c:v>42.585210000000025</c:v>
                </c:pt>
                <c:pt idx="613">
                  <c:v>42.585210000000025</c:v>
                </c:pt>
                <c:pt idx="614">
                  <c:v>42.585210000000025</c:v>
                </c:pt>
                <c:pt idx="615">
                  <c:v>42.585210000000025</c:v>
                </c:pt>
                <c:pt idx="616">
                  <c:v>42.585210000000025</c:v>
                </c:pt>
                <c:pt idx="617">
                  <c:v>42.585210000000025</c:v>
                </c:pt>
                <c:pt idx="618">
                  <c:v>42.585210000000025</c:v>
                </c:pt>
                <c:pt idx="619">
                  <c:v>42.585210000000025</c:v>
                </c:pt>
                <c:pt idx="620">
                  <c:v>42.585210000000025</c:v>
                </c:pt>
                <c:pt idx="621">
                  <c:v>42.585210000000025</c:v>
                </c:pt>
                <c:pt idx="622">
                  <c:v>42.585210000000025</c:v>
                </c:pt>
                <c:pt idx="623">
                  <c:v>42.585210000000025</c:v>
                </c:pt>
                <c:pt idx="624">
                  <c:v>42.585210000000025</c:v>
                </c:pt>
                <c:pt idx="625">
                  <c:v>42.585210000000025</c:v>
                </c:pt>
                <c:pt idx="626">
                  <c:v>42.585210000000025</c:v>
                </c:pt>
                <c:pt idx="627">
                  <c:v>42.585210000000025</c:v>
                </c:pt>
                <c:pt idx="628">
                  <c:v>42.585210000000025</c:v>
                </c:pt>
                <c:pt idx="629">
                  <c:v>42.585210000000025</c:v>
                </c:pt>
                <c:pt idx="630">
                  <c:v>42.585210000000025</c:v>
                </c:pt>
                <c:pt idx="631">
                  <c:v>42.585210000000025</c:v>
                </c:pt>
                <c:pt idx="632">
                  <c:v>42.585210000000025</c:v>
                </c:pt>
                <c:pt idx="633">
                  <c:v>42.585210000000025</c:v>
                </c:pt>
                <c:pt idx="634">
                  <c:v>42.585210000000025</c:v>
                </c:pt>
                <c:pt idx="635">
                  <c:v>42.585210000000025</c:v>
                </c:pt>
                <c:pt idx="636">
                  <c:v>42.585210000000025</c:v>
                </c:pt>
                <c:pt idx="637">
                  <c:v>42.585210000000025</c:v>
                </c:pt>
                <c:pt idx="638">
                  <c:v>42.585210000000025</c:v>
                </c:pt>
                <c:pt idx="639">
                  <c:v>42.585210000000025</c:v>
                </c:pt>
                <c:pt idx="640">
                  <c:v>42.585210000000025</c:v>
                </c:pt>
                <c:pt idx="641">
                  <c:v>42.585210000000025</c:v>
                </c:pt>
                <c:pt idx="642">
                  <c:v>42.585210000000025</c:v>
                </c:pt>
                <c:pt idx="643">
                  <c:v>42.585210000000025</c:v>
                </c:pt>
                <c:pt idx="644">
                  <c:v>42.585210000000025</c:v>
                </c:pt>
                <c:pt idx="645">
                  <c:v>42.585210000000025</c:v>
                </c:pt>
                <c:pt idx="646">
                  <c:v>42.585210000000025</c:v>
                </c:pt>
                <c:pt idx="647">
                  <c:v>42.585210000000025</c:v>
                </c:pt>
                <c:pt idx="648">
                  <c:v>42.585210000000025</c:v>
                </c:pt>
                <c:pt idx="649">
                  <c:v>42.585210000000025</c:v>
                </c:pt>
                <c:pt idx="650">
                  <c:v>42.585210000000025</c:v>
                </c:pt>
                <c:pt idx="651">
                  <c:v>42.585210000000025</c:v>
                </c:pt>
                <c:pt idx="652">
                  <c:v>42.585210000000025</c:v>
                </c:pt>
                <c:pt idx="653">
                  <c:v>42.585210000000025</c:v>
                </c:pt>
                <c:pt idx="654">
                  <c:v>42.585210000000025</c:v>
                </c:pt>
                <c:pt idx="655">
                  <c:v>42.585210000000025</c:v>
                </c:pt>
                <c:pt idx="656">
                  <c:v>42.585210000000025</c:v>
                </c:pt>
                <c:pt idx="657">
                  <c:v>42.585210000000025</c:v>
                </c:pt>
                <c:pt idx="658">
                  <c:v>42.585210000000025</c:v>
                </c:pt>
                <c:pt idx="659">
                  <c:v>42.585210000000025</c:v>
                </c:pt>
                <c:pt idx="660">
                  <c:v>42.585210000000025</c:v>
                </c:pt>
                <c:pt idx="661">
                  <c:v>42.585210000000025</c:v>
                </c:pt>
                <c:pt idx="662">
                  <c:v>42.585210000000025</c:v>
                </c:pt>
                <c:pt idx="663">
                  <c:v>42.585210000000025</c:v>
                </c:pt>
                <c:pt idx="664">
                  <c:v>42.585210000000025</c:v>
                </c:pt>
                <c:pt idx="665">
                  <c:v>42.585210000000025</c:v>
                </c:pt>
                <c:pt idx="666">
                  <c:v>42.585210000000025</c:v>
                </c:pt>
                <c:pt idx="667">
                  <c:v>42.585210000000025</c:v>
                </c:pt>
                <c:pt idx="668">
                  <c:v>42.585210000000025</c:v>
                </c:pt>
                <c:pt idx="669">
                  <c:v>42.585210000000025</c:v>
                </c:pt>
                <c:pt idx="670">
                  <c:v>42.585210000000025</c:v>
                </c:pt>
                <c:pt idx="671">
                  <c:v>42.585210000000025</c:v>
                </c:pt>
                <c:pt idx="672">
                  <c:v>42.585210000000025</c:v>
                </c:pt>
                <c:pt idx="673">
                  <c:v>42.585210000000025</c:v>
                </c:pt>
                <c:pt idx="674">
                  <c:v>42.585210000000025</c:v>
                </c:pt>
                <c:pt idx="675">
                  <c:v>42.585210000000025</c:v>
                </c:pt>
                <c:pt idx="676">
                  <c:v>42.585210000000025</c:v>
                </c:pt>
                <c:pt idx="677">
                  <c:v>42.585210000000025</c:v>
                </c:pt>
                <c:pt idx="678">
                  <c:v>42.585210000000025</c:v>
                </c:pt>
                <c:pt idx="679">
                  <c:v>42.585210000000025</c:v>
                </c:pt>
                <c:pt idx="680">
                  <c:v>42.585210000000025</c:v>
                </c:pt>
                <c:pt idx="681">
                  <c:v>42.585210000000025</c:v>
                </c:pt>
                <c:pt idx="682">
                  <c:v>42.585210000000025</c:v>
                </c:pt>
                <c:pt idx="683">
                  <c:v>42.585210000000025</c:v>
                </c:pt>
                <c:pt idx="684">
                  <c:v>42.585210000000025</c:v>
                </c:pt>
                <c:pt idx="685">
                  <c:v>42.585210000000025</c:v>
                </c:pt>
                <c:pt idx="686">
                  <c:v>42.585210000000025</c:v>
                </c:pt>
                <c:pt idx="687">
                  <c:v>42.585210000000025</c:v>
                </c:pt>
                <c:pt idx="688">
                  <c:v>42.585210000000025</c:v>
                </c:pt>
                <c:pt idx="689">
                  <c:v>42.585210000000025</c:v>
                </c:pt>
                <c:pt idx="690">
                  <c:v>42.585210000000025</c:v>
                </c:pt>
                <c:pt idx="691">
                  <c:v>42.585210000000025</c:v>
                </c:pt>
                <c:pt idx="692">
                  <c:v>42.585210000000025</c:v>
                </c:pt>
                <c:pt idx="693">
                  <c:v>42.585210000000025</c:v>
                </c:pt>
                <c:pt idx="694">
                  <c:v>42.585210000000025</c:v>
                </c:pt>
                <c:pt idx="695">
                  <c:v>42.585210000000025</c:v>
                </c:pt>
                <c:pt idx="696">
                  <c:v>42.585210000000025</c:v>
                </c:pt>
                <c:pt idx="697">
                  <c:v>42.585210000000025</c:v>
                </c:pt>
                <c:pt idx="698">
                  <c:v>42.585210000000025</c:v>
                </c:pt>
                <c:pt idx="699">
                  <c:v>42.585210000000025</c:v>
                </c:pt>
                <c:pt idx="700">
                  <c:v>42.585210000000025</c:v>
                </c:pt>
                <c:pt idx="701">
                  <c:v>42.585210000000025</c:v>
                </c:pt>
                <c:pt idx="702">
                  <c:v>42.585210000000025</c:v>
                </c:pt>
                <c:pt idx="703">
                  <c:v>42.585210000000025</c:v>
                </c:pt>
                <c:pt idx="704">
                  <c:v>42.585210000000025</c:v>
                </c:pt>
                <c:pt idx="705">
                  <c:v>42.585210000000025</c:v>
                </c:pt>
                <c:pt idx="706">
                  <c:v>42.585210000000025</c:v>
                </c:pt>
                <c:pt idx="707">
                  <c:v>42.585210000000025</c:v>
                </c:pt>
                <c:pt idx="708">
                  <c:v>42.585210000000025</c:v>
                </c:pt>
                <c:pt idx="709">
                  <c:v>42.585210000000025</c:v>
                </c:pt>
                <c:pt idx="710">
                  <c:v>42.585210000000025</c:v>
                </c:pt>
                <c:pt idx="711">
                  <c:v>42.585210000000025</c:v>
                </c:pt>
                <c:pt idx="712">
                  <c:v>42.585210000000025</c:v>
                </c:pt>
                <c:pt idx="713">
                  <c:v>42.585210000000025</c:v>
                </c:pt>
                <c:pt idx="714">
                  <c:v>42.585210000000025</c:v>
                </c:pt>
                <c:pt idx="715">
                  <c:v>42.585210000000025</c:v>
                </c:pt>
                <c:pt idx="716">
                  <c:v>42.585210000000025</c:v>
                </c:pt>
                <c:pt idx="717">
                  <c:v>42.585210000000025</c:v>
                </c:pt>
                <c:pt idx="718">
                  <c:v>42.585210000000025</c:v>
                </c:pt>
                <c:pt idx="719">
                  <c:v>42.585210000000025</c:v>
                </c:pt>
                <c:pt idx="720">
                  <c:v>42.585210000000025</c:v>
                </c:pt>
                <c:pt idx="721">
                  <c:v>42.585210000000025</c:v>
                </c:pt>
                <c:pt idx="722">
                  <c:v>42.585210000000025</c:v>
                </c:pt>
                <c:pt idx="723">
                  <c:v>42.585210000000025</c:v>
                </c:pt>
                <c:pt idx="724">
                  <c:v>42.585210000000025</c:v>
                </c:pt>
                <c:pt idx="725">
                  <c:v>42.585210000000025</c:v>
                </c:pt>
                <c:pt idx="726">
                  <c:v>42.585210000000025</c:v>
                </c:pt>
                <c:pt idx="727">
                  <c:v>42.585210000000025</c:v>
                </c:pt>
                <c:pt idx="728">
                  <c:v>42.585210000000025</c:v>
                </c:pt>
                <c:pt idx="729">
                  <c:v>42.585210000000025</c:v>
                </c:pt>
                <c:pt idx="730">
                  <c:v>42.585210000000025</c:v>
                </c:pt>
                <c:pt idx="731">
                  <c:v>42.585210000000025</c:v>
                </c:pt>
                <c:pt idx="732">
                  <c:v>42.585210000000025</c:v>
                </c:pt>
                <c:pt idx="733">
                  <c:v>42.585210000000025</c:v>
                </c:pt>
                <c:pt idx="734">
                  <c:v>42.585210000000025</c:v>
                </c:pt>
                <c:pt idx="735">
                  <c:v>42.585210000000025</c:v>
                </c:pt>
                <c:pt idx="736">
                  <c:v>42.585210000000025</c:v>
                </c:pt>
                <c:pt idx="737">
                  <c:v>42.585210000000025</c:v>
                </c:pt>
                <c:pt idx="738">
                  <c:v>42.585210000000025</c:v>
                </c:pt>
                <c:pt idx="739">
                  <c:v>42.585210000000025</c:v>
                </c:pt>
                <c:pt idx="740">
                  <c:v>42.585210000000025</c:v>
                </c:pt>
                <c:pt idx="741">
                  <c:v>42.585210000000025</c:v>
                </c:pt>
                <c:pt idx="742">
                  <c:v>42.585210000000025</c:v>
                </c:pt>
                <c:pt idx="743">
                  <c:v>42.585210000000025</c:v>
                </c:pt>
                <c:pt idx="744">
                  <c:v>42.585210000000025</c:v>
                </c:pt>
                <c:pt idx="745">
                  <c:v>42.585210000000025</c:v>
                </c:pt>
                <c:pt idx="746">
                  <c:v>42.585210000000025</c:v>
                </c:pt>
                <c:pt idx="747">
                  <c:v>42.585210000000025</c:v>
                </c:pt>
                <c:pt idx="748">
                  <c:v>42.585210000000025</c:v>
                </c:pt>
                <c:pt idx="749">
                  <c:v>42.585210000000025</c:v>
                </c:pt>
                <c:pt idx="750">
                  <c:v>42.585210000000025</c:v>
                </c:pt>
                <c:pt idx="751">
                  <c:v>42.585210000000025</c:v>
                </c:pt>
                <c:pt idx="752">
                  <c:v>42.585210000000025</c:v>
                </c:pt>
                <c:pt idx="753">
                  <c:v>42.585210000000025</c:v>
                </c:pt>
                <c:pt idx="754">
                  <c:v>42.585210000000025</c:v>
                </c:pt>
                <c:pt idx="755">
                  <c:v>42.585210000000025</c:v>
                </c:pt>
                <c:pt idx="756">
                  <c:v>42.585210000000025</c:v>
                </c:pt>
                <c:pt idx="757">
                  <c:v>42.585210000000025</c:v>
                </c:pt>
                <c:pt idx="758">
                  <c:v>42.585210000000025</c:v>
                </c:pt>
                <c:pt idx="759">
                  <c:v>42.585210000000025</c:v>
                </c:pt>
                <c:pt idx="760">
                  <c:v>42.585210000000025</c:v>
                </c:pt>
                <c:pt idx="761">
                  <c:v>42.585210000000025</c:v>
                </c:pt>
                <c:pt idx="762">
                  <c:v>42.585210000000025</c:v>
                </c:pt>
                <c:pt idx="763">
                  <c:v>42.585210000000025</c:v>
                </c:pt>
                <c:pt idx="764">
                  <c:v>42.585210000000025</c:v>
                </c:pt>
                <c:pt idx="765">
                  <c:v>42.585210000000025</c:v>
                </c:pt>
                <c:pt idx="766">
                  <c:v>42.585210000000025</c:v>
                </c:pt>
                <c:pt idx="767">
                  <c:v>42.585210000000025</c:v>
                </c:pt>
                <c:pt idx="768">
                  <c:v>42.585210000000025</c:v>
                </c:pt>
                <c:pt idx="769">
                  <c:v>42.585210000000025</c:v>
                </c:pt>
                <c:pt idx="770">
                  <c:v>42.585210000000025</c:v>
                </c:pt>
                <c:pt idx="771">
                  <c:v>42.585210000000025</c:v>
                </c:pt>
                <c:pt idx="772">
                  <c:v>42.585210000000025</c:v>
                </c:pt>
                <c:pt idx="773">
                  <c:v>42.585210000000025</c:v>
                </c:pt>
                <c:pt idx="774">
                  <c:v>42.585210000000025</c:v>
                </c:pt>
                <c:pt idx="775">
                  <c:v>42.585210000000025</c:v>
                </c:pt>
                <c:pt idx="776">
                  <c:v>42.585210000000025</c:v>
                </c:pt>
                <c:pt idx="777">
                  <c:v>42.585210000000025</c:v>
                </c:pt>
                <c:pt idx="778">
                  <c:v>42.585210000000025</c:v>
                </c:pt>
                <c:pt idx="779">
                  <c:v>42.585210000000025</c:v>
                </c:pt>
                <c:pt idx="780">
                  <c:v>42.585210000000025</c:v>
                </c:pt>
                <c:pt idx="781">
                  <c:v>42.585210000000025</c:v>
                </c:pt>
                <c:pt idx="782">
                  <c:v>42.585210000000025</c:v>
                </c:pt>
                <c:pt idx="783">
                  <c:v>42.585210000000025</c:v>
                </c:pt>
                <c:pt idx="784">
                  <c:v>42.585210000000025</c:v>
                </c:pt>
                <c:pt idx="785">
                  <c:v>42.585210000000025</c:v>
                </c:pt>
                <c:pt idx="786">
                  <c:v>42.585210000000025</c:v>
                </c:pt>
                <c:pt idx="787">
                  <c:v>42.585210000000025</c:v>
                </c:pt>
                <c:pt idx="788">
                  <c:v>42.585210000000025</c:v>
                </c:pt>
                <c:pt idx="789">
                  <c:v>42.585210000000025</c:v>
                </c:pt>
                <c:pt idx="790">
                  <c:v>42.585210000000025</c:v>
                </c:pt>
                <c:pt idx="791">
                  <c:v>42.585210000000025</c:v>
                </c:pt>
                <c:pt idx="792">
                  <c:v>42.585210000000025</c:v>
                </c:pt>
                <c:pt idx="793">
                  <c:v>42.585210000000025</c:v>
                </c:pt>
                <c:pt idx="794">
                  <c:v>42.585210000000025</c:v>
                </c:pt>
                <c:pt idx="795">
                  <c:v>42.585210000000025</c:v>
                </c:pt>
                <c:pt idx="796">
                  <c:v>42.585210000000025</c:v>
                </c:pt>
                <c:pt idx="797">
                  <c:v>42.585210000000025</c:v>
                </c:pt>
                <c:pt idx="798">
                  <c:v>42.585210000000025</c:v>
                </c:pt>
                <c:pt idx="799">
                  <c:v>42.585210000000025</c:v>
                </c:pt>
                <c:pt idx="800">
                  <c:v>42.585210000000025</c:v>
                </c:pt>
                <c:pt idx="801">
                  <c:v>42.585210000000025</c:v>
                </c:pt>
                <c:pt idx="802">
                  <c:v>42.585210000000025</c:v>
                </c:pt>
                <c:pt idx="803">
                  <c:v>42.585210000000025</c:v>
                </c:pt>
                <c:pt idx="804">
                  <c:v>42.585210000000025</c:v>
                </c:pt>
                <c:pt idx="805">
                  <c:v>42.585210000000025</c:v>
                </c:pt>
                <c:pt idx="806">
                  <c:v>42.585210000000025</c:v>
                </c:pt>
                <c:pt idx="807">
                  <c:v>42.585210000000025</c:v>
                </c:pt>
                <c:pt idx="808">
                  <c:v>42.585210000000025</c:v>
                </c:pt>
                <c:pt idx="809">
                  <c:v>42.585210000000025</c:v>
                </c:pt>
                <c:pt idx="810">
                  <c:v>42.585210000000025</c:v>
                </c:pt>
                <c:pt idx="811">
                  <c:v>42.585210000000025</c:v>
                </c:pt>
                <c:pt idx="812">
                  <c:v>42.585210000000025</c:v>
                </c:pt>
                <c:pt idx="813">
                  <c:v>42.585210000000025</c:v>
                </c:pt>
                <c:pt idx="814">
                  <c:v>42.585210000000025</c:v>
                </c:pt>
                <c:pt idx="815">
                  <c:v>42.585210000000025</c:v>
                </c:pt>
                <c:pt idx="816">
                  <c:v>42.585210000000025</c:v>
                </c:pt>
                <c:pt idx="817">
                  <c:v>42.585210000000025</c:v>
                </c:pt>
                <c:pt idx="818">
                  <c:v>42.585210000000025</c:v>
                </c:pt>
                <c:pt idx="819">
                  <c:v>42.585210000000025</c:v>
                </c:pt>
                <c:pt idx="820">
                  <c:v>42.585210000000025</c:v>
                </c:pt>
                <c:pt idx="821">
                  <c:v>42.585210000000025</c:v>
                </c:pt>
                <c:pt idx="822">
                  <c:v>42.585210000000025</c:v>
                </c:pt>
                <c:pt idx="823">
                  <c:v>42.585210000000025</c:v>
                </c:pt>
                <c:pt idx="824">
                  <c:v>42.585210000000025</c:v>
                </c:pt>
                <c:pt idx="825">
                  <c:v>42.585210000000025</c:v>
                </c:pt>
                <c:pt idx="826">
                  <c:v>42.585210000000025</c:v>
                </c:pt>
                <c:pt idx="827">
                  <c:v>42.585210000000025</c:v>
                </c:pt>
                <c:pt idx="828">
                  <c:v>42.585210000000025</c:v>
                </c:pt>
                <c:pt idx="829">
                  <c:v>42.585210000000025</c:v>
                </c:pt>
                <c:pt idx="830">
                  <c:v>42.585210000000025</c:v>
                </c:pt>
                <c:pt idx="831">
                  <c:v>42.585210000000025</c:v>
                </c:pt>
                <c:pt idx="832">
                  <c:v>42.585210000000025</c:v>
                </c:pt>
                <c:pt idx="833">
                  <c:v>42.585210000000025</c:v>
                </c:pt>
                <c:pt idx="834">
                  <c:v>42.585210000000025</c:v>
                </c:pt>
                <c:pt idx="835">
                  <c:v>42.585210000000025</c:v>
                </c:pt>
                <c:pt idx="836">
                  <c:v>42.585210000000025</c:v>
                </c:pt>
                <c:pt idx="837">
                  <c:v>42.585210000000025</c:v>
                </c:pt>
                <c:pt idx="838">
                  <c:v>42.585210000000025</c:v>
                </c:pt>
                <c:pt idx="839">
                  <c:v>42.585210000000025</c:v>
                </c:pt>
                <c:pt idx="840">
                  <c:v>42.585210000000025</c:v>
                </c:pt>
                <c:pt idx="841">
                  <c:v>42.585210000000025</c:v>
                </c:pt>
                <c:pt idx="842">
                  <c:v>42.585210000000025</c:v>
                </c:pt>
                <c:pt idx="843">
                  <c:v>42.585210000000025</c:v>
                </c:pt>
                <c:pt idx="844">
                  <c:v>42.585210000000025</c:v>
                </c:pt>
                <c:pt idx="845">
                  <c:v>42.585210000000025</c:v>
                </c:pt>
                <c:pt idx="846">
                  <c:v>42.585210000000025</c:v>
                </c:pt>
                <c:pt idx="847">
                  <c:v>42.585210000000025</c:v>
                </c:pt>
                <c:pt idx="848">
                  <c:v>42.585210000000025</c:v>
                </c:pt>
                <c:pt idx="849">
                  <c:v>42.585210000000025</c:v>
                </c:pt>
                <c:pt idx="850">
                  <c:v>42.585210000000025</c:v>
                </c:pt>
                <c:pt idx="851">
                  <c:v>42.585210000000025</c:v>
                </c:pt>
                <c:pt idx="852">
                  <c:v>42.585210000000025</c:v>
                </c:pt>
                <c:pt idx="853">
                  <c:v>42.585210000000025</c:v>
                </c:pt>
                <c:pt idx="854">
                  <c:v>42.585210000000025</c:v>
                </c:pt>
                <c:pt idx="855">
                  <c:v>42.585210000000025</c:v>
                </c:pt>
                <c:pt idx="856">
                  <c:v>42.585210000000025</c:v>
                </c:pt>
                <c:pt idx="857">
                  <c:v>42.585210000000025</c:v>
                </c:pt>
                <c:pt idx="858">
                  <c:v>42.585210000000025</c:v>
                </c:pt>
                <c:pt idx="859">
                  <c:v>42.585210000000025</c:v>
                </c:pt>
                <c:pt idx="860">
                  <c:v>42.585210000000025</c:v>
                </c:pt>
                <c:pt idx="861">
                  <c:v>42.585210000000025</c:v>
                </c:pt>
                <c:pt idx="862">
                  <c:v>42.585210000000025</c:v>
                </c:pt>
                <c:pt idx="863">
                  <c:v>42.585210000000025</c:v>
                </c:pt>
                <c:pt idx="864">
                  <c:v>42.585210000000025</c:v>
                </c:pt>
                <c:pt idx="865">
                  <c:v>42.585210000000025</c:v>
                </c:pt>
                <c:pt idx="866">
                  <c:v>42.585210000000025</c:v>
                </c:pt>
                <c:pt idx="867">
                  <c:v>42.585210000000025</c:v>
                </c:pt>
                <c:pt idx="868">
                  <c:v>42.585210000000025</c:v>
                </c:pt>
                <c:pt idx="869">
                  <c:v>42.585210000000025</c:v>
                </c:pt>
                <c:pt idx="870">
                  <c:v>42.585210000000025</c:v>
                </c:pt>
                <c:pt idx="871">
                  <c:v>42.585210000000025</c:v>
                </c:pt>
                <c:pt idx="872">
                  <c:v>42.585210000000025</c:v>
                </c:pt>
                <c:pt idx="873">
                  <c:v>42.585210000000025</c:v>
                </c:pt>
                <c:pt idx="874">
                  <c:v>42.585210000000025</c:v>
                </c:pt>
                <c:pt idx="875">
                  <c:v>42.585210000000025</c:v>
                </c:pt>
                <c:pt idx="876">
                  <c:v>42.585210000000025</c:v>
                </c:pt>
                <c:pt idx="877">
                  <c:v>42.585210000000025</c:v>
                </c:pt>
                <c:pt idx="878">
                  <c:v>42.585210000000025</c:v>
                </c:pt>
                <c:pt idx="879">
                  <c:v>42.585210000000025</c:v>
                </c:pt>
                <c:pt idx="880">
                  <c:v>42.585210000000025</c:v>
                </c:pt>
                <c:pt idx="881">
                  <c:v>42.585210000000025</c:v>
                </c:pt>
                <c:pt idx="882">
                  <c:v>42.585210000000025</c:v>
                </c:pt>
                <c:pt idx="883">
                  <c:v>42.585210000000025</c:v>
                </c:pt>
                <c:pt idx="884">
                  <c:v>42.585210000000025</c:v>
                </c:pt>
                <c:pt idx="885">
                  <c:v>42.585210000000025</c:v>
                </c:pt>
                <c:pt idx="886">
                  <c:v>42.585210000000025</c:v>
                </c:pt>
                <c:pt idx="887">
                  <c:v>42.585210000000025</c:v>
                </c:pt>
                <c:pt idx="888">
                  <c:v>42.585210000000025</c:v>
                </c:pt>
                <c:pt idx="889">
                  <c:v>42.585210000000025</c:v>
                </c:pt>
                <c:pt idx="890">
                  <c:v>42.585210000000025</c:v>
                </c:pt>
                <c:pt idx="891">
                  <c:v>42.585210000000025</c:v>
                </c:pt>
                <c:pt idx="892">
                  <c:v>42.585210000000025</c:v>
                </c:pt>
                <c:pt idx="893">
                  <c:v>42.585210000000025</c:v>
                </c:pt>
                <c:pt idx="894">
                  <c:v>42.585210000000025</c:v>
                </c:pt>
                <c:pt idx="895">
                  <c:v>42.585210000000025</c:v>
                </c:pt>
                <c:pt idx="896">
                  <c:v>42.585210000000025</c:v>
                </c:pt>
                <c:pt idx="897">
                  <c:v>42.585210000000025</c:v>
                </c:pt>
                <c:pt idx="898">
                  <c:v>42.585210000000025</c:v>
                </c:pt>
                <c:pt idx="899">
                  <c:v>42.585210000000025</c:v>
                </c:pt>
                <c:pt idx="900">
                  <c:v>42.585210000000025</c:v>
                </c:pt>
                <c:pt idx="901">
                  <c:v>42.585210000000025</c:v>
                </c:pt>
                <c:pt idx="902">
                  <c:v>42.585210000000025</c:v>
                </c:pt>
                <c:pt idx="903">
                  <c:v>42.585210000000025</c:v>
                </c:pt>
                <c:pt idx="904">
                  <c:v>42.585210000000025</c:v>
                </c:pt>
                <c:pt idx="905">
                  <c:v>42.585210000000025</c:v>
                </c:pt>
                <c:pt idx="906">
                  <c:v>42.585210000000025</c:v>
                </c:pt>
                <c:pt idx="907">
                  <c:v>42.585210000000025</c:v>
                </c:pt>
                <c:pt idx="908">
                  <c:v>42.585210000000025</c:v>
                </c:pt>
                <c:pt idx="909">
                  <c:v>42.585210000000025</c:v>
                </c:pt>
                <c:pt idx="910">
                  <c:v>42.585210000000025</c:v>
                </c:pt>
                <c:pt idx="911">
                  <c:v>42.585210000000025</c:v>
                </c:pt>
                <c:pt idx="912">
                  <c:v>42.585210000000025</c:v>
                </c:pt>
                <c:pt idx="913">
                  <c:v>42.585210000000025</c:v>
                </c:pt>
                <c:pt idx="914">
                  <c:v>42.585210000000025</c:v>
                </c:pt>
                <c:pt idx="915">
                  <c:v>42.585210000000025</c:v>
                </c:pt>
                <c:pt idx="916">
                  <c:v>42.585210000000025</c:v>
                </c:pt>
                <c:pt idx="917">
                  <c:v>42.585210000000025</c:v>
                </c:pt>
                <c:pt idx="918">
                  <c:v>42.585210000000025</c:v>
                </c:pt>
                <c:pt idx="919">
                  <c:v>42.585210000000025</c:v>
                </c:pt>
                <c:pt idx="920">
                  <c:v>42.585210000000025</c:v>
                </c:pt>
                <c:pt idx="921">
                  <c:v>42.585210000000025</c:v>
                </c:pt>
                <c:pt idx="922">
                  <c:v>42.585210000000025</c:v>
                </c:pt>
                <c:pt idx="923">
                  <c:v>42.585210000000025</c:v>
                </c:pt>
                <c:pt idx="924">
                  <c:v>42.585210000000025</c:v>
                </c:pt>
                <c:pt idx="925">
                  <c:v>42.585210000000025</c:v>
                </c:pt>
                <c:pt idx="926">
                  <c:v>42.585210000000025</c:v>
                </c:pt>
                <c:pt idx="927">
                  <c:v>42.585210000000025</c:v>
                </c:pt>
                <c:pt idx="928">
                  <c:v>42.585210000000025</c:v>
                </c:pt>
                <c:pt idx="929">
                  <c:v>42.585210000000025</c:v>
                </c:pt>
                <c:pt idx="930">
                  <c:v>42.585210000000025</c:v>
                </c:pt>
                <c:pt idx="931">
                  <c:v>42.585210000000025</c:v>
                </c:pt>
                <c:pt idx="932">
                  <c:v>42.585210000000025</c:v>
                </c:pt>
                <c:pt idx="933">
                  <c:v>42.585210000000025</c:v>
                </c:pt>
                <c:pt idx="934">
                  <c:v>42.585210000000025</c:v>
                </c:pt>
                <c:pt idx="935">
                  <c:v>42.585210000000025</c:v>
                </c:pt>
                <c:pt idx="936">
                  <c:v>42.585210000000025</c:v>
                </c:pt>
                <c:pt idx="937">
                  <c:v>42.585210000000025</c:v>
                </c:pt>
                <c:pt idx="938">
                  <c:v>42.585210000000025</c:v>
                </c:pt>
                <c:pt idx="939">
                  <c:v>42.585210000000025</c:v>
                </c:pt>
                <c:pt idx="940">
                  <c:v>42.585210000000025</c:v>
                </c:pt>
                <c:pt idx="941">
                  <c:v>42.585210000000025</c:v>
                </c:pt>
                <c:pt idx="942">
                  <c:v>42.585210000000025</c:v>
                </c:pt>
                <c:pt idx="943">
                  <c:v>42.585210000000025</c:v>
                </c:pt>
                <c:pt idx="944">
                  <c:v>42.585210000000025</c:v>
                </c:pt>
                <c:pt idx="945">
                  <c:v>42.585210000000025</c:v>
                </c:pt>
                <c:pt idx="946">
                  <c:v>42.585210000000025</c:v>
                </c:pt>
                <c:pt idx="947">
                  <c:v>42.585210000000025</c:v>
                </c:pt>
                <c:pt idx="948">
                  <c:v>42.585210000000025</c:v>
                </c:pt>
                <c:pt idx="949">
                  <c:v>42.585210000000025</c:v>
                </c:pt>
                <c:pt idx="950">
                  <c:v>42.585210000000025</c:v>
                </c:pt>
                <c:pt idx="951">
                  <c:v>42.585210000000025</c:v>
                </c:pt>
                <c:pt idx="952">
                  <c:v>42.585210000000025</c:v>
                </c:pt>
                <c:pt idx="953">
                  <c:v>42.585210000000025</c:v>
                </c:pt>
                <c:pt idx="954">
                  <c:v>42.585210000000025</c:v>
                </c:pt>
                <c:pt idx="955">
                  <c:v>42.585210000000025</c:v>
                </c:pt>
                <c:pt idx="956">
                  <c:v>42.585210000000025</c:v>
                </c:pt>
                <c:pt idx="957">
                  <c:v>42.585210000000025</c:v>
                </c:pt>
                <c:pt idx="958">
                  <c:v>42.585210000000025</c:v>
                </c:pt>
                <c:pt idx="959">
                  <c:v>42.585210000000025</c:v>
                </c:pt>
                <c:pt idx="960">
                  <c:v>42.585210000000025</c:v>
                </c:pt>
                <c:pt idx="961">
                  <c:v>42.585210000000025</c:v>
                </c:pt>
                <c:pt idx="962">
                  <c:v>42.585210000000025</c:v>
                </c:pt>
                <c:pt idx="963">
                  <c:v>42.585210000000025</c:v>
                </c:pt>
                <c:pt idx="964">
                  <c:v>42.585210000000025</c:v>
                </c:pt>
                <c:pt idx="965">
                  <c:v>42.585210000000025</c:v>
                </c:pt>
                <c:pt idx="966">
                  <c:v>42.585210000000025</c:v>
                </c:pt>
                <c:pt idx="967">
                  <c:v>42.585210000000025</c:v>
                </c:pt>
                <c:pt idx="968">
                  <c:v>42.585210000000025</c:v>
                </c:pt>
                <c:pt idx="969">
                  <c:v>42.585210000000025</c:v>
                </c:pt>
                <c:pt idx="970">
                  <c:v>42.585210000000025</c:v>
                </c:pt>
                <c:pt idx="971">
                  <c:v>42.585210000000025</c:v>
                </c:pt>
                <c:pt idx="972">
                  <c:v>42.585210000000025</c:v>
                </c:pt>
                <c:pt idx="973">
                  <c:v>42.585210000000025</c:v>
                </c:pt>
                <c:pt idx="974">
                  <c:v>42.585210000000025</c:v>
                </c:pt>
                <c:pt idx="975">
                  <c:v>42.585210000000025</c:v>
                </c:pt>
                <c:pt idx="976">
                  <c:v>42.585210000000025</c:v>
                </c:pt>
                <c:pt idx="977">
                  <c:v>42.585210000000025</c:v>
                </c:pt>
                <c:pt idx="978">
                  <c:v>42.585210000000025</c:v>
                </c:pt>
                <c:pt idx="979">
                  <c:v>42.585210000000025</c:v>
                </c:pt>
                <c:pt idx="980">
                  <c:v>42.585210000000025</c:v>
                </c:pt>
                <c:pt idx="981">
                  <c:v>42.585210000000025</c:v>
                </c:pt>
                <c:pt idx="982">
                  <c:v>42.585210000000025</c:v>
                </c:pt>
                <c:pt idx="983">
                  <c:v>42.585210000000025</c:v>
                </c:pt>
                <c:pt idx="984">
                  <c:v>42.585210000000025</c:v>
                </c:pt>
                <c:pt idx="985">
                  <c:v>42.585210000000025</c:v>
                </c:pt>
                <c:pt idx="986">
                  <c:v>42.585210000000025</c:v>
                </c:pt>
                <c:pt idx="987">
                  <c:v>42.585210000000025</c:v>
                </c:pt>
                <c:pt idx="988">
                  <c:v>42.585210000000025</c:v>
                </c:pt>
                <c:pt idx="989">
                  <c:v>42.585210000000025</c:v>
                </c:pt>
                <c:pt idx="990">
                  <c:v>42.585210000000025</c:v>
                </c:pt>
                <c:pt idx="991">
                  <c:v>42.585210000000025</c:v>
                </c:pt>
                <c:pt idx="992">
                  <c:v>42.585210000000025</c:v>
                </c:pt>
                <c:pt idx="993">
                  <c:v>42.585210000000025</c:v>
                </c:pt>
                <c:pt idx="994">
                  <c:v>42.585210000000025</c:v>
                </c:pt>
                <c:pt idx="995">
                  <c:v>42.585210000000025</c:v>
                </c:pt>
                <c:pt idx="996">
                  <c:v>42.585210000000025</c:v>
                </c:pt>
                <c:pt idx="997">
                  <c:v>42.585210000000025</c:v>
                </c:pt>
                <c:pt idx="998">
                  <c:v>42.585210000000025</c:v>
                </c:pt>
                <c:pt idx="999">
                  <c:v>42.585210000000025</c:v>
                </c:pt>
                <c:pt idx="1000">
                  <c:v>42.585210000000025</c:v>
                </c:pt>
              </c:numCache>
            </c:numRef>
          </c:yVal>
          <c:smooth val="0"/>
          <c:extLst>
            <c:ext xmlns:c16="http://schemas.microsoft.com/office/drawing/2014/chart" uri="{C3380CC4-5D6E-409C-BE32-E72D297353CC}">
              <c16:uniqueId val="{00000001-B98B-46BB-BB51-DAAA2071230C}"/>
            </c:ext>
          </c:extLst>
        </c:ser>
        <c:ser>
          <c:idx val="0"/>
          <c:order val="2"/>
          <c:tx>
            <c:strRef>
              <c:f>Courbes!$B$133</c:f>
              <c:strCache>
                <c:ptCount val="1"/>
                <c:pt idx="0">
                  <c:v>Traînée</c:v>
                </c:pt>
              </c:strCache>
            </c:strRef>
          </c:tx>
          <c:spPr>
            <a:ln w="25400">
              <a:solidFill>
                <a:srgbClr val="800000"/>
              </a:solidFill>
              <a:prstDash val="solid"/>
            </a:ln>
          </c:spPr>
          <c:marker>
            <c:symbol val="none"/>
          </c:marker>
          <c:xVal>
            <c:numRef>
              <c:f>Calculs!$B$4:$B$1004</c:f>
              <c:numCache>
                <c:formatCode>0.00</c:formatCode>
                <c:ptCount val="1001"/>
                <c:pt idx="0">
                  <c:v>0</c:v>
                </c:pt>
                <c:pt idx="1">
                  <c:v>0.01</c:v>
                </c:pt>
                <c:pt idx="2">
                  <c:v>0.02</c:v>
                </c:pt>
                <c:pt idx="3">
                  <c:v>0.03</c:v>
                </c:pt>
                <c:pt idx="4">
                  <c:v>0.04</c:v>
                </c:pt>
                <c:pt idx="5">
                  <c:v>0.05</c:v>
                </c:pt>
                <c:pt idx="6">
                  <c:v>6.0000000000000005E-2</c:v>
                </c:pt>
                <c:pt idx="7">
                  <c:v>7.0000000000000007E-2</c:v>
                </c:pt>
                <c:pt idx="8">
                  <c:v>0.08</c:v>
                </c:pt>
                <c:pt idx="9">
                  <c:v>0.09</c:v>
                </c:pt>
                <c:pt idx="10">
                  <c:v>9.9999999999999992E-2</c:v>
                </c:pt>
                <c:pt idx="11">
                  <c:v>0.10999999999999999</c:v>
                </c:pt>
                <c:pt idx="12">
                  <c:v>0.11999999999999998</c:v>
                </c:pt>
                <c:pt idx="13">
                  <c:v>0.12999999999999998</c:v>
                </c:pt>
                <c:pt idx="14">
                  <c:v>0.13999999999999999</c:v>
                </c:pt>
                <c:pt idx="15">
                  <c:v>0.15</c:v>
                </c:pt>
                <c:pt idx="16">
                  <c:v>0.16</c:v>
                </c:pt>
                <c:pt idx="17">
                  <c:v>0.17</c:v>
                </c:pt>
                <c:pt idx="18">
                  <c:v>0.18000000000000002</c:v>
                </c:pt>
                <c:pt idx="19">
                  <c:v>0.19000000000000003</c:v>
                </c:pt>
                <c:pt idx="20">
                  <c:v>0.20000000000000004</c:v>
                </c:pt>
                <c:pt idx="21">
                  <c:v>0.21000000000000005</c:v>
                </c:pt>
                <c:pt idx="22">
                  <c:v>0.22000000000000006</c:v>
                </c:pt>
                <c:pt idx="23">
                  <c:v>0.23000000000000007</c:v>
                </c:pt>
                <c:pt idx="24">
                  <c:v>0.24000000000000007</c:v>
                </c:pt>
                <c:pt idx="25">
                  <c:v>0.25000000000000006</c:v>
                </c:pt>
                <c:pt idx="26">
                  <c:v>0.26000000000000006</c:v>
                </c:pt>
                <c:pt idx="27">
                  <c:v>0.27000000000000007</c:v>
                </c:pt>
                <c:pt idx="28">
                  <c:v>0.28000000000000008</c:v>
                </c:pt>
                <c:pt idx="29">
                  <c:v>0.29000000000000009</c:v>
                </c:pt>
                <c:pt idx="30">
                  <c:v>0.3000000000000001</c:v>
                </c:pt>
                <c:pt idx="31">
                  <c:v>0.31000000000000011</c:v>
                </c:pt>
                <c:pt idx="32">
                  <c:v>0.32000000000000012</c:v>
                </c:pt>
                <c:pt idx="33">
                  <c:v>0.33000000000000013</c:v>
                </c:pt>
                <c:pt idx="34">
                  <c:v>0.34000000000000014</c:v>
                </c:pt>
                <c:pt idx="35">
                  <c:v>0.35000000000000014</c:v>
                </c:pt>
                <c:pt idx="36">
                  <c:v>0.36000000000000015</c:v>
                </c:pt>
                <c:pt idx="37">
                  <c:v>0.37000000000000016</c:v>
                </c:pt>
                <c:pt idx="38">
                  <c:v>0.38000000000000017</c:v>
                </c:pt>
                <c:pt idx="39">
                  <c:v>0.39000000000000018</c:v>
                </c:pt>
                <c:pt idx="40">
                  <c:v>0.40000000000000019</c:v>
                </c:pt>
                <c:pt idx="41">
                  <c:v>0.4100000000000002</c:v>
                </c:pt>
                <c:pt idx="42">
                  <c:v>0.42000000000000021</c:v>
                </c:pt>
                <c:pt idx="43">
                  <c:v>0.43000000000000022</c:v>
                </c:pt>
                <c:pt idx="44">
                  <c:v>0.44000000000000022</c:v>
                </c:pt>
                <c:pt idx="45">
                  <c:v>0.45000000000000023</c:v>
                </c:pt>
                <c:pt idx="46">
                  <c:v>0.46000000000000024</c:v>
                </c:pt>
                <c:pt idx="47">
                  <c:v>0.47000000000000025</c:v>
                </c:pt>
                <c:pt idx="48">
                  <c:v>0.48000000000000026</c:v>
                </c:pt>
                <c:pt idx="49">
                  <c:v>0.49000000000000027</c:v>
                </c:pt>
                <c:pt idx="50">
                  <c:v>0.50000000000000022</c:v>
                </c:pt>
                <c:pt idx="51">
                  <c:v>0.51000000000000023</c:v>
                </c:pt>
                <c:pt idx="52">
                  <c:v>0.52000000000000024</c:v>
                </c:pt>
                <c:pt idx="53">
                  <c:v>0.53000000000000025</c:v>
                </c:pt>
                <c:pt idx="54">
                  <c:v>0.54000000000000026</c:v>
                </c:pt>
                <c:pt idx="55">
                  <c:v>0.55000000000000027</c:v>
                </c:pt>
                <c:pt idx="56">
                  <c:v>0.56000000000000028</c:v>
                </c:pt>
                <c:pt idx="57">
                  <c:v>0.57000000000000028</c:v>
                </c:pt>
                <c:pt idx="58">
                  <c:v>0.58000000000000029</c:v>
                </c:pt>
                <c:pt idx="59">
                  <c:v>0.5900000000000003</c:v>
                </c:pt>
                <c:pt idx="60">
                  <c:v>0.60000000000000031</c:v>
                </c:pt>
                <c:pt idx="61">
                  <c:v>0.61000000000000032</c:v>
                </c:pt>
                <c:pt idx="62">
                  <c:v>0.62000000000000033</c:v>
                </c:pt>
                <c:pt idx="63">
                  <c:v>0.63000000000000034</c:v>
                </c:pt>
                <c:pt idx="64">
                  <c:v>0.64000000000000035</c:v>
                </c:pt>
                <c:pt idx="65">
                  <c:v>0.65000000000000036</c:v>
                </c:pt>
                <c:pt idx="66">
                  <c:v>0.66000000000000036</c:v>
                </c:pt>
                <c:pt idx="67">
                  <c:v>0.67000000000000037</c:v>
                </c:pt>
                <c:pt idx="68">
                  <c:v>0.68000000000000038</c:v>
                </c:pt>
                <c:pt idx="69">
                  <c:v>0.69000000000000039</c:v>
                </c:pt>
                <c:pt idx="70">
                  <c:v>0.7000000000000004</c:v>
                </c:pt>
                <c:pt idx="71">
                  <c:v>0.71000000000000041</c:v>
                </c:pt>
                <c:pt idx="72">
                  <c:v>0.72000000000000042</c:v>
                </c:pt>
                <c:pt idx="73">
                  <c:v>0.73000000000000043</c:v>
                </c:pt>
                <c:pt idx="74">
                  <c:v>0.74000000000000044</c:v>
                </c:pt>
                <c:pt idx="75">
                  <c:v>0.75000000000000044</c:v>
                </c:pt>
                <c:pt idx="76">
                  <c:v>0.76000000000000045</c:v>
                </c:pt>
                <c:pt idx="77">
                  <c:v>0.77000000000000046</c:v>
                </c:pt>
                <c:pt idx="78">
                  <c:v>0.78000000000000047</c:v>
                </c:pt>
                <c:pt idx="79">
                  <c:v>0.79000000000000048</c:v>
                </c:pt>
                <c:pt idx="80">
                  <c:v>0.80000000000000049</c:v>
                </c:pt>
                <c:pt idx="81">
                  <c:v>0.8100000000000005</c:v>
                </c:pt>
                <c:pt idx="82">
                  <c:v>0.82000000000000051</c:v>
                </c:pt>
                <c:pt idx="83">
                  <c:v>0.83000000000000052</c:v>
                </c:pt>
                <c:pt idx="84">
                  <c:v>0.84000000000000052</c:v>
                </c:pt>
                <c:pt idx="85">
                  <c:v>0.85000000000000053</c:v>
                </c:pt>
                <c:pt idx="86">
                  <c:v>0.86000000000000054</c:v>
                </c:pt>
                <c:pt idx="87">
                  <c:v>0.87000000000000055</c:v>
                </c:pt>
                <c:pt idx="88">
                  <c:v>0.88000000000000056</c:v>
                </c:pt>
                <c:pt idx="89">
                  <c:v>0.89000000000000057</c:v>
                </c:pt>
                <c:pt idx="90">
                  <c:v>0.90000000000000058</c:v>
                </c:pt>
                <c:pt idx="91">
                  <c:v>0.91000000000000059</c:v>
                </c:pt>
                <c:pt idx="92">
                  <c:v>0.9200000000000006</c:v>
                </c:pt>
                <c:pt idx="93">
                  <c:v>0.9300000000000006</c:v>
                </c:pt>
                <c:pt idx="94">
                  <c:v>0.94000000000000061</c:v>
                </c:pt>
                <c:pt idx="95">
                  <c:v>0.95000000000000062</c:v>
                </c:pt>
                <c:pt idx="96">
                  <c:v>0.96000000000000063</c:v>
                </c:pt>
                <c:pt idx="97">
                  <c:v>0.97000000000000064</c:v>
                </c:pt>
                <c:pt idx="98">
                  <c:v>0.98000000000000065</c:v>
                </c:pt>
                <c:pt idx="99">
                  <c:v>0.99000000000000066</c:v>
                </c:pt>
                <c:pt idx="100">
                  <c:v>1.0000000000000007</c:v>
                </c:pt>
                <c:pt idx="101">
                  <c:v>1.1000000000000008</c:v>
                </c:pt>
                <c:pt idx="102">
                  <c:v>1.2000000000000008</c:v>
                </c:pt>
                <c:pt idx="103">
                  <c:v>1.3000000000000009</c:v>
                </c:pt>
                <c:pt idx="104">
                  <c:v>1.400000000000001</c:v>
                </c:pt>
                <c:pt idx="105">
                  <c:v>1.5000000000000011</c:v>
                </c:pt>
                <c:pt idx="106">
                  <c:v>1.6000000000000012</c:v>
                </c:pt>
                <c:pt idx="107">
                  <c:v>1.7000000000000013</c:v>
                </c:pt>
                <c:pt idx="108">
                  <c:v>1.8000000000000014</c:v>
                </c:pt>
                <c:pt idx="109">
                  <c:v>1.9000000000000015</c:v>
                </c:pt>
                <c:pt idx="110">
                  <c:v>2.0000000000000013</c:v>
                </c:pt>
                <c:pt idx="111">
                  <c:v>2.1000000000000014</c:v>
                </c:pt>
                <c:pt idx="112">
                  <c:v>2.2000000000000015</c:v>
                </c:pt>
                <c:pt idx="113">
                  <c:v>2.3000000000000016</c:v>
                </c:pt>
                <c:pt idx="114">
                  <c:v>2.4000000000000017</c:v>
                </c:pt>
                <c:pt idx="115">
                  <c:v>2.5000000000000018</c:v>
                </c:pt>
                <c:pt idx="116">
                  <c:v>2.6000000000000019</c:v>
                </c:pt>
                <c:pt idx="117">
                  <c:v>2.700000000000002</c:v>
                </c:pt>
                <c:pt idx="118">
                  <c:v>2.800000000000002</c:v>
                </c:pt>
                <c:pt idx="119">
                  <c:v>2.9000000000000021</c:v>
                </c:pt>
                <c:pt idx="120">
                  <c:v>3.0000000000000022</c:v>
                </c:pt>
                <c:pt idx="121">
                  <c:v>3.1000000000000023</c:v>
                </c:pt>
                <c:pt idx="122">
                  <c:v>3.2000000000000024</c:v>
                </c:pt>
                <c:pt idx="123">
                  <c:v>3.3000000000000025</c:v>
                </c:pt>
                <c:pt idx="124">
                  <c:v>3.4000000000000026</c:v>
                </c:pt>
                <c:pt idx="125">
                  <c:v>3.5000000000000027</c:v>
                </c:pt>
                <c:pt idx="126">
                  <c:v>3.6000000000000028</c:v>
                </c:pt>
                <c:pt idx="127">
                  <c:v>3.7000000000000028</c:v>
                </c:pt>
                <c:pt idx="128">
                  <c:v>3.8000000000000029</c:v>
                </c:pt>
                <c:pt idx="129">
                  <c:v>3.900000000000003</c:v>
                </c:pt>
                <c:pt idx="130">
                  <c:v>4.0000000000000027</c:v>
                </c:pt>
                <c:pt idx="131">
                  <c:v>4.1000000000000023</c:v>
                </c:pt>
                <c:pt idx="132">
                  <c:v>4.200000000000002</c:v>
                </c:pt>
                <c:pt idx="133">
                  <c:v>4.3000000000000016</c:v>
                </c:pt>
                <c:pt idx="134">
                  <c:v>4.4000000000000012</c:v>
                </c:pt>
                <c:pt idx="135">
                  <c:v>4.5000000000000009</c:v>
                </c:pt>
                <c:pt idx="136">
                  <c:v>4.6000000000000005</c:v>
                </c:pt>
                <c:pt idx="137">
                  <c:v>4.7</c:v>
                </c:pt>
                <c:pt idx="138">
                  <c:v>4.8</c:v>
                </c:pt>
                <c:pt idx="139">
                  <c:v>4.8999999999999995</c:v>
                </c:pt>
                <c:pt idx="140">
                  <c:v>4.9999999999999991</c:v>
                </c:pt>
                <c:pt idx="141">
                  <c:v>5.0999999999999988</c:v>
                </c:pt>
                <c:pt idx="142">
                  <c:v>5.1999999999999984</c:v>
                </c:pt>
                <c:pt idx="143">
                  <c:v>5.299999999999998</c:v>
                </c:pt>
                <c:pt idx="144">
                  <c:v>5.3999999999999977</c:v>
                </c:pt>
                <c:pt idx="145">
                  <c:v>5.4999999999999973</c:v>
                </c:pt>
                <c:pt idx="146">
                  <c:v>5.599999999999997</c:v>
                </c:pt>
                <c:pt idx="147">
                  <c:v>5.6999999999999966</c:v>
                </c:pt>
                <c:pt idx="148">
                  <c:v>5.7999999999999963</c:v>
                </c:pt>
                <c:pt idx="149">
                  <c:v>5.8999999999999959</c:v>
                </c:pt>
                <c:pt idx="150">
                  <c:v>5.9999999999999956</c:v>
                </c:pt>
                <c:pt idx="151">
                  <c:v>6.0999999999999952</c:v>
                </c:pt>
                <c:pt idx="152">
                  <c:v>6.1999999999999948</c:v>
                </c:pt>
                <c:pt idx="153">
                  <c:v>6.2999999999999945</c:v>
                </c:pt>
                <c:pt idx="154">
                  <c:v>6.3999999999999941</c:v>
                </c:pt>
                <c:pt idx="155">
                  <c:v>6.4999999999999938</c:v>
                </c:pt>
                <c:pt idx="156">
                  <c:v>6.5999999999999934</c:v>
                </c:pt>
                <c:pt idx="157">
                  <c:v>6.6999999999999931</c:v>
                </c:pt>
                <c:pt idx="158">
                  <c:v>6.7999999999999927</c:v>
                </c:pt>
                <c:pt idx="159">
                  <c:v>6.8999999999999924</c:v>
                </c:pt>
                <c:pt idx="160">
                  <c:v>6.999999999999992</c:v>
                </c:pt>
                <c:pt idx="161">
                  <c:v>7.0999999999999917</c:v>
                </c:pt>
                <c:pt idx="162">
                  <c:v>7.1999999999999913</c:v>
                </c:pt>
                <c:pt idx="163">
                  <c:v>7.2999999999999909</c:v>
                </c:pt>
                <c:pt idx="164">
                  <c:v>7.3999999999999906</c:v>
                </c:pt>
                <c:pt idx="165">
                  <c:v>7.4999999999999902</c:v>
                </c:pt>
                <c:pt idx="166">
                  <c:v>7.5999999999999899</c:v>
                </c:pt>
                <c:pt idx="167">
                  <c:v>7.6999999999999895</c:v>
                </c:pt>
                <c:pt idx="168">
                  <c:v>7.7999999999999892</c:v>
                </c:pt>
                <c:pt idx="169">
                  <c:v>7.8999999999999888</c:v>
                </c:pt>
                <c:pt idx="170">
                  <c:v>7.9999999999999885</c:v>
                </c:pt>
                <c:pt idx="171">
                  <c:v>8.099999999999989</c:v>
                </c:pt>
                <c:pt idx="172">
                  <c:v>8.1999999999999886</c:v>
                </c:pt>
                <c:pt idx="173">
                  <c:v>8.2999999999999883</c:v>
                </c:pt>
                <c:pt idx="174">
                  <c:v>8.3999999999999879</c:v>
                </c:pt>
                <c:pt idx="175">
                  <c:v>8.4999999999999876</c:v>
                </c:pt>
                <c:pt idx="176">
                  <c:v>8.5999999999999872</c:v>
                </c:pt>
                <c:pt idx="177">
                  <c:v>8.6999999999999869</c:v>
                </c:pt>
                <c:pt idx="178">
                  <c:v>8.7999999999999865</c:v>
                </c:pt>
                <c:pt idx="179">
                  <c:v>8.8999999999999861</c:v>
                </c:pt>
                <c:pt idx="180">
                  <c:v>8.9999999999999858</c:v>
                </c:pt>
                <c:pt idx="181">
                  <c:v>9.0999999999999854</c:v>
                </c:pt>
                <c:pt idx="182">
                  <c:v>9.1999999999999851</c:v>
                </c:pt>
                <c:pt idx="183">
                  <c:v>9.2999999999999847</c:v>
                </c:pt>
                <c:pt idx="184">
                  <c:v>9.3999999999999844</c:v>
                </c:pt>
                <c:pt idx="185">
                  <c:v>9.499999999999984</c:v>
                </c:pt>
                <c:pt idx="186">
                  <c:v>9.5999999999999837</c:v>
                </c:pt>
                <c:pt idx="187">
                  <c:v>9.6999999999999833</c:v>
                </c:pt>
                <c:pt idx="188">
                  <c:v>9.7999999999999829</c:v>
                </c:pt>
                <c:pt idx="189">
                  <c:v>9.8999999999999826</c:v>
                </c:pt>
                <c:pt idx="190">
                  <c:v>9.9999999999999822</c:v>
                </c:pt>
                <c:pt idx="191">
                  <c:v>10.099999999999982</c:v>
                </c:pt>
                <c:pt idx="192">
                  <c:v>10.199999999999982</c:v>
                </c:pt>
                <c:pt idx="193">
                  <c:v>10.299999999999981</c:v>
                </c:pt>
                <c:pt idx="194">
                  <c:v>10.399999999999981</c:v>
                </c:pt>
                <c:pt idx="195">
                  <c:v>10.49999999999998</c:v>
                </c:pt>
                <c:pt idx="196">
                  <c:v>10.59999999999998</c:v>
                </c:pt>
                <c:pt idx="197">
                  <c:v>10.69999999999998</c:v>
                </c:pt>
                <c:pt idx="198">
                  <c:v>10.799999999999979</c:v>
                </c:pt>
                <c:pt idx="199">
                  <c:v>10.899999999999979</c:v>
                </c:pt>
                <c:pt idx="200">
                  <c:v>10.999999999999979</c:v>
                </c:pt>
                <c:pt idx="201">
                  <c:v>11.099999999999978</c:v>
                </c:pt>
                <c:pt idx="202">
                  <c:v>11.199999999999978</c:v>
                </c:pt>
                <c:pt idx="203">
                  <c:v>11.299999999999978</c:v>
                </c:pt>
                <c:pt idx="204">
                  <c:v>11.399999999999977</c:v>
                </c:pt>
                <c:pt idx="205">
                  <c:v>11.499999999999977</c:v>
                </c:pt>
                <c:pt idx="206">
                  <c:v>11.599999999999977</c:v>
                </c:pt>
                <c:pt idx="207">
                  <c:v>11.699999999999976</c:v>
                </c:pt>
                <c:pt idx="208">
                  <c:v>11.799999999999976</c:v>
                </c:pt>
                <c:pt idx="209">
                  <c:v>11.899999999999975</c:v>
                </c:pt>
                <c:pt idx="210">
                  <c:v>11.999999999999975</c:v>
                </c:pt>
                <c:pt idx="211">
                  <c:v>12.099999999999975</c:v>
                </c:pt>
                <c:pt idx="212">
                  <c:v>12.199999999999974</c:v>
                </c:pt>
                <c:pt idx="213">
                  <c:v>12.299999999999974</c:v>
                </c:pt>
                <c:pt idx="214">
                  <c:v>12.399999999999974</c:v>
                </c:pt>
                <c:pt idx="215">
                  <c:v>12.499999999999973</c:v>
                </c:pt>
                <c:pt idx="216">
                  <c:v>12.599999999999973</c:v>
                </c:pt>
                <c:pt idx="217">
                  <c:v>12.699999999999973</c:v>
                </c:pt>
                <c:pt idx="218">
                  <c:v>12.799999999999972</c:v>
                </c:pt>
                <c:pt idx="219">
                  <c:v>12.899999999999972</c:v>
                </c:pt>
                <c:pt idx="220">
                  <c:v>12.999999999999972</c:v>
                </c:pt>
                <c:pt idx="221">
                  <c:v>13.099999999999971</c:v>
                </c:pt>
                <c:pt idx="222">
                  <c:v>13.199999999999971</c:v>
                </c:pt>
                <c:pt idx="223">
                  <c:v>13.299999999999971</c:v>
                </c:pt>
                <c:pt idx="224">
                  <c:v>13.39999999999997</c:v>
                </c:pt>
                <c:pt idx="225">
                  <c:v>13.49999999999997</c:v>
                </c:pt>
                <c:pt idx="226">
                  <c:v>13.599999999999969</c:v>
                </c:pt>
                <c:pt idx="227">
                  <c:v>13.699999999999969</c:v>
                </c:pt>
                <c:pt idx="228">
                  <c:v>13.799999999999969</c:v>
                </c:pt>
                <c:pt idx="229">
                  <c:v>13.899999999999968</c:v>
                </c:pt>
                <c:pt idx="230">
                  <c:v>13.999999999999968</c:v>
                </c:pt>
                <c:pt idx="231">
                  <c:v>14.099999999999968</c:v>
                </c:pt>
                <c:pt idx="232">
                  <c:v>14.199999999999967</c:v>
                </c:pt>
                <c:pt idx="233">
                  <c:v>14.299999999999967</c:v>
                </c:pt>
                <c:pt idx="234">
                  <c:v>14.399999999999967</c:v>
                </c:pt>
                <c:pt idx="235">
                  <c:v>14.499999999999966</c:v>
                </c:pt>
                <c:pt idx="236">
                  <c:v>14.599999999999966</c:v>
                </c:pt>
                <c:pt idx="237">
                  <c:v>14.699999999999966</c:v>
                </c:pt>
                <c:pt idx="238">
                  <c:v>14.799999999999965</c:v>
                </c:pt>
                <c:pt idx="239">
                  <c:v>14.899999999999965</c:v>
                </c:pt>
                <c:pt idx="240">
                  <c:v>14.999999999999964</c:v>
                </c:pt>
                <c:pt idx="241">
                  <c:v>15.099999999999964</c:v>
                </c:pt>
                <c:pt idx="242">
                  <c:v>15.199999999999964</c:v>
                </c:pt>
                <c:pt idx="243">
                  <c:v>15.299999999999963</c:v>
                </c:pt>
                <c:pt idx="244">
                  <c:v>15.399999999999963</c:v>
                </c:pt>
                <c:pt idx="245">
                  <c:v>15.499999999999963</c:v>
                </c:pt>
                <c:pt idx="246">
                  <c:v>15.599999999999962</c:v>
                </c:pt>
                <c:pt idx="247">
                  <c:v>15.699999999999962</c:v>
                </c:pt>
                <c:pt idx="248">
                  <c:v>15.799999999999962</c:v>
                </c:pt>
                <c:pt idx="249">
                  <c:v>15.899999999999961</c:v>
                </c:pt>
                <c:pt idx="250">
                  <c:v>15.999999999999961</c:v>
                </c:pt>
                <c:pt idx="251">
                  <c:v>16.099999999999962</c:v>
                </c:pt>
                <c:pt idx="252">
                  <c:v>16.199999999999964</c:v>
                </c:pt>
                <c:pt idx="253">
                  <c:v>16.299999999999965</c:v>
                </c:pt>
                <c:pt idx="254">
                  <c:v>16.399999999999967</c:v>
                </c:pt>
                <c:pt idx="255">
                  <c:v>16.499999999999968</c:v>
                </c:pt>
                <c:pt idx="256">
                  <c:v>16.599999999999969</c:v>
                </c:pt>
                <c:pt idx="257">
                  <c:v>16.699999999999971</c:v>
                </c:pt>
                <c:pt idx="258">
                  <c:v>16.799999999999972</c:v>
                </c:pt>
                <c:pt idx="259">
                  <c:v>16.899999999999974</c:v>
                </c:pt>
                <c:pt idx="260">
                  <c:v>16.999999999999975</c:v>
                </c:pt>
                <c:pt idx="261">
                  <c:v>17.099999999999977</c:v>
                </c:pt>
                <c:pt idx="262">
                  <c:v>17.199999999999978</c:v>
                </c:pt>
                <c:pt idx="263">
                  <c:v>17.299999999999979</c:v>
                </c:pt>
                <c:pt idx="264">
                  <c:v>17.399999999999981</c:v>
                </c:pt>
                <c:pt idx="265">
                  <c:v>17.499999999999982</c:v>
                </c:pt>
                <c:pt idx="266">
                  <c:v>17.599999999999984</c:v>
                </c:pt>
                <c:pt idx="267">
                  <c:v>17.699999999999985</c:v>
                </c:pt>
                <c:pt idx="268">
                  <c:v>17.799999999999986</c:v>
                </c:pt>
                <c:pt idx="269">
                  <c:v>17.899999999999988</c:v>
                </c:pt>
                <c:pt idx="270">
                  <c:v>17.999999999999989</c:v>
                </c:pt>
                <c:pt idx="271">
                  <c:v>18.099999999999991</c:v>
                </c:pt>
                <c:pt idx="272">
                  <c:v>18.199999999999992</c:v>
                </c:pt>
                <c:pt idx="273">
                  <c:v>18.299999999999994</c:v>
                </c:pt>
                <c:pt idx="274">
                  <c:v>18.399999999999995</c:v>
                </c:pt>
                <c:pt idx="275">
                  <c:v>18.499999999999996</c:v>
                </c:pt>
                <c:pt idx="276">
                  <c:v>18.599999999999998</c:v>
                </c:pt>
                <c:pt idx="277">
                  <c:v>18.7</c:v>
                </c:pt>
                <c:pt idx="278">
                  <c:v>18.8</c:v>
                </c:pt>
                <c:pt idx="279">
                  <c:v>18.900000000000002</c:v>
                </c:pt>
                <c:pt idx="280">
                  <c:v>19.000000000000004</c:v>
                </c:pt>
                <c:pt idx="281">
                  <c:v>19.100000000000005</c:v>
                </c:pt>
                <c:pt idx="282">
                  <c:v>19.200000000000006</c:v>
                </c:pt>
                <c:pt idx="283">
                  <c:v>19.300000000000008</c:v>
                </c:pt>
                <c:pt idx="284">
                  <c:v>19.400000000000009</c:v>
                </c:pt>
                <c:pt idx="285">
                  <c:v>19.500000000000011</c:v>
                </c:pt>
                <c:pt idx="286">
                  <c:v>19.600000000000012</c:v>
                </c:pt>
                <c:pt idx="287">
                  <c:v>19.700000000000014</c:v>
                </c:pt>
                <c:pt idx="288">
                  <c:v>19.800000000000015</c:v>
                </c:pt>
                <c:pt idx="289">
                  <c:v>19.900000000000016</c:v>
                </c:pt>
                <c:pt idx="290">
                  <c:v>20.000000000000018</c:v>
                </c:pt>
                <c:pt idx="291">
                  <c:v>20.100000000000019</c:v>
                </c:pt>
                <c:pt idx="292">
                  <c:v>20.200000000000021</c:v>
                </c:pt>
                <c:pt idx="293">
                  <c:v>20.300000000000022</c:v>
                </c:pt>
                <c:pt idx="294">
                  <c:v>20.400000000000023</c:v>
                </c:pt>
                <c:pt idx="295">
                  <c:v>20.500000000000025</c:v>
                </c:pt>
                <c:pt idx="296">
                  <c:v>20.600000000000026</c:v>
                </c:pt>
                <c:pt idx="297">
                  <c:v>20.700000000000028</c:v>
                </c:pt>
                <c:pt idx="298">
                  <c:v>20.800000000000029</c:v>
                </c:pt>
                <c:pt idx="299">
                  <c:v>20.900000000000031</c:v>
                </c:pt>
                <c:pt idx="300">
                  <c:v>21.000000000000032</c:v>
                </c:pt>
                <c:pt idx="301">
                  <c:v>21.100000000000033</c:v>
                </c:pt>
                <c:pt idx="302">
                  <c:v>21.200000000000035</c:v>
                </c:pt>
                <c:pt idx="303">
                  <c:v>21.300000000000036</c:v>
                </c:pt>
                <c:pt idx="304">
                  <c:v>21.400000000000038</c:v>
                </c:pt>
                <c:pt idx="305">
                  <c:v>21.500000000000039</c:v>
                </c:pt>
                <c:pt idx="306">
                  <c:v>21.600000000000041</c:v>
                </c:pt>
                <c:pt idx="307">
                  <c:v>21.700000000000042</c:v>
                </c:pt>
                <c:pt idx="308">
                  <c:v>21.800000000000043</c:v>
                </c:pt>
                <c:pt idx="309">
                  <c:v>21.900000000000045</c:v>
                </c:pt>
                <c:pt idx="310">
                  <c:v>22.000000000000046</c:v>
                </c:pt>
                <c:pt idx="311">
                  <c:v>22.100000000000048</c:v>
                </c:pt>
                <c:pt idx="312">
                  <c:v>22.200000000000049</c:v>
                </c:pt>
                <c:pt idx="313">
                  <c:v>22.30000000000005</c:v>
                </c:pt>
                <c:pt idx="314">
                  <c:v>22.400000000000052</c:v>
                </c:pt>
                <c:pt idx="315">
                  <c:v>22.500000000000053</c:v>
                </c:pt>
                <c:pt idx="316">
                  <c:v>22.600000000000055</c:v>
                </c:pt>
                <c:pt idx="317">
                  <c:v>22.700000000000056</c:v>
                </c:pt>
                <c:pt idx="318">
                  <c:v>22.800000000000058</c:v>
                </c:pt>
                <c:pt idx="319">
                  <c:v>22.900000000000059</c:v>
                </c:pt>
                <c:pt idx="320">
                  <c:v>23.00000000000006</c:v>
                </c:pt>
                <c:pt idx="321">
                  <c:v>23.100000000000062</c:v>
                </c:pt>
                <c:pt idx="322">
                  <c:v>23.200000000000063</c:v>
                </c:pt>
                <c:pt idx="323">
                  <c:v>23.300000000000065</c:v>
                </c:pt>
                <c:pt idx="324">
                  <c:v>23.400000000000066</c:v>
                </c:pt>
                <c:pt idx="325">
                  <c:v>23.500000000000068</c:v>
                </c:pt>
                <c:pt idx="326">
                  <c:v>23.600000000000069</c:v>
                </c:pt>
                <c:pt idx="327">
                  <c:v>23.70000000000007</c:v>
                </c:pt>
                <c:pt idx="328">
                  <c:v>23.800000000000072</c:v>
                </c:pt>
                <c:pt idx="329">
                  <c:v>23.900000000000073</c:v>
                </c:pt>
                <c:pt idx="330">
                  <c:v>24.000000000000075</c:v>
                </c:pt>
                <c:pt idx="331">
                  <c:v>24.100000000000076</c:v>
                </c:pt>
                <c:pt idx="332">
                  <c:v>24.200000000000077</c:v>
                </c:pt>
                <c:pt idx="333">
                  <c:v>24.300000000000079</c:v>
                </c:pt>
                <c:pt idx="334">
                  <c:v>24.40000000000008</c:v>
                </c:pt>
                <c:pt idx="335">
                  <c:v>24.500000000000082</c:v>
                </c:pt>
                <c:pt idx="336">
                  <c:v>24.600000000000083</c:v>
                </c:pt>
                <c:pt idx="337">
                  <c:v>24.700000000000085</c:v>
                </c:pt>
                <c:pt idx="338">
                  <c:v>24.800000000000086</c:v>
                </c:pt>
                <c:pt idx="339">
                  <c:v>24.900000000000087</c:v>
                </c:pt>
                <c:pt idx="340">
                  <c:v>25.000000000000089</c:v>
                </c:pt>
                <c:pt idx="341">
                  <c:v>25.10000000000009</c:v>
                </c:pt>
                <c:pt idx="342">
                  <c:v>25.200000000000092</c:v>
                </c:pt>
                <c:pt idx="343">
                  <c:v>25.300000000000093</c:v>
                </c:pt>
                <c:pt idx="344">
                  <c:v>25.400000000000095</c:v>
                </c:pt>
                <c:pt idx="345">
                  <c:v>25.500000000000096</c:v>
                </c:pt>
                <c:pt idx="346">
                  <c:v>25.600000000000097</c:v>
                </c:pt>
                <c:pt idx="347">
                  <c:v>25.700000000000099</c:v>
                </c:pt>
                <c:pt idx="348">
                  <c:v>25.8000000000001</c:v>
                </c:pt>
                <c:pt idx="349">
                  <c:v>25.900000000000102</c:v>
                </c:pt>
                <c:pt idx="350">
                  <c:v>26.000000000000103</c:v>
                </c:pt>
                <c:pt idx="351">
                  <c:v>26.100000000000104</c:v>
                </c:pt>
                <c:pt idx="352">
                  <c:v>26.200000000000106</c:v>
                </c:pt>
                <c:pt idx="353">
                  <c:v>26.300000000000107</c:v>
                </c:pt>
                <c:pt idx="354">
                  <c:v>26.400000000000109</c:v>
                </c:pt>
                <c:pt idx="355">
                  <c:v>26.50000000000011</c:v>
                </c:pt>
                <c:pt idx="356">
                  <c:v>26.600000000000112</c:v>
                </c:pt>
                <c:pt idx="357">
                  <c:v>26.700000000000113</c:v>
                </c:pt>
                <c:pt idx="358">
                  <c:v>26.800000000000114</c:v>
                </c:pt>
                <c:pt idx="359">
                  <c:v>26.900000000000116</c:v>
                </c:pt>
                <c:pt idx="360">
                  <c:v>27.000000000000117</c:v>
                </c:pt>
                <c:pt idx="361">
                  <c:v>27.100000000000119</c:v>
                </c:pt>
                <c:pt idx="362">
                  <c:v>27.20000000000012</c:v>
                </c:pt>
                <c:pt idx="363">
                  <c:v>27.300000000000122</c:v>
                </c:pt>
                <c:pt idx="364">
                  <c:v>27.400000000000123</c:v>
                </c:pt>
                <c:pt idx="365">
                  <c:v>27.500000000000124</c:v>
                </c:pt>
                <c:pt idx="366">
                  <c:v>27.600000000000126</c:v>
                </c:pt>
                <c:pt idx="367">
                  <c:v>27.700000000000127</c:v>
                </c:pt>
                <c:pt idx="368">
                  <c:v>27.800000000000129</c:v>
                </c:pt>
                <c:pt idx="369">
                  <c:v>27.90000000000013</c:v>
                </c:pt>
                <c:pt idx="370">
                  <c:v>28.000000000000131</c:v>
                </c:pt>
                <c:pt idx="371">
                  <c:v>28.100000000000133</c:v>
                </c:pt>
                <c:pt idx="372">
                  <c:v>28.200000000000134</c:v>
                </c:pt>
                <c:pt idx="373">
                  <c:v>28.300000000000136</c:v>
                </c:pt>
                <c:pt idx="374">
                  <c:v>28.400000000000137</c:v>
                </c:pt>
                <c:pt idx="375">
                  <c:v>28.500000000000139</c:v>
                </c:pt>
                <c:pt idx="376">
                  <c:v>28.60000000000014</c:v>
                </c:pt>
                <c:pt idx="377">
                  <c:v>28.60010000000014</c:v>
                </c:pt>
                <c:pt idx="378">
                  <c:v>28.60020000000014</c:v>
                </c:pt>
                <c:pt idx="379">
                  <c:v>28.600300000000139</c:v>
                </c:pt>
                <c:pt idx="380">
                  <c:v>28.600400000000139</c:v>
                </c:pt>
                <c:pt idx="381">
                  <c:v>28.600500000000139</c:v>
                </c:pt>
                <c:pt idx="382">
                  <c:v>28.600600000000139</c:v>
                </c:pt>
                <c:pt idx="383">
                  <c:v>28.600700000000138</c:v>
                </c:pt>
                <c:pt idx="384">
                  <c:v>28.600800000000138</c:v>
                </c:pt>
                <c:pt idx="385">
                  <c:v>28.600900000000138</c:v>
                </c:pt>
                <c:pt idx="386">
                  <c:v>28.601000000000138</c:v>
                </c:pt>
                <c:pt idx="387">
                  <c:v>28.601100000000137</c:v>
                </c:pt>
                <c:pt idx="388">
                  <c:v>28.601200000000137</c:v>
                </c:pt>
                <c:pt idx="389">
                  <c:v>28.601300000000137</c:v>
                </c:pt>
                <c:pt idx="390">
                  <c:v>28.601400000000137</c:v>
                </c:pt>
                <c:pt idx="391">
                  <c:v>28.601500000000136</c:v>
                </c:pt>
                <c:pt idx="392">
                  <c:v>28.601600000000136</c:v>
                </c:pt>
                <c:pt idx="393">
                  <c:v>28.601700000000136</c:v>
                </c:pt>
                <c:pt idx="394">
                  <c:v>28.601800000000136</c:v>
                </c:pt>
                <c:pt idx="395">
                  <c:v>28.601900000000136</c:v>
                </c:pt>
                <c:pt idx="396">
                  <c:v>28.602000000000135</c:v>
                </c:pt>
                <c:pt idx="397">
                  <c:v>28.602100000000135</c:v>
                </c:pt>
                <c:pt idx="398">
                  <c:v>28.602200000000135</c:v>
                </c:pt>
                <c:pt idx="399">
                  <c:v>28.602300000000135</c:v>
                </c:pt>
                <c:pt idx="400">
                  <c:v>28.602400000000134</c:v>
                </c:pt>
                <c:pt idx="401">
                  <c:v>28.602500000000134</c:v>
                </c:pt>
                <c:pt idx="402">
                  <c:v>28.602600000000134</c:v>
                </c:pt>
                <c:pt idx="403">
                  <c:v>28.602700000000134</c:v>
                </c:pt>
                <c:pt idx="404">
                  <c:v>28.602800000000133</c:v>
                </c:pt>
                <c:pt idx="405">
                  <c:v>28.602900000000133</c:v>
                </c:pt>
                <c:pt idx="406">
                  <c:v>28.603000000000133</c:v>
                </c:pt>
                <c:pt idx="407">
                  <c:v>28.603100000000133</c:v>
                </c:pt>
                <c:pt idx="408">
                  <c:v>28.603200000000133</c:v>
                </c:pt>
                <c:pt idx="409">
                  <c:v>28.603300000000132</c:v>
                </c:pt>
                <c:pt idx="410">
                  <c:v>28.603400000000132</c:v>
                </c:pt>
                <c:pt idx="411">
                  <c:v>28.603500000000132</c:v>
                </c:pt>
                <c:pt idx="412">
                  <c:v>28.603600000000132</c:v>
                </c:pt>
                <c:pt idx="413">
                  <c:v>28.603700000000131</c:v>
                </c:pt>
                <c:pt idx="414">
                  <c:v>28.603800000000131</c:v>
                </c:pt>
                <c:pt idx="415">
                  <c:v>28.603900000000131</c:v>
                </c:pt>
                <c:pt idx="416">
                  <c:v>28.604000000000131</c:v>
                </c:pt>
                <c:pt idx="417">
                  <c:v>28.60410000000013</c:v>
                </c:pt>
                <c:pt idx="418">
                  <c:v>28.60420000000013</c:v>
                </c:pt>
                <c:pt idx="419">
                  <c:v>28.60430000000013</c:v>
                </c:pt>
                <c:pt idx="420">
                  <c:v>28.60440000000013</c:v>
                </c:pt>
                <c:pt idx="421">
                  <c:v>28.604500000000129</c:v>
                </c:pt>
                <c:pt idx="422">
                  <c:v>28.604600000000129</c:v>
                </c:pt>
                <c:pt idx="423">
                  <c:v>28.604700000000129</c:v>
                </c:pt>
                <c:pt idx="424">
                  <c:v>28.604800000000129</c:v>
                </c:pt>
                <c:pt idx="425">
                  <c:v>28.604900000000129</c:v>
                </c:pt>
                <c:pt idx="426">
                  <c:v>28.605000000000128</c:v>
                </c:pt>
                <c:pt idx="427">
                  <c:v>28.605100000000128</c:v>
                </c:pt>
                <c:pt idx="428">
                  <c:v>28.605200000000128</c:v>
                </c:pt>
                <c:pt idx="429">
                  <c:v>28.605300000000128</c:v>
                </c:pt>
                <c:pt idx="430">
                  <c:v>28.605400000000127</c:v>
                </c:pt>
                <c:pt idx="431">
                  <c:v>28.605500000000127</c:v>
                </c:pt>
                <c:pt idx="432">
                  <c:v>28.605600000000127</c:v>
                </c:pt>
                <c:pt idx="433">
                  <c:v>28.605700000000127</c:v>
                </c:pt>
                <c:pt idx="434">
                  <c:v>28.605800000000126</c:v>
                </c:pt>
                <c:pt idx="435">
                  <c:v>28.605900000000126</c:v>
                </c:pt>
                <c:pt idx="436">
                  <c:v>28.606000000000126</c:v>
                </c:pt>
                <c:pt idx="437">
                  <c:v>28.606100000000126</c:v>
                </c:pt>
                <c:pt idx="438">
                  <c:v>28.606200000000126</c:v>
                </c:pt>
                <c:pt idx="439">
                  <c:v>28.606300000000125</c:v>
                </c:pt>
                <c:pt idx="440">
                  <c:v>28.606400000000125</c:v>
                </c:pt>
                <c:pt idx="441">
                  <c:v>28.606500000000125</c:v>
                </c:pt>
                <c:pt idx="442">
                  <c:v>28.606600000000125</c:v>
                </c:pt>
                <c:pt idx="443">
                  <c:v>28.606700000000124</c:v>
                </c:pt>
                <c:pt idx="444">
                  <c:v>28.606800000000124</c:v>
                </c:pt>
                <c:pt idx="445">
                  <c:v>28.606900000000124</c:v>
                </c:pt>
                <c:pt idx="446">
                  <c:v>28.607000000000124</c:v>
                </c:pt>
                <c:pt idx="447">
                  <c:v>28.607100000000123</c:v>
                </c:pt>
                <c:pt idx="448">
                  <c:v>28.607200000000123</c:v>
                </c:pt>
                <c:pt idx="449">
                  <c:v>28.607300000000123</c:v>
                </c:pt>
                <c:pt idx="450">
                  <c:v>28.607400000000123</c:v>
                </c:pt>
                <c:pt idx="451">
                  <c:v>28.607500000000122</c:v>
                </c:pt>
                <c:pt idx="452">
                  <c:v>28.607600000000122</c:v>
                </c:pt>
                <c:pt idx="453">
                  <c:v>28.607700000000122</c:v>
                </c:pt>
                <c:pt idx="454">
                  <c:v>28.607800000000122</c:v>
                </c:pt>
                <c:pt idx="455">
                  <c:v>28.607900000000122</c:v>
                </c:pt>
                <c:pt idx="456">
                  <c:v>28.608000000000121</c:v>
                </c:pt>
                <c:pt idx="457">
                  <c:v>28.608100000000121</c:v>
                </c:pt>
                <c:pt idx="458">
                  <c:v>28.608200000000121</c:v>
                </c:pt>
                <c:pt idx="459">
                  <c:v>28.608300000000121</c:v>
                </c:pt>
                <c:pt idx="460">
                  <c:v>28.60840000000012</c:v>
                </c:pt>
                <c:pt idx="461">
                  <c:v>28.60850000000012</c:v>
                </c:pt>
                <c:pt idx="462">
                  <c:v>28.60860000000012</c:v>
                </c:pt>
                <c:pt idx="463">
                  <c:v>28.60870000000012</c:v>
                </c:pt>
                <c:pt idx="464">
                  <c:v>28.608800000000119</c:v>
                </c:pt>
                <c:pt idx="465">
                  <c:v>28.608900000000119</c:v>
                </c:pt>
                <c:pt idx="466">
                  <c:v>28.609000000000119</c:v>
                </c:pt>
                <c:pt idx="467">
                  <c:v>28.609100000000119</c:v>
                </c:pt>
                <c:pt idx="468">
                  <c:v>28.609200000000119</c:v>
                </c:pt>
                <c:pt idx="469">
                  <c:v>28.609300000000118</c:v>
                </c:pt>
                <c:pt idx="470">
                  <c:v>28.609400000000118</c:v>
                </c:pt>
                <c:pt idx="471">
                  <c:v>28.609500000000118</c:v>
                </c:pt>
                <c:pt idx="472">
                  <c:v>28.609600000000118</c:v>
                </c:pt>
                <c:pt idx="473">
                  <c:v>28.609700000000117</c:v>
                </c:pt>
                <c:pt idx="474">
                  <c:v>28.609800000000117</c:v>
                </c:pt>
                <c:pt idx="475">
                  <c:v>28.609900000000117</c:v>
                </c:pt>
                <c:pt idx="476">
                  <c:v>28.610000000000117</c:v>
                </c:pt>
                <c:pt idx="477">
                  <c:v>28.610100000000116</c:v>
                </c:pt>
                <c:pt idx="478">
                  <c:v>28.610200000000116</c:v>
                </c:pt>
                <c:pt idx="479">
                  <c:v>28.610300000000116</c:v>
                </c:pt>
                <c:pt idx="480">
                  <c:v>28.610400000000116</c:v>
                </c:pt>
                <c:pt idx="481">
                  <c:v>28.610500000000116</c:v>
                </c:pt>
                <c:pt idx="482">
                  <c:v>28.610600000000115</c:v>
                </c:pt>
                <c:pt idx="483">
                  <c:v>28.610700000000115</c:v>
                </c:pt>
                <c:pt idx="484">
                  <c:v>28.610800000000115</c:v>
                </c:pt>
                <c:pt idx="485">
                  <c:v>28.610900000000115</c:v>
                </c:pt>
                <c:pt idx="486">
                  <c:v>28.611000000000114</c:v>
                </c:pt>
                <c:pt idx="487">
                  <c:v>28.611100000000114</c:v>
                </c:pt>
                <c:pt idx="488">
                  <c:v>28.611200000000114</c:v>
                </c:pt>
                <c:pt idx="489">
                  <c:v>28.611300000000114</c:v>
                </c:pt>
                <c:pt idx="490">
                  <c:v>28.611400000000113</c:v>
                </c:pt>
                <c:pt idx="491">
                  <c:v>28.611500000000113</c:v>
                </c:pt>
                <c:pt idx="492">
                  <c:v>28.611600000000113</c:v>
                </c:pt>
                <c:pt idx="493">
                  <c:v>28.611700000000113</c:v>
                </c:pt>
                <c:pt idx="494">
                  <c:v>28.611800000000112</c:v>
                </c:pt>
                <c:pt idx="495">
                  <c:v>28.611900000000112</c:v>
                </c:pt>
                <c:pt idx="496">
                  <c:v>28.612000000000112</c:v>
                </c:pt>
                <c:pt idx="497">
                  <c:v>28.612100000000112</c:v>
                </c:pt>
                <c:pt idx="498">
                  <c:v>28.612200000000112</c:v>
                </c:pt>
                <c:pt idx="499">
                  <c:v>28.612300000000111</c:v>
                </c:pt>
                <c:pt idx="500">
                  <c:v>28.612400000000111</c:v>
                </c:pt>
                <c:pt idx="501">
                  <c:v>28.612500000000111</c:v>
                </c:pt>
                <c:pt idx="502">
                  <c:v>28.612600000000111</c:v>
                </c:pt>
                <c:pt idx="503">
                  <c:v>28.61270000000011</c:v>
                </c:pt>
                <c:pt idx="504">
                  <c:v>28.61280000000011</c:v>
                </c:pt>
                <c:pt idx="505">
                  <c:v>28.61290000000011</c:v>
                </c:pt>
                <c:pt idx="506">
                  <c:v>28.61300000000011</c:v>
                </c:pt>
                <c:pt idx="507">
                  <c:v>28.613100000000109</c:v>
                </c:pt>
                <c:pt idx="508">
                  <c:v>28.613200000000109</c:v>
                </c:pt>
                <c:pt idx="509">
                  <c:v>28.613300000000109</c:v>
                </c:pt>
                <c:pt idx="510">
                  <c:v>28.613400000000109</c:v>
                </c:pt>
                <c:pt idx="511">
                  <c:v>28.613500000000109</c:v>
                </c:pt>
                <c:pt idx="512">
                  <c:v>28.613600000000108</c:v>
                </c:pt>
                <c:pt idx="513">
                  <c:v>28.613700000000108</c:v>
                </c:pt>
                <c:pt idx="514">
                  <c:v>28.613800000000108</c:v>
                </c:pt>
                <c:pt idx="515">
                  <c:v>28.613900000000108</c:v>
                </c:pt>
                <c:pt idx="516">
                  <c:v>28.614000000000107</c:v>
                </c:pt>
                <c:pt idx="517">
                  <c:v>28.614100000000107</c:v>
                </c:pt>
                <c:pt idx="518">
                  <c:v>28.614200000000107</c:v>
                </c:pt>
                <c:pt idx="519">
                  <c:v>28.614300000000107</c:v>
                </c:pt>
                <c:pt idx="520">
                  <c:v>28.614400000000106</c:v>
                </c:pt>
                <c:pt idx="521">
                  <c:v>28.614500000000106</c:v>
                </c:pt>
                <c:pt idx="522">
                  <c:v>28.614600000000106</c:v>
                </c:pt>
                <c:pt idx="523">
                  <c:v>28.614700000000106</c:v>
                </c:pt>
                <c:pt idx="524">
                  <c:v>28.614800000000105</c:v>
                </c:pt>
                <c:pt idx="525">
                  <c:v>28.614900000000105</c:v>
                </c:pt>
                <c:pt idx="526">
                  <c:v>28.615000000000105</c:v>
                </c:pt>
                <c:pt idx="527">
                  <c:v>28.615100000000105</c:v>
                </c:pt>
                <c:pt idx="528">
                  <c:v>28.615200000000105</c:v>
                </c:pt>
                <c:pt idx="529">
                  <c:v>28.615300000000104</c:v>
                </c:pt>
                <c:pt idx="530">
                  <c:v>28.615400000000104</c:v>
                </c:pt>
                <c:pt idx="531">
                  <c:v>28.615500000000104</c:v>
                </c:pt>
                <c:pt idx="532">
                  <c:v>28.615600000000104</c:v>
                </c:pt>
                <c:pt idx="533">
                  <c:v>28.615700000000103</c:v>
                </c:pt>
                <c:pt idx="534">
                  <c:v>28.615800000000103</c:v>
                </c:pt>
                <c:pt idx="535">
                  <c:v>28.615900000000103</c:v>
                </c:pt>
                <c:pt idx="536">
                  <c:v>28.616000000000103</c:v>
                </c:pt>
                <c:pt idx="537">
                  <c:v>28.616100000000102</c:v>
                </c:pt>
                <c:pt idx="538">
                  <c:v>28.616200000000102</c:v>
                </c:pt>
                <c:pt idx="539">
                  <c:v>28.616300000000102</c:v>
                </c:pt>
                <c:pt idx="540">
                  <c:v>28.616400000000102</c:v>
                </c:pt>
                <c:pt idx="541">
                  <c:v>28.616500000000102</c:v>
                </c:pt>
                <c:pt idx="542">
                  <c:v>28.616600000000101</c:v>
                </c:pt>
                <c:pt idx="543">
                  <c:v>28.616700000000101</c:v>
                </c:pt>
                <c:pt idx="544">
                  <c:v>28.616800000000101</c:v>
                </c:pt>
                <c:pt idx="545">
                  <c:v>28.616900000000101</c:v>
                </c:pt>
                <c:pt idx="546">
                  <c:v>28.6170000000001</c:v>
                </c:pt>
                <c:pt idx="547">
                  <c:v>28.6171000000001</c:v>
                </c:pt>
                <c:pt idx="548">
                  <c:v>28.6172000000001</c:v>
                </c:pt>
                <c:pt idx="549">
                  <c:v>28.6173000000001</c:v>
                </c:pt>
                <c:pt idx="550">
                  <c:v>28.617400000000099</c:v>
                </c:pt>
                <c:pt idx="551">
                  <c:v>28.617500000000099</c:v>
                </c:pt>
                <c:pt idx="552">
                  <c:v>28.617600000000099</c:v>
                </c:pt>
                <c:pt idx="553">
                  <c:v>28.617700000000099</c:v>
                </c:pt>
                <c:pt idx="554">
                  <c:v>28.617800000000098</c:v>
                </c:pt>
                <c:pt idx="555">
                  <c:v>28.617900000000098</c:v>
                </c:pt>
                <c:pt idx="556">
                  <c:v>28.618000000000098</c:v>
                </c:pt>
                <c:pt idx="557">
                  <c:v>28.618100000000098</c:v>
                </c:pt>
                <c:pt idx="558">
                  <c:v>28.618200000000098</c:v>
                </c:pt>
                <c:pt idx="559">
                  <c:v>28.618300000000097</c:v>
                </c:pt>
                <c:pt idx="560">
                  <c:v>28.618400000000097</c:v>
                </c:pt>
                <c:pt idx="561">
                  <c:v>28.618500000000097</c:v>
                </c:pt>
                <c:pt idx="562">
                  <c:v>28.618600000000097</c:v>
                </c:pt>
                <c:pt idx="563">
                  <c:v>28.618700000000096</c:v>
                </c:pt>
                <c:pt idx="564">
                  <c:v>28.618800000000096</c:v>
                </c:pt>
                <c:pt idx="565">
                  <c:v>28.618900000000096</c:v>
                </c:pt>
                <c:pt idx="566">
                  <c:v>28.619000000000096</c:v>
                </c:pt>
                <c:pt idx="567">
                  <c:v>28.619100000000095</c:v>
                </c:pt>
                <c:pt idx="568">
                  <c:v>28.619200000000095</c:v>
                </c:pt>
                <c:pt idx="569">
                  <c:v>28.619300000000095</c:v>
                </c:pt>
                <c:pt idx="570">
                  <c:v>28.619400000000095</c:v>
                </c:pt>
                <c:pt idx="571">
                  <c:v>28.619500000000095</c:v>
                </c:pt>
                <c:pt idx="572">
                  <c:v>28.619600000000094</c:v>
                </c:pt>
                <c:pt idx="573">
                  <c:v>28.619700000000094</c:v>
                </c:pt>
                <c:pt idx="574">
                  <c:v>28.619800000000094</c:v>
                </c:pt>
                <c:pt idx="575">
                  <c:v>28.619900000000094</c:v>
                </c:pt>
                <c:pt idx="576">
                  <c:v>28.620000000000093</c:v>
                </c:pt>
                <c:pt idx="577">
                  <c:v>28.620100000000093</c:v>
                </c:pt>
                <c:pt idx="578">
                  <c:v>28.620200000000093</c:v>
                </c:pt>
                <c:pt idx="579">
                  <c:v>28.620300000000093</c:v>
                </c:pt>
                <c:pt idx="580">
                  <c:v>28.620400000000092</c:v>
                </c:pt>
                <c:pt idx="581">
                  <c:v>28.620500000000092</c:v>
                </c:pt>
                <c:pt idx="582">
                  <c:v>28.620600000000092</c:v>
                </c:pt>
                <c:pt idx="583">
                  <c:v>28.620700000000092</c:v>
                </c:pt>
                <c:pt idx="584">
                  <c:v>28.620800000000092</c:v>
                </c:pt>
                <c:pt idx="585">
                  <c:v>28.620900000000091</c:v>
                </c:pt>
                <c:pt idx="586">
                  <c:v>28.621000000000091</c:v>
                </c:pt>
                <c:pt idx="587">
                  <c:v>28.621100000000091</c:v>
                </c:pt>
                <c:pt idx="588">
                  <c:v>28.621200000000091</c:v>
                </c:pt>
                <c:pt idx="589">
                  <c:v>28.62130000000009</c:v>
                </c:pt>
                <c:pt idx="590">
                  <c:v>28.62140000000009</c:v>
                </c:pt>
                <c:pt idx="591">
                  <c:v>28.62150000000009</c:v>
                </c:pt>
                <c:pt idx="592">
                  <c:v>28.62160000000009</c:v>
                </c:pt>
                <c:pt idx="593">
                  <c:v>28.621700000000089</c:v>
                </c:pt>
                <c:pt idx="594">
                  <c:v>28.621800000000089</c:v>
                </c:pt>
                <c:pt idx="595">
                  <c:v>28.621900000000089</c:v>
                </c:pt>
                <c:pt idx="596">
                  <c:v>28.622000000000089</c:v>
                </c:pt>
                <c:pt idx="597">
                  <c:v>28.622100000000088</c:v>
                </c:pt>
                <c:pt idx="598">
                  <c:v>28.622200000000088</c:v>
                </c:pt>
                <c:pt idx="599">
                  <c:v>28.622300000000088</c:v>
                </c:pt>
                <c:pt idx="600">
                  <c:v>28.622400000000088</c:v>
                </c:pt>
                <c:pt idx="601">
                  <c:v>28.622500000000088</c:v>
                </c:pt>
                <c:pt idx="602">
                  <c:v>28.622600000000087</c:v>
                </c:pt>
                <c:pt idx="603">
                  <c:v>28.622700000000087</c:v>
                </c:pt>
                <c:pt idx="604">
                  <c:v>28.622800000000087</c:v>
                </c:pt>
                <c:pt idx="605">
                  <c:v>28.622900000000087</c:v>
                </c:pt>
                <c:pt idx="606">
                  <c:v>28.623000000000086</c:v>
                </c:pt>
                <c:pt idx="607">
                  <c:v>28.623100000000086</c:v>
                </c:pt>
                <c:pt idx="608">
                  <c:v>28.623200000000086</c:v>
                </c:pt>
                <c:pt idx="609">
                  <c:v>28.623300000000086</c:v>
                </c:pt>
                <c:pt idx="610">
                  <c:v>28.623400000000085</c:v>
                </c:pt>
                <c:pt idx="611">
                  <c:v>28.623500000000085</c:v>
                </c:pt>
                <c:pt idx="612">
                  <c:v>28.623600000000085</c:v>
                </c:pt>
                <c:pt idx="613">
                  <c:v>28.623700000000085</c:v>
                </c:pt>
                <c:pt idx="614">
                  <c:v>28.623800000000085</c:v>
                </c:pt>
                <c:pt idx="615">
                  <c:v>28.623900000000084</c:v>
                </c:pt>
                <c:pt idx="616">
                  <c:v>28.624000000000084</c:v>
                </c:pt>
                <c:pt idx="617">
                  <c:v>28.624100000000084</c:v>
                </c:pt>
                <c:pt idx="618">
                  <c:v>28.624200000000084</c:v>
                </c:pt>
                <c:pt idx="619">
                  <c:v>28.624300000000083</c:v>
                </c:pt>
                <c:pt idx="620">
                  <c:v>28.624400000000083</c:v>
                </c:pt>
                <c:pt idx="621">
                  <c:v>28.624500000000083</c:v>
                </c:pt>
                <c:pt idx="622">
                  <c:v>28.624600000000083</c:v>
                </c:pt>
                <c:pt idx="623">
                  <c:v>28.624700000000082</c:v>
                </c:pt>
                <c:pt idx="624">
                  <c:v>28.624800000000082</c:v>
                </c:pt>
                <c:pt idx="625">
                  <c:v>28.624900000000082</c:v>
                </c:pt>
                <c:pt idx="626">
                  <c:v>28.625000000000082</c:v>
                </c:pt>
                <c:pt idx="627">
                  <c:v>28.625100000000081</c:v>
                </c:pt>
                <c:pt idx="628">
                  <c:v>28.625200000000081</c:v>
                </c:pt>
                <c:pt idx="629">
                  <c:v>28.625300000000081</c:v>
                </c:pt>
                <c:pt idx="630">
                  <c:v>28.625400000000081</c:v>
                </c:pt>
                <c:pt idx="631">
                  <c:v>28.625500000000081</c:v>
                </c:pt>
                <c:pt idx="632">
                  <c:v>28.62560000000008</c:v>
                </c:pt>
                <c:pt idx="633">
                  <c:v>28.62570000000008</c:v>
                </c:pt>
                <c:pt idx="634">
                  <c:v>28.62580000000008</c:v>
                </c:pt>
                <c:pt idx="635">
                  <c:v>28.62590000000008</c:v>
                </c:pt>
                <c:pt idx="636">
                  <c:v>28.626000000000079</c:v>
                </c:pt>
                <c:pt idx="637">
                  <c:v>28.626100000000079</c:v>
                </c:pt>
                <c:pt idx="638">
                  <c:v>28.626200000000079</c:v>
                </c:pt>
                <c:pt idx="639">
                  <c:v>28.626300000000079</c:v>
                </c:pt>
                <c:pt idx="640">
                  <c:v>28.626400000000078</c:v>
                </c:pt>
                <c:pt idx="641">
                  <c:v>28.626500000000078</c:v>
                </c:pt>
                <c:pt idx="642">
                  <c:v>28.626600000000078</c:v>
                </c:pt>
                <c:pt idx="643">
                  <c:v>28.626700000000078</c:v>
                </c:pt>
                <c:pt idx="644">
                  <c:v>28.626800000000078</c:v>
                </c:pt>
                <c:pt idx="645">
                  <c:v>28.626900000000077</c:v>
                </c:pt>
                <c:pt idx="646">
                  <c:v>28.627000000000077</c:v>
                </c:pt>
                <c:pt idx="647">
                  <c:v>28.627100000000077</c:v>
                </c:pt>
                <c:pt idx="648">
                  <c:v>28.627200000000077</c:v>
                </c:pt>
                <c:pt idx="649">
                  <c:v>28.627300000000076</c:v>
                </c:pt>
                <c:pt idx="650">
                  <c:v>28.627400000000076</c:v>
                </c:pt>
                <c:pt idx="651">
                  <c:v>28.627500000000076</c:v>
                </c:pt>
                <c:pt idx="652">
                  <c:v>28.627600000000076</c:v>
                </c:pt>
                <c:pt idx="653">
                  <c:v>28.627700000000075</c:v>
                </c:pt>
                <c:pt idx="654">
                  <c:v>28.627800000000075</c:v>
                </c:pt>
                <c:pt idx="655">
                  <c:v>28.627900000000075</c:v>
                </c:pt>
                <c:pt idx="656">
                  <c:v>28.628000000000075</c:v>
                </c:pt>
                <c:pt idx="657">
                  <c:v>28.628100000000074</c:v>
                </c:pt>
                <c:pt idx="658">
                  <c:v>28.628200000000074</c:v>
                </c:pt>
                <c:pt idx="659">
                  <c:v>28.628300000000074</c:v>
                </c:pt>
                <c:pt idx="660">
                  <c:v>28.628400000000074</c:v>
                </c:pt>
                <c:pt idx="661">
                  <c:v>28.628500000000074</c:v>
                </c:pt>
                <c:pt idx="662">
                  <c:v>28.628600000000073</c:v>
                </c:pt>
                <c:pt idx="663">
                  <c:v>28.628700000000073</c:v>
                </c:pt>
                <c:pt idx="664">
                  <c:v>28.628800000000073</c:v>
                </c:pt>
                <c:pt idx="665">
                  <c:v>28.628900000000073</c:v>
                </c:pt>
                <c:pt idx="666">
                  <c:v>28.629000000000072</c:v>
                </c:pt>
                <c:pt idx="667">
                  <c:v>28.629100000000072</c:v>
                </c:pt>
                <c:pt idx="668">
                  <c:v>28.629200000000072</c:v>
                </c:pt>
                <c:pt idx="669">
                  <c:v>28.629300000000072</c:v>
                </c:pt>
                <c:pt idx="670">
                  <c:v>28.629400000000071</c:v>
                </c:pt>
                <c:pt idx="671">
                  <c:v>28.629500000000071</c:v>
                </c:pt>
                <c:pt idx="672">
                  <c:v>28.629600000000071</c:v>
                </c:pt>
                <c:pt idx="673">
                  <c:v>28.629700000000071</c:v>
                </c:pt>
                <c:pt idx="674">
                  <c:v>28.629800000000071</c:v>
                </c:pt>
                <c:pt idx="675">
                  <c:v>28.62990000000007</c:v>
                </c:pt>
                <c:pt idx="676">
                  <c:v>28.63000000000007</c:v>
                </c:pt>
                <c:pt idx="677">
                  <c:v>28.63010000000007</c:v>
                </c:pt>
                <c:pt idx="678">
                  <c:v>28.63020000000007</c:v>
                </c:pt>
                <c:pt idx="679">
                  <c:v>28.630300000000069</c:v>
                </c:pt>
                <c:pt idx="680">
                  <c:v>28.630400000000069</c:v>
                </c:pt>
                <c:pt idx="681">
                  <c:v>28.630500000000069</c:v>
                </c:pt>
                <c:pt idx="682">
                  <c:v>28.630600000000069</c:v>
                </c:pt>
                <c:pt idx="683">
                  <c:v>28.630700000000068</c:v>
                </c:pt>
                <c:pt idx="684">
                  <c:v>28.630800000000068</c:v>
                </c:pt>
                <c:pt idx="685">
                  <c:v>28.630900000000068</c:v>
                </c:pt>
                <c:pt idx="686">
                  <c:v>28.631000000000068</c:v>
                </c:pt>
                <c:pt idx="687">
                  <c:v>28.631100000000067</c:v>
                </c:pt>
                <c:pt idx="688">
                  <c:v>28.631200000000067</c:v>
                </c:pt>
                <c:pt idx="689">
                  <c:v>28.631300000000067</c:v>
                </c:pt>
                <c:pt idx="690">
                  <c:v>28.631400000000067</c:v>
                </c:pt>
                <c:pt idx="691">
                  <c:v>28.631500000000067</c:v>
                </c:pt>
                <c:pt idx="692">
                  <c:v>28.631600000000066</c:v>
                </c:pt>
                <c:pt idx="693">
                  <c:v>28.631700000000066</c:v>
                </c:pt>
                <c:pt idx="694">
                  <c:v>28.631800000000066</c:v>
                </c:pt>
                <c:pt idx="695">
                  <c:v>28.631900000000066</c:v>
                </c:pt>
                <c:pt idx="696">
                  <c:v>28.632000000000065</c:v>
                </c:pt>
                <c:pt idx="697">
                  <c:v>28.632100000000065</c:v>
                </c:pt>
                <c:pt idx="698">
                  <c:v>28.632200000000065</c:v>
                </c:pt>
                <c:pt idx="699">
                  <c:v>28.632300000000065</c:v>
                </c:pt>
                <c:pt idx="700">
                  <c:v>28.632400000000064</c:v>
                </c:pt>
                <c:pt idx="701">
                  <c:v>28.632500000000064</c:v>
                </c:pt>
                <c:pt idx="702">
                  <c:v>28.632600000000064</c:v>
                </c:pt>
                <c:pt idx="703">
                  <c:v>28.632700000000064</c:v>
                </c:pt>
                <c:pt idx="704">
                  <c:v>28.632800000000064</c:v>
                </c:pt>
                <c:pt idx="705">
                  <c:v>28.632900000000063</c:v>
                </c:pt>
                <c:pt idx="706">
                  <c:v>28.633000000000063</c:v>
                </c:pt>
                <c:pt idx="707">
                  <c:v>28.633100000000063</c:v>
                </c:pt>
                <c:pt idx="708">
                  <c:v>28.633200000000063</c:v>
                </c:pt>
                <c:pt idx="709">
                  <c:v>28.633300000000062</c:v>
                </c:pt>
                <c:pt idx="710">
                  <c:v>28.633400000000062</c:v>
                </c:pt>
                <c:pt idx="711">
                  <c:v>28.633500000000062</c:v>
                </c:pt>
                <c:pt idx="712">
                  <c:v>28.633600000000062</c:v>
                </c:pt>
                <c:pt idx="713">
                  <c:v>28.633700000000061</c:v>
                </c:pt>
                <c:pt idx="714">
                  <c:v>28.633800000000061</c:v>
                </c:pt>
                <c:pt idx="715">
                  <c:v>28.633900000000061</c:v>
                </c:pt>
                <c:pt idx="716">
                  <c:v>28.634000000000061</c:v>
                </c:pt>
                <c:pt idx="717">
                  <c:v>28.634100000000061</c:v>
                </c:pt>
                <c:pt idx="718">
                  <c:v>28.63420000000006</c:v>
                </c:pt>
                <c:pt idx="719">
                  <c:v>28.63430000000006</c:v>
                </c:pt>
                <c:pt idx="720">
                  <c:v>28.63440000000006</c:v>
                </c:pt>
                <c:pt idx="721">
                  <c:v>28.63450000000006</c:v>
                </c:pt>
                <c:pt idx="722">
                  <c:v>28.634600000000059</c:v>
                </c:pt>
                <c:pt idx="723">
                  <c:v>28.634700000000059</c:v>
                </c:pt>
                <c:pt idx="724">
                  <c:v>28.634800000000059</c:v>
                </c:pt>
                <c:pt idx="725">
                  <c:v>28.634900000000059</c:v>
                </c:pt>
                <c:pt idx="726">
                  <c:v>28.635000000000058</c:v>
                </c:pt>
                <c:pt idx="727">
                  <c:v>28.635100000000058</c:v>
                </c:pt>
                <c:pt idx="728">
                  <c:v>28.635200000000058</c:v>
                </c:pt>
                <c:pt idx="729">
                  <c:v>28.635300000000058</c:v>
                </c:pt>
                <c:pt idx="730">
                  <c:v>28.635400000000057</c:v>
                </c:pt>
                <c:pt idx="731">
                  <c:v>28.635500000000057</c:v>
                </c:pt>
                <c:pt idx="732">
                  <c:v>28.635600000000057</c:v>
                </c:pt>
                <c:pt idx="733">
                  <c:v>28.635700000000057</c:v>
                </c:pt>
                <c:pt idx="734">
                  <c:v>28.635800000000057</c:v>
                </c:pt>
                <c:pt idx="735">
                  <c:v>28.635900000000056</c:v>
                </c:pt>
                <c:pt idx="736">
                  <c:v>28.636000000000056</c:v>
                </c:pt>
                <c:pt idx="737">
                  <c:v>28.636100000000056</c:v>
                </c:pt>
                <c:pt idx="738">
                  <c:v>28.636200000000056</c:v>
                </c:pt>
                <c:pt idx="739">
                  <c:v>28.636300000000055</c:v>
                </c:pt>
                <c:pt idx="740">
                  <c:v>28.636400000000055</c:v>
                </c:pt>
                <c:pt idx="741">
                  <c:v>28.636500000000055</c:v>
                </c:pt>
                <c:pt idx="742">
                  <c:v>28.636600000000055</c:v>
                </c:pt>
                <c:pt idx="743">
                  <c:v>28.636700000000054</c:v>
                </c:pt>
                <c:pt idx="744">
                  <c:v>28.636800000000054</c:v>
                </c:pt>
                <c:pt idx="745">
                  <c:v>28.636900000000054</c:v>
                </c:pt>
                <c:pt idx="746">
                  <c:v>28.637000000000054</c:v>
                </c:pt>
                <c:pt idx="747">
                  <c:v>28.637100000000054</c:v>
                </c:pt>
                <c:pt idx="748">
                  <c:v>28.637200000000053</c:v>
                </c:pt>
                <c:pt idx="749">
                  <c:v>28.637300000000053</c:v>
                </c:pt>
                <c:pt idx="750">
                  <c:v>28.637400000000053</c:v>
                </c:pt>
                <c:pt idx="751">
                  <c:v>28.637500000000053</c:v>
                </c:pt>
                <c:pt idx="752">
                  <c:v>28.637600000000052</c:v>
                </c:pt>
                <c:pt idx="753">
                  <c:v>28.637700000000052</c:v>
                </c:pt>
                <c:pt idx="754">
                  <c:v>28.637800000000052</c:v>
                </c:pt>
                <c:pt idx="755">
                  <c:v>28.637900000000052</c:v>
                </c:pt>
                <c:pt idx="756">
                  <c:v>28.638000000000051</c:v>
                </c:pt>
                <c:pt idx="757">
                  <c:v>28.638100000000051</c:v>
                </c:pt>
                <c:pt idx="758">
                  <c:v>28.638200000000051</c:v>
                </c:pt>
                <c:pt idx="759">
                  <c:v>28.638300000000051</c:v>
                </c:pt>
                <c:pt idx="760">
                  <c:v>28.63840000000005</c:v>
                </c:pt>
                <c:pt idx="761">
                  <c:v>28.63850000000005</c:v>
                </c:pt>
                <c:pt idx="762">
                  <c:v>28.63860000000005</c:v>
                </c:pt>
                <c:pt idx="763">
                  <c:v>28.63870000000005</c:v>
                </c:pt>
                <c:pt idx="764">
                  <c:v>28.63880000000005</c:v>
                </c:pt>
                <c:pt idx="765">
                  <c:v>28.638900000000049</c:v>
                </c:pt>
                <c:pt idx="766">
                  <c:v>28.639000000000049</c:v>
                </c:pt>
                <c:pt idx="767">
                  <c:v>28.639100000000049</c:v>
                </c:pt>
                <c:pt idx="768">
                  <c:v>28.639200000000049</c:v>
                </c:pt>
                <c:pt idx="769">
                  <c:v>28.639300000000048</c:v>
                </c:pt>
                <c:pt idx="770">
                  <c:v>28.639400000000048</c:v>
                </c:pt>
                <c:pt idx="771">
                  <c:v>28.639500000000048</c:v>
                </c:pt>
                <c:pt idx="772">
                  <c:v>28.639600000000048</c:v>
                </c:pt>
                <c:pt idx="773">
                  <c:v>28.639700000000047</c:v>
                </c:pt>
                <c:pt idx="774">
                  <c:v>28.639800000000047</c:v>
                </c:pt>
                <c:pt idx="775">
                  <c:v>28.639900000000047</c:v>
                </c:pt>
                <c:pt idx="776">
                  <c:v>28.640000000000047</c:v>
                </c:pt>
                <c:pt idx="777">
                  <c:v>28.640100000000047</c:v>
                </c:pt>
                <c:pt idx="778">
                  <c:v>28.640200000000046</c:v>
                </c:pt>
                <c:pt idx="779">
                  <c:v>28.640300000000046</c:v>
                </c:pt>
                <c:pt idx="780">
                  <c:v>28.640400000000046</c:v>
                </c:pt>
                <c:pt idx="781">
                  <c:v>28.640500000000046</c:v>
                </c:pt>
                <c:pt idx="782">
                  <c:v>28.640600000000045</c:v>
                </c:pt>
                <c:pt idx="783">
                  <c:v>28.640700000000045</c:v>
                </c:pt>
                <c:pt idx="784">
                  <c:v>28.640800000000045</c:v>
                </c:pt>
                <c:pt idx="785">
                  <c:v>28.640900000000045</c:v>
                </c:pt>
                <c:pt idx="786">
                  <c:v>28.641000000000044</c:v>
                </c:pt>
                <c:pt idx="787">
                  <c:v>28.641100000000044</c:v>
                </c:pt>
                <c:pt idx="788">
                  <c:v>28.641200000000044</c:v>
                </c:pt>
                <c:pt idx="789">
                  <c:v>28.641300000000044</c:v>
                </c:pt>
                <c:pt idx="790">
                  <c:v>28.641400000000043</c:v>
                </c:pt>
                <c:pt idx="791">
                  <c:v>28.641500000000043</c:v>
                </c:pt>
                <c:pt idx="792">
                  <c:v>28.641600000000043</c:v>
                </c:pt>
                <c:pt idx="793">
                  <c:v>28.641700000000043</c:v>
                </c:pt>
                <c:pt idx="794">
                  <c:v>28.641800000000043</c:v>
                </c:pt>
                <c:pt idx="795">
                  <c:v>28.641900000000042</c:v>
                </c:pt>
                <c:pt idx="796">
                  <c:v>28.642000000000042</c:v>
                </c:pt>
                <c:pt idx="797">
                  <c:v>28.642100000000042</c:v>
                </c:pt>
                <c:pt idx="798">
                  <c:v>28.642200000000042</c:v>
                </c:pt>
                <c:pt idx="799">
                  <c:v>28.642300000000041</c:v>
                </c:pt>
                <c:pt idx="800">
                  <c:v>28.642400000000041</c:v>
                </c:pt>
                <c:pt idx="801">
                  <c:v>28.642500000000041</c:v>
                </c:pt>
                <c:pt idx="802">
                  <c:v>28.642600000000041</c:v>
                </c:pt>
                <c:pt idx="803">
                  <c:v>28.64270000000004</c:v>
                </c:pt>
                <c:pt idx="804">
                  <c:v>28.64280000000004</c:v>
                </c:pt>
                <c:pt idx="805">
                  <c:v>28.64290000000004</c:v>
                </c:pt>
                <c:pt idx="806">
                  <c:v>28.64300000000004</c:v>
                </c:pt>
                <c:pt idx="807">
                  <c:v>28.64310000000004</c:v>
                </c:pt>
                <c:pt idx="808">
                  <c:v>28.643200000000039</c:v>
                </c:pt>
                <c:pt idx="809">
                  <c:v>28.643300000000039</c:v>
                </c:pt>
                <c:pt idx="810">
                  <c:v>28.643400000000039</c:v>
                </c:pt>
                <c:pt idx="811">
                  <c:v>28.643500000000039</c:v>
                </c:pt>
                <c:pt idx="812">
                  <c:v>28.643600000000038</c:v>
                </c:pt>
                <c:pt idx="813">
                  <c:v>28.643700000000038</c:v>
                </c:pt>
                <c:pt idx="814">
                  <c:v>28.643800000000038</c:v>
                </c:pt>
                <c:pt idx="815">
                  <c:v>28.643900000000038</c:v>
                </c:pt>
                <c:pt idx="816">
                  <c:v>28.644000000000037</c:v>
                </c:pt>
                <c:pt idx="817">
                  <c:v>28.644100000000037</c:v>
                </c:pt>
                <c:pt idx="818">
                  <c:v>28.644200000000037</c:v>
                </c:pt>
                <c:pt idx="819">
                  <c:v>28.644300000000037</c:v>
                </c:pt>
                <c:pt idx="820">
                  <c:v>28.644400000000036</c:v>
                </c:pt>
                <c:pt idx="821">
                  <c:v>28.644500000000036</c:v>
                </c:pt>
                <c:pt idx="822">
                  <c:v>28.644600000000036</c:v>
                </c:pt>
                <c:pt idx="823">
                  <c:v>28.644700000000036</c:v>
                </c:pt>
                <c:pt idx="824">
                  <c:v>28.644800000000036</c:v>
                </c:pt>
                <c:pt idx="825">
                  <c:v>28.644900000000035</c:v>
                </c:pt>
                <c:pt idx="826">
                  <c:v>28.645000000000035</c:v>
                </c:pt>
                <c:pt idx="827">
                  <c:v>28.645100000000035</c:v>
                </c:pt>
                <c:pt idx="828">
                  <c:v>28.645200000000035</c:v>
                </c:pt>
                <c:pt idx="829">
                  <c:v>28.645300000000034</c:v>
                </c:pt>
                <c:pt idx="830">
                  <c:v>28.645400000000034</c:v>
                </c:pt>
                <c:pt idx="831">
                  <c:v>28.645500000000034</c:v>
                </c:pt>
                <c:pt idx="832">
                  <c:v>28.645600000000034</c:v>
                </c:pt>
                <c:pt idx="833">
                  <c:v>28.645700000000033</c:v>
                </c:pt>
                <c:pt idx="834">
                  <c:v>28.645800000000033</c:v>
                </c:pt>
                <c:pt idx="835">
                  <c:v>28.645900000000033</c:v>
                </c:pt>
                <c:pt idx="836">
                  <c:v>28.646000000000033</c:v>
                </c:pt>
                <c:pt idx="837">
                  <c:v>28.646100000000033</c:v>
                </c:pt>
                <c:pt idx="838">
                  <c:v>28.646200000000032</c:v>
                </c:pt>
                <c:pt idx="839">
                  <c:v>28.646300000000032</c:v>
                </c:pt>
                <c:pt idx="840">
                  <c:v>28.646400000000032</c:v>
                </c:pt>
                <c:pt idx="841">
                  <c:v>28.646500000000032</c:v>
                </c:pt>
                <c:pt idx="842">
                  <c:v>28.646600000000031</c:v>
                </c:pt>
                <c:pt idx="843">
                  <c:v>28.646700000000031</c:v>
                </c:pt>
                <c:pt idx="844">
                  <c:v>28.646800000000031</c:v>
                </c:pt>
                <c:pt idx="845">
                  <c:v>28.646900000000031</c:v>
                </c:pt>
                <c:pt idx="846">
                  <c:v>28.64700000000003</c:v>
                </c:pt>
                <c:pt idx="847">
                  <c:v>28.64710000000003</c:v>
                </c:pt>
                <c:pt idx="848">
                  <c:v>28.64720000000003</c:v>
                </c:pt>
                <c:pt idx="849">
                  <c:v>28.64730000000003</c:v>
                </c:pt>
                <c:pt idx="850">
                  <c:v>28.64740000000003</c:v>
                </c:pt>
                <c:pt idx="851">
                  <c:v>28.647500000000029</c:v>
                </c:pt>
                <c:pt idx="852">
                  <c:v>28.647600000000029</c:v>
                </c:pt>
                <c:pt idx="853">
                  <c:v>28.647700000000029</c:v>
                </c:pt>
                <c:pt idx="854">
                  <c:v>28.647800000000029</c:v>
                </c:pt>
                <c:pt idx="855">
                  <c:v>28.647900000000028</c:v>
                </c:pt>
                <c:pt idx="856">
                  <c:v>28.648000000000028</c:v>
                </c:pt>
                <c:pt idx="857">
                  <c:v>28.648100000000028</c:v>
                </c:pt>
                <c:pt idx="858">
                  <c:v>28.648200000000028</c:v>
                </c:pt>
                <c:pt idx="859">
                  <c:v>28.648300000000027</c:v>
                </c:pt>
                <c:pt idx="860">
                  <c:v>28.648400000000027</c:v>
                </c:pt>
                <c:pt idx="861">
                  <c:v>28.648500000000027</c:v>
                </c:pt>
                <c:pt idx="862">
                  <c:v>28.648600000000027</c:v>
                </c:pt>
                <c:pt idx="863">
                  <c:v>28.648700000000026</c:v>
                </c:pt>
                <c:pt idx="864">
                  <c:v>28.648800000000026</c:v>
                </c:pt>
                <c:pt idx="865">
                  <c:v>28.648900000000026</c:v>
                </c:pt>
                <c:pt idx="866">
                  <c:v>28.649000000000026</c:v>
                </c:pt>
                <c:pt idx="867">
                  <c:v>28.649100000000026</c:v>
                </c:pt>
                <c:pt idx="868">
                  <c:v>28.649200000000025</c:v>
                </c:pt>
                <c:pt idx="869">
                  <c:v>28.649300000000025</c:v>
                </c:pt>
                <c:pt idx="870">
                  <c:v>28.649400000000025</c:v>
                </c:pt>
                <c:pt idx="871">
                  <c:v>28.649500000000025</c:v>
                </c:pt>
                <c:pt idx="872">
                  <c:v>28.649600000000024</c:v>
                </c:pt>
                <c:pt idx="873">
                  <c:v>28.649700000000024</c:v>
                </c:pt>
                <c:pt idx="874">
                  <c:v>28.649800000000024</c:v>
                </c:pt>
                <c:pt idx="875">
                  <c:v>28.649900000000024</c:v>
                </c:pt>
                <c:pt idx="876">
                  <c:v>28.650000000000023</c:v>
                </c:pt>
                <c:pt idx="877">
                  <c:v>28.650100000000023</c:v>
                </c:pt>
                <c:pt idx="878">
                  <c:v>28.650200000000023</c:v>
                </c:pt>
                <c:pt idx="879">
                  <c:v>28.650300000000023</c:v>
                </c:pt>
                <c:pt idx="880">
                  <c:v>28.650400000000023</c:v>
                </c:pt>
                <c:pt idx="881">
                  <c:v>28.650500000000022</c:v>
                </c:pt>
                <c:pt idx="882">
                  <c:v>28.650600000000022</c:v>
                </c:pt>
                <c:pt idx="883">
                  <c:v>28.650700000000022</c:v>
                </c:pt>
                <c:pt idx="884">
                  <c:v>28.650800000000022</c:v>
                </c:pt>
                <c:pt idx="885">
                  <c:v>28.650900000000021</c:v>
                </c:pt>
                <c:pt idx="886">
                  <c:v>28.651000000000021</c:v>
                </c:pt>
                <c:pt idx="887">
                  <c:v>28.651100000000021</c:v>
                </c:pt>
                <c:pt idx="888">
                  <c:v>28.651200000000021</c:v>
                </c:pt>
                <c:pt idx="889">
                  <c:v>28.65130000000002</c:v>
                </c:pt>
                <c:pt idx="890">
                  <c:v>28.65140000000002</c:v>
                </c:pt>
                <c:pt idx="891">
                  <c:v>28.65150000000002</c:v>
                </c:pt>
                <c:pt idx="892">
                  <c:v>28.65160000000002</c:v>
                </c:pt>
                <c:pt idx="893">
                  <c:v>28.651700000000019</c:v>
                </c:pt>
                <c:pt idx="894">
                  <c:v>28.651800000000019</c:v>
                </c:pt>
                <c:pt idx="895">
                  <c:v>28.651900000000019</c:v>
                </c:pt>
                <c:pt idx="896">
                  <c:v>28.652000000000019</c:v>
                </c:pt>
                <c:pt idx="897">
                  <c:v>28.652100000000019</c:v>
                </c:pt>
                <c:pt idx="898">
                  <c:v>28.652200000000018</c:v>
                </c:pt>
                <c:pt idx="899">
                  <c:v>28.652300000000018</c:v>
                </c:pt>
                <c:pt idx="900">
                  <c:v>28.652400000000018</c:v>
                </c:pt>
                <c:pt idx="901">
                  <c:v>28.652500000000018</c:v>
                </c:pt>
                <c:pt idx="902">
                  <c:v>28.652600000000017</c:v>
                </c:pt>
                <c:pt idx="903">
                  <c:v>28.652700000000017</c:v>
                </c:pt>
                <c:pt idx="904">
                  <c:v>28.652800000000017</c:v>
                </c:pt>
                <c:pt idx="905">
                  <c:v>28.652900000000017</c:v>
                </c:pt>
                <c:pt idx="906">
                  <c:v>28.653000000000016</c:v>
                </c:pt>
                <c:pt idx="907">
                  <c:v>28.653100000000016</c:v>
                </c:pt>
                <c:pt idx="908">
                  <c:v>28.653200000000016</c:v>
                </c:pt>
                <c:pt idx="909">
                  <c:v>28.653300000000016</c:v>
                </c:pt>
                <c:pt idx="910">
                  <c:v>28.653400000000016</c:v>
                </c:pt>
                <c:pt idx="911">
                  <c:v>28.653500000000015</c:v>
                </c:pt>
                <c:pt idx="912">
                  <c:v>28.653600000000015</c:v>
                </c:pt>
                <c:pt idx="913">
                  <c:v>28.653700000000015</c:v>
                </c:pt>
                <c:pt idx="914">
                  <c:v>28.653800000000015</c:v>
                </c:pt>
                <c:pt idx="915">
                  <c:v>28.653900000000014</c:v>
                </c:pt>
                <c:pt idx="916">
                  <c:v>28.654000000000014</c:v>
                </c:pt>
                <c:pt idx="917">
                  <c:v>28.654100000000014</c:v>
                </c:pt>
                <c:pt idx="918">
                  <c:v>28.654200000000014</c:v>
                </c:pt>
                <c:pt idx="919">
                  <c:v>28.654300000000013</c:v>
                </c:pt>
                <c:pt idx="920">
                  <c:v>28.654400000000013</c:v>
                </c:pt>
                <c:pt idx="921">
                  <c:v>28.654500000000013</c:v>
                </c:pt>
                <c:pt idx="922">
                  <c:v>28.654600000000013</c:v>
                </c:pt>
                <c:pt idx="923">
                  <c:v>28.654700000000012</c:v>
                </c:pt>
                <c:pt idx="924">
                  <c:v>28.654800000000012</c:v>
                </c:pt>
                <c:pt idx="925">
                  <c:v>28.654900000000012</c:v>
                </c:pt>
                <c:pt idx="926">
                  <c:v>28.655000000000012</c:v>
                </c:pt>
                <c:pt idx="927">
                  <c:v>28.655100000000012</c:v>
                </c:pt>
                <c:pt idx="928">
                  <c:v>28.655200000000011</c:v>
                </c:pt>
                <c:pt idx="929">
                  <c:v>28.655300000000011</c:v>
                </c:pt>
                <c:pt idx="930">
                  <c:v>28.655400000000011</c:v>
                </c:pt>
                <c:pt idx="931">
                  <c:v>28.655500000000011</c:v>
                </c:pt>
                <c:pt idx="932">
                  <c:v>28.65560000000001</c:v>
                </c:pt>
                <c:pt idx="933">
                  <c:v>28.65570000000001</c:v>
                </c:pt>
                <c:pt idx="934">
                  <c:v>28.65580000000001</c:v>
                </c:pt>
                <c:pt idx="935">
                  <c:v>28.65590000000001</c:v>
                </c:pt>
                <c:pt idx="936">
                  <c:v>28.656000000000009</c:v>
                </c:pt>
                <c:pt idx="937">
                  <c:v>28.656100000000009</c:v>
                </c:pt>
                <c:pt idx="938">
                  <c:v>28.656200000000009</c:v>
                </c:pt>
                <c:pt idx="939">
                  <c:v>28.656300000000009</c:v>
                </c:pt>
                <c:pt idx="940">
                  <c:v>28.656400000000009</c:v>
                </c:pt>
                <c:pt idx="941">
                  <c:v>28.656500000000008</c:v>
                </c:pt>
                <c:pt idx="942">
                  <c:v>28.656600000000008</c:v>
                </c:pt>
                <c:pt idx="943">
                  <c:v>28.656700000000008</c:v>
                </c:pt>
                <c:pt idx="944">
                  <c:v>28.656800000000008</c:v>
                </c:pt>
                <c:pt idx="945">
                  <c:v>28.656900000000007</c:v>
                </c:pt>
                <c:pt idx="946">
                  <c:v>28.657000000000007</c:v>
                </c:pt>
                <c:pt idx="947">
                  <c:v>28.657100000000007</c:v>
                </c:pt>
                <c:pt idx="948">
                  <c:v>28.657200000000007</c:v>
                </c:pt>
                <c:pt idx="949">
                  <c:v>28.657300000000006</c:v>
                </c:pt>
                <c:pt idx="950">
                  <c:v>28.657400000000006</c:v>
                </c:pt>
                <c:pt idx="951">
                  <c:v>28.657500000000006</c:v>
                </c:pt>
                <c:pt idx="952">
                  <c:v>28.657600000000006</c:v>
                </c:pt>
                <c:pt idx="953">
                  <c:v>28.657700000000006</c:v>
                </c:pt>
                <c:pt idx="954">
                  <c:v>28.657800000000005</c:v>
                </c:pt>
                <c:pt idx="955">
                  <c:v>28.657900000000005</c:v>
                </c:pt>
                <c:pt idx="956">
                  <c:v>28.658000000000005</c:v>
                </c:pt>
                <c:pt idx="957">
                  <c:v>28.658100000000005</c:v>
                </c:pt>
                <c:pt idx="958">
                  <c:v>28.658200000000004</c:v>
                </c:pt>
                <c:pt idx="959">
                  <c:v>28.658300000000004</c:v>
                </c:pt>
                <c:pt idx="960">
                  <c:v>28.658400000000004</c:v>
                </c:pt>
                <c:pt idx="961">
                  <c:v>28.658500000000004</c:v>
                </c:pt>
                <c:pt idx="962">
                  <c:v>28.658600000000003</c:v>
                </c:pt>
                <c:pt idx="963">
                  <c:v>28.658700000000003</c:v>
                </c:pt>
                <c:pt idx="964">
                  <c:v>28.658800000000003</c:v>
                </c:pt>
                <c:pt idx="965">
                  <c:v>28.658900000000003</c:v>
                </c:pt>
                <c:pt idx="966">
                  <c:v>28.659000000000002</c:v>
                </c:pt>
                <c:pt idx="967">
                  <c:v>28.659100000000002</c:v>
                </c:pt>
                <c:pt idx="968">
                  <c:v>28.659200000000002</c:v>
                </c:pt>
                <c:pt idx="969">
                  <c:v>28.659300000000002</c:v>
                </c:pt>
                <c:pt idx="970">
                  <c:v>28.659400000000002</c:v>
                </c:pt>
                <c:pt idx="971">
                  <c:v>28.659500000000001</c:v>
                </c:pt>
                <c:pt idx="972">
                  <c:v>28.659600000000001</c:v>
                </c:pt>
                <c:pt idx="973">
                  <c:v>28.659700000000001</c:v>
                </c:pt>
                <c:pt idx="974">
                  <c:v>28.659800000000001</c:v>
                </c:pt>
                <c:pt idx="975">
                  <c:v>28.6599</c:v>
                </c:pt>
                <c:pt idx="976">
                  <c:v>28.66</c:v>
                </c:pt>
                <c:pt idx="977">
                  <c:v>28.6601</c:v>
                </c:pt>
                <c:pt idx="978">
                  <c:v>28.6602</c:v>
                </c:pt>
                <c:pt idx="979">
                  <c:v>28.660299999999999</c:v>
                </c:pt>
                <c:pt idx="980">
                  <c:v>28.660399999999999</c:v>
                </c:pt>
                <c:pt idx="981">
                  <c:v>28.660499999999999</c:v>
                </c:pt>
                <c:pt idx="982">
                  <c:v>28.660599999999999</c:v>
                </c:pt>
                <c:pt idx="983">
                  <c:v>28.660699999999999</c:v>
                </c:pt>
                <c:pt idx="984">
                  <c:v>28.660799999999998</c:v>
                </c:pt>
                <c:pt idx="985">
                  <c:v>28.660899999999998</c:v>
                </c:pt>
                <c:pt idx="986">
                  <c:v>28.660999999999998</c:v>
                </c:pt>
                <c:pt idx="987">
                  <c:v>28.661099999999998</c:v>
                </c:pt>
                <c:pt idx="988">
                  <c:v>28.661199999999997</c:v>
                </c:pt>
                <c:pt idx="989">
                  <c:v>28.661299999999997</c:v>
                </c:pt>
                <c:pt idx="990">
                  <c:v>28.661399999999997</c:v>
                </c:pt>
                <c:pt idx="991">
                  <c:v>28.661499999999997</c:v>
                </c:pt>
                <c:pt idx="992">
                  <c:v>28.661599999999996</c:v>
                </c:pt>
                <c:pt idx="993">
                  <c:v>28.661699999999996</c:v>
                </c:pt>
                <c:pt idx="994">
                  <c:v>28.661799999999996</c:v>
                </c:pt>
                <c:pt idx="995">
                  <c:v>28.661899999999996</c:v>
                </c:pt>
                <c:pt idx="996">
                  <c:v>28.661999999999995</c:v>
                </c:pt>
                <c:pt idx="997">
                  <c:v>28.662099999999995</c:v>
                </c:pt>
                <c:pt idx="998">
                  <c:v>28.662199999999995</c:v>
                </c:pt>
                <c:pt idx="999">
                  <c:v>28.662299999999995</c:v>
                </c:pt>
                <c:pt idx="1000">
                  <c:v>28.662399999999995</c:v>
                </c:pt>
              </c:numCache>
            </c:numRef>
          </c:xVal>
          <c:yVal>
            <c:numRef>
              <c:f>Calculs!$W$4:$W$1004</c:f>
              <c:numCache>
                <c:formatCode>0.00</c:formatCode>
                <c:ptCount val="1001"/>
                <c:pt idx="0">
                  <c:v>89.92585005231139</c:v>
                </c:pt>
                <c:pt idx="1">
                  <c:v>89.56170660414395</c:v>
                </c:pt>
                <c:pt idx="2">
                  <c:v>89.199359665569858</c:v>
                </c:pt>
                <c:pt idx="3">
                  <c:v>88.838797520782066</c:v>
                </c:pt>
                <c:pt idx="4">
                  <c:v>88.480008550604111</c:v>
                </c:pt>
                <c:pt idx="5">
                  <c:v>88.122981231532123</c:v>
                </c:pt>
                <c:pt idx="6">
                  <c:v>87.767704134787564</c:v>
                </c:pt>
                <c:pt idx="7">
                  <c:v>87.4141659253809</c:v>
                </c:pt>
                <c:pt idx="8">
                  <c:v>87.062355361186434</c:v>
                </c:pt>
                <c:pt idx="9">
                  <c:v>86.712261292027264</c:v>
                </c:pt>
                <c:pt idx="10">
                  <c:v>86.363872658771413</c:v>
                </c:pt>
                <c:pt idx="11">
                  <c:v>86.017175928624454</c:v>
                </c:pt>
                <c:pt idx="12">
                  <c:v>85.672157737352805</c:v>
                </c:pt>
                <c:pt idx="13">
                  <c:v>85.328807440203335</c:v>
                </c:pt>
                <c:pt idx="14">
                  <c:v>84.987114477196698</c:v>
                </c:pt>
                <c:pt idx="15">
                  <c:v>84.647068372318031</c:v>
                </c:pt>
                <c:pt idx="16">
                  <c:v>84.308658732716751</c:v>
                </c:pt>
                <c:pt idx="17">
                  <c:v>83.97187524791542</c:v>
                </c:pt>
                <c:pt idx="18">
                  <c:v>83.636707689027418</c:v>
                </c:pt>
                <c:pt idx="19">
                  <c:v>83.303145907983065</c:v>
                </c:pt>
                <c:pt idx="20">
                  <c:v>82.97117983676435</c:v>
                </c:pt>
                <c:pt idx="21">
                  <c:v>82.64080074324211</c:v>
                </c:pt>
                <c:pt idx="22">
                  <c:v>82.311999936114262</c:v>
                </c:pt>
                <c:pt idx="23">
                  <c:v>81.984767513394189</c:v>
                </c:pt>
                <c:pt idx="24">
                  <c:v>81.659093651458065</c:v>
                </c:pt>
                <c:pt idx="25">
                  <c:v>81.334968604300471</c:v>
                </c:pt>
                <c:pt idx="26">
                  <c:v>81.012382702798348</c:v>
                </c:pt>
                <c:pt idx="27">
                  <c:v>80.691326353982689</c:v>
                </c:pt>
                <c:pt idx="28">
                  <c:v>80.371790040319055</c:v>
                </c:pt>
                <c:pt idx="29">
                  <c:v>80.053764318995206</c:v>
                </c:pt>
                <c:pt idx="30">
                  <c:v>79.737239821217287</c:v>
                </c:pt>
                <c:pt idx="31">
                  <c:v>79.422207251513058</c:v>
                </c:pt>
                <c:pt idx="32">
                  <c:v>79.108657387043607</c:v>
                </c:pt>
                <c:pt idx="33">
                  <c:v>78.79658107692174</c:v>
                </c:pt>
                <c:pt idx="34">
                  <c:v>78.485969241538584</c:v>
                </c:pt>
                <c:pt idx="35">
                  <c:v>78.176812871897013</c:v>
                </c:pt>
                <c:pt idx="36">
                  <c:v>77.869103028952694</c:v>
                </c:pt>
                <c:pt idx="37">
                  <c:v>77.562830842962086</c:v>
                </c:pt>
                <c:pt idx="38">
                  <c:v>77.257987512837829</c:v>
                </c:pt>
                <c:pt idx="39">
                  <c:v>76.95456430551063</c:v>
                </c:pt>
                <c:pt idx="40">
                  <c:v>76.652552555298669</c:v>
                </c:pt>
                <c:pt idx="41">
                  <c:v>76.351943663283507</c:v>
                </c:pt>
                <c:pt idx="42">
                  <c:v>76.052729096692715</c:v>
                </c:pt>
                <c:pt idx="43">
                  <c:v>75.75490038828913</c:v>
                </c:pt>
                <c:pt idx="44">
                  <c:v>75.458449135767225</c:v>
                </c:pt>
                <c:pt idx="45">
                  <c:v>75.163367001155109</c:v>
                </c:pt>
                <c:pt idx="46">
                  <c:v>74.869645710223608</c:v>
                </c:pt>
                <c:pt idx="47">
                  <c:v>74.577277051901518</c:v>
                </c:pt>
                <c:pt idx="48">
                  <c:v>74.28625287769691</c:v>
                </c:pt>
                <c:pt idx="49">
                  <c:v>73.996565101125213</c:v>
                </c:pt>
                <c:pt idx="50">
                  <c:v>73.708205697142503</c:v>
                </c:pt>
                <c:pt idx="51">
                  <c:v>73.421166701585634</c:v>
                </c:pt>
                <c:pt idx="52">
                  <c:v>73.135440210617972</c:v>
                </c:pt>
                <c:pt idx="53">
                  <c:v>72.851018380181074</c:v>
                </c:pt>
                <c:pt idx="54">
                  <c:v>72.567893425452212</c:v>
                </c:pt>
                <c:pt idx="55">
                  <c:v>72.286057620307531</c:v>
                </c:pt>
                <c:pt idx="56">
                  <c:v>72.00550329679109</c:v>
                </c:pt>
                <c:pt idx="57">
                  <c:v>71.726222844589387</c:v>
                </c:pt>
                <c:pt idx="58">
                  <c:v>71.448208710511494</c:v>
                </c:pt>
                <c:pt idx="59">
                  <c:v>71.171453397974503</c:v>
                </c:pt>
                <c:pt idx="60">
                  <c:v>70.895949466494685</c:v>
                </c:pt>
                <c:pt idx="61">
                  <c:v>70.621689531183648</c:v>
                </c:pt>
                <c:pt idx="62">
                  <c:v>70.348666262249935</c:v>
                </c:pt>
                <c:pt idx="63">
                  <c:v>70.076872384506132</c:v>
                </c:pt>
                <c:pt idx="64">
                  <c:v>69.80630067688044</c:v>
                </c:pt>
                <c:pt idx="65">
                  <c:v>69.536943971934136</c:v>
                </c:pt>
                <c:pt idx="66">
                  <c:v>69.268795155383444</c:v>
                </c:pt>
                <c:pt idx="67">
                  <c:v>69.001847165626643</c:v>
                </c:pt>
                <c:pt idx="68">
                  <c:v>68.736092993276174</c:v>
                </c:pt>
                <c:pt idx="69">
                  <c:v>68.47152568069545</c:v>
                </c:pt>
                <c:pt idx="70">
                  <c:v>68.208138321540417</c:v>
                </c:pt>
                <c:pt idx="71">
                  <c:v>67.945924060306211</c:v>
                </c:pt>
                <c:pt idx="72">
                  <c:v>67.68487609187784</c:v>
                </c:pt>
                <c:pt idx="73">
                  <c:v>67.424987661086348</c:v>
                </c:pt>
                <c:pt idx="74">
                  <c:v>67.166252062268626</c:v>
                </c:pt>
                <c:pt idx="75">
                  <c:v>66.908662638832695</c:v>
                </c:pt>
                <c:pt idx="76">
                  <c:v>66.65221278282668</c:v>
                </c:pt>
                <c:pt idx="77">
                  <c:v>66.396895934512656</c:v>
                </c:pt>
                <c:pt idx="78">
                  <c:v>66.142705581944554</c:v>
                </c:pt>
                <c:pt idx="79">
                  <c:v>65.889635260550747</c:v>
                </c:pt>
                <c:pt idx="80">
                  <c:v>65.637678552720473</c:v>
                </c:pt>
                <c:pt idx="81">
                  <c:v>65.38682908739483</c:v>
                </c:pt>
                <c:pt idx="82">
                  <c:v>65.137080539661767</c:v>
                </c:pt>
                <c:pt idx="83">
                  <c:v>64.888426630355212</c:v>
                </c:pt>
                <c:pt idx="84">
                  <c:v>64.640861125658205</c:v>
                </c:pt>
                <c:pt idx="85">
                  <c:v>64.394377836710234</c:v>
                </c:pt>
                <c:pt idx="86">
                  <c:v>64.148970619218318</c:v>
                </c:pt>
                <c:pt idx="87">
                  <c:v>63.904633373072279</c:v>
                </c:pt>
                <c:pt idx="88">
                  <c:v>63.661360041963512</c:v>
                </c:pt>
                <c:pt idx="89">
                  <c:v>63.419144613008129</c:v>
                </c:pt>
                <c:pt idx="90">
                  <c:v>63.177981116373331</c:v>
                </c:pt>
                <c:pt idx="91">
                  <c:v>62.937863624908033</c:v>
                </c:pt>
                <c:pt idx="92">
                  <c:v>62.698786253776696</c:v>
                </c:pt>
                <c:pt idx="93">
                  <c:v>62.460743160097287</c:v>
                </c:pt>
                <c:pt idx="94">
                  <c:v>62.223728542582641</c:v>
                </c:pt>
                <c:pt idx="95">
                  <c:v>61.987736641185457</c:v>
                </c:pt>
                <c:pt idx="96">
                  <c:v>61.752761736746599</c:v>
                </c:pt>
                <c:pt idx="97">
                  <c:v>61.518798150647356</c:v>
                </c:pt>
                <c:pt idx="98">
                  <c:v>61.285840244464765</c:v>
                </c:pt>
                <c:pt idx="99">
                  <c:v>61.053882419630554</c:v>
                </c:pt>
                <c:pt idx="100">
                  <c:v>60.822919117093463</c:v>
                </c:pt>
                <c:pt idx="101">
                  <c:v>58.544856619424984</c:v>
                </c:pt>
                <c:pt idx="102">
                  <c:v>56.362630702152053</c:v>
                </c:pt>
                <c:pt idx="103">
                  <c:v>54.271081715030199</c:v>
                </c:pt>
                <c:pt idx="104">
                  <c:v>52.265399015078955</c:v>
                </c:pt>
                <c:pt idx="105">
                  <c:v>50.341092971597504</c:v>
                </c:pt>
                <c:pt idx="106">
                  <c:v>48.493969567863836</c:v>
                </c:pt>
                <c:pt idx="107">
                  <c:v>46.720107327175</c:v>
                </c:pt>
                <c:pt idx="108">
                  <c:v>45.015836322677778</c:v>
                </c:pt>
                <c:pt idx="109">
                  <c:v>43.377719058151762</c:v>
                </c:pt>
                <c:pt idx="110">
                  <c:v>41.802533031111864</c:v>
                </c:pt>
                <c:pt idx="111">
                  <c:v>40.287254810774414</c:v>
                </c:pt>
                <c:pt idx="112">
                  <c:v>38.829045481996317</c:v>
                </c:pt>
                <c:pt idx="113">
                  <c:v>37.425237322597312</c:v>
                </c:pt>
                <c:pt idx="114">
                  <c:v>36.073321595814285</c:v>
                </c:pt>
                <c:pt idx="115">
                  <c:v>34.770937352269343</c:v>
                </c:pt>
                <c:pt idx="116">
                  <c:v>33.515861146982417</c:v>
                </c:pt>
                <c:pt idx="117">
                  <c:v>32.305997586812353</c:v>
                </c:pt>
                <c:pt idx="118">
                  <c:v>31.13937063243382</c:v>
                </c:pt>
                <c:pt idx="119">
                  <c:v>30.014115586690703</c:v>
                </c:pt>
                <c:pt idx="120">
                  <c:v>28.928471708032824</c:v>
                </c:pt>
                <c:pt idx="121">
                  <c:v>27.880775393847351</c:v>
                </c:pt>
                <c:pt idx="122">
                  <c:v>26.869453883932522</c:v>
                </c:pt>
                <c:pt idx="123">
                  <c:v>25.893019439206498</c:v>
                </c:pt>
                <c:pt idx="124">
                  <c:v>24.950063955071219</c:v>
                </c:pt>
                <c:pt idx="125">
                  <c:v>24.039253972718576</c:v>
                </c:pt>
                <c:pt idx="126">
                  <c:v>23.159326055127206</c:v>
                </c:pt>
                <c:pt idx="127">
                  <c:v>22.309082497600738</c:v>
                </c:pt>
                <c:pt idx="128">
                  <c:v>21.487387345481572</c:v>
                </c:pt>
                <c:pt idx="129">
                  <c:v>20.693162694174088</c:v>
                </c:pt>
                <c:pt idx="130">
                  <c:v>19.925385248860106</c:v>
                </c:pt>
                <c:pt idx="131">
                  <c:v>19.183083123313658</c:v>
                </c:pt>
                <c:pt idx="132">
                  <c:v>18.465332859046963</c:v>
                </c:pt>
                <c:pt idx="133">
                  <c:v>17.771256647665755</c:v>
                </c:pt>
                <c:pt idx="134">
                  <c:v>17.100019740799681</c:v>
                </c:pt>
                <c:pt idx="135">
                  <c:v>16.450828033317922</c:v>
                </c:pt>
                <c:pt idx="136">
                  <c:v>15.82292580675729</c:v>
                </c:pt>
                <c:pt idx="137">
                  <c:v>15.215593620993005</c:v>
                </c:pt>
                <c:pt idx="138">
                  <c:v>14.628146343182081</c:v>
                </c:pt>
                <c:pt idx="139">
                  <c:v>14.059931303916835</c:v>
                </c:pt>
                <c:pt idx="140">
                  <c:v>13.510326571351051</c:v>
                </c:pt>
                <c:pt idx="141">
                  <c:v>12.978739334810562</c:v>
                </c:pt>
                <c:pt idx="142">
                  <c:v>12.464604390082823</c:v>
                </c:pt>
                <c:pt idx="143">
                  <c:v>11.96738271920122</c:v>
                </c:pt>
                <c:pt idx="144">
                  <c:v>11.486560158106464</c:v>
                </c:pt>
                <c:pt idx="145">
                  <c:v>11.021646146083897</c:v>
                </c:pt>
                <c:pt idx="146">
                  <c:v>10.572172551347254</c:v>
                </c:pt>
                <c:pt idx="147">
                  <c:v>10.137692567569852</c:v>
                </c:pt>
                <c:pt idx="148">
                  <c:v>9.7177796765578854</c:v>
                </c:pt>
                <c:pt idx="149">
                  <c:v>9.312026672619993</c:v>
                </c:pt>
                <c:pt idx="150">
                  <c:v>8.9200447445163089</c:v>
                </c:pt>
                <c:pt idx="151">
                  <c:v>8.5414626111710064</c:v>
                </c:pt>
                <c:pt idx="152">
                  <c:v>8.1759257076075205</c:v>
                </c:pt>
                <c:pt idx="153">
                  <c:v>7.8230954178173366</c:v>
                </c:pt>
                <c:pt idx="154">
                  <c:v>7.4826483515033084</c:v>
                </c:pt>
                <c:pt idx="155">
                  <c:v>7.1542756618487644</c:v>
                </c:pt>
                <c:pt idx="156">
                  <c:v>6.8376824016555311</c:v>
                </c:pt>
                <c:pt idx="157">
                  <c:v>6.5325869153689755</c:v>
                </c:pt>
                <c:pt idx="158">
                  <c:v>6.2387202646673918</c:v>
                </c:pt>
                <c:pt idx="159">
                  <c:v>5.9558256854373965</c:v>
                </c:pt>
                <c:pt idx="160">
                  <c:v>5.683658074087683</c:v>
                </c:pt>
                <c:pt idx="161">
                  <c:v>5.4219835012710647</c:v>
                </c:pt>
                <c:pt idx="162">
                  <c:v>5.1705787511898649</c:v>
                </c:pt>
                <c:pt idx="163">
                  <c:v>4.9292308847532125</c:v>
                </c:pt>
                <c:pt idx="164">
                  <c:v>4.6977368249368006</c:v>
                </c:pt>
                <c:pt idx="165">
                  <c:v>4.4759029627667966</c:v>
                </c:pt>
                <c:pt idx="166">
                  <c:v>4.2635447824101451</c:v>
                </c:pt>
                <c:pt idx="167">
                  <c:v>4.0604865039035998</c:v>
                </c:pt>
                <c:pt idx="168">
                  <c:v>3.8665607420939465</c:v>
                </c:pt>
                <c:pt idx="169">
                  <c:v>3.6816081803921654</c:v>
                </c:pt>
                <c:pt idx="170">
                  <c:v>3.5054772579649298</c:v>
                </c:pt>
                <c:pt idx="171">
                  <c:v>3.3380238689986994</c:v>
                </c:pt>
                <c:pt idx="172">
                  <c:v>3.1791110726746488</c:v>
                </c:pt>
                <c:pt idx="173">
                  <c:v>3.0286088124884425</c:v>
                </c:pt>
                <c:pt idx="174">
                  <c:v>2.8863936435378612</c:v>
                </c:pt>
                <c:pt idx="175">
                  <c:v>2.7523484663857793</c:v>
                </c:pt>
                <c:pt idx="176">
                  <c:v>2.6263622660879902</c:v>
                </c:pt>
                <c:pt idx="177">
                  <c:v>2.5083298549579465</c:v>
                </c:pt>
                <c:pt idx="178">
                  <c:v>2.3981516176278221</c:v>
                </c:pt>
                <c:pt idx="179">
                  <c:v>2.2957332569620337</c:v>
                </c:pt>
                <c:pt idx="180">
                  <c:v>2.2009855393918278</c:v>
                </c:pt>
                <c:pt idx="181">
                  <c:v>2.1138240382745908</c:v>
                </c:pt>
                <c:pt idx="182">
                  <c:v>2.0341688739471921</c:v>
                </c:pt>
                <c:pt idx="183">
                  <c:v>1.9619444492470741</c:v>
                </c:pt>
                <c:pt idx="184">
                  <c:v>1.8970791794262778</c:v>
                </c:pt>
                <c:pt idx="185">
                  <c:v>1.8395052155888341</c:v>
                </c:pt>
                <c:pt idx="186">
                  <c:v>1.7891581610458471</c:v>
                </c:pt>
                <c:pt idx="187">
                  <c:v>1.7459767803059634</c:v>
                </c:pt>
                <c:pt idx="188">
                  <c:v>1.7099027007978052</c:v>
                </c:pt>
                <c:pt idx="189">
                  <c:v>1.6808801078451876</c:v>
                </c:pt>
                <c:pt idx="190">
                  <c:v>1.6588554338686841</c:v>
                </c:pt>
                <c:pt idx="191">
                  <c:v>1.6437770432452743</c:v>
                </c:pt>
                <c:pt idx="192">
                  <c:v>1.6355949146931545</c:v>
                </c:pt>
                <c:pt idx="193">
                  <c:v>1.6342603234309883</c:v>
                </c:pt>
                <c:pt idx="194">
                  <c:v>1.6397255256601992</c:v>
                </c:pt>
                <c:pt idx="195">
                  <c:v>1.6519434481107469</c:v>
                </c:pt>
                <c:pt idx="196">
                  <c:v>1.6708673854586173</c:v>
                </c:pt>
                <c:pt idx="197">
                  <c:v>1.6964507083612763</c:v>
                </c:pt>
                <c:pt idx="198">
                  <c:v>1.7286465846715584</c:v>
                </c:pt>
                <c:pt idx="199">
                  <c:v>1.7674077160974877</c:v>
                </c:pt>
                <c:pt idx="200">
                  <c:v>1.8126860922006161</c:v>
                </c:pt>
                <c:pt idx="201">
                  <c:v>1.8644327631984372</c:v>
                </c:pt>
                <c:pt idx="202">
                  <c:v>1.9225976325883789</c:v>
                </c:pt>
                <c:pt idx="203">
                  <c:v>1.9871292701703478</c:v>
                </c:pt>
                <c:pt idx="204">
                  <c:v>2.0579747456353821</c:v>
                </c:pt>
                <c:pt idx="205">
                  <c:v>2.1350794825267219</c:v>
                </c:pt>
                <c:pt idx="206">
                  <c:v>2.2183871320768351</c:v>
                </c:pt>
                <c:pt idx="207">
                  <c:v>2.3078394661836907</c:v>
                </c:pt>
                <c:pt idx="208">
                  <c:v>2.4033762886106711</c:v>
                </c:pt>
                <c:pt idx="209">
                  <c:v>2.5049353633721867</c:v>
                </c:pt>
                <c:pt idx="210">
                  <c:v>2.6124523591941435</c:v>
                </c:pt>
                <c:pt idx="211">
                  <c:v>2.7258608089065111</c:v>
                </c:pt>
                <c:pt idx="212">
                  <c:v>2.8450920826261288</c:v>
                </c:pt>
                <c:pt idx="213">
                  <c:v>2.9700753736133287</c:v>
                </c:pt>
                <c:pt idx="214">
                  <c:v>3.1007376957291584</c:v>
                </c:pt>
                <c:pt idx="215">
                  <c:v>3.2370038914748696</c:v>
                </c:pt>
                <c:pt idx="216">
                  <c:v>3.3787966496570809</c:v>
                </c:pt>
                <c:pt idx="217">
                  <c:v>3.526036531786942</c:v>
                </c:pt>
                <c:pt idx="218">
                  <c:v>3.6786420063868968</c:v>
                </c:pt>
                <c:pt idx="219">
                  <c:v>3.836529490442226</c:v>
                </c:pt>
                <c:pt idx="220">
                  <c:v>3.9996133972951919</c:v>
                </c:pt>
                <c:pt idx="221">
                  <c:v>4.1678061903363259</c:v>
                </c:pt>
                <c:pt idx="222">
                  <c:v>4.3410184419000757</c:v>
                </c:pt>
                <c:pt idx="223">
                  <c:v>4.5191588968198966</c:v>
                </c:pt>
                <c:pt idx="224">
                  <c:v>4.7021345401419001</c:v>
                </c:pt>
                <c:pt idx="225">
                  <c:v>4.8898506685353818</c:v>
                </c:pt>
                <c:pt idx="226">
                  <c:v>5.0822109649744114</c:v>
                </c:pt>
                <c:pt idx="227">
                  <c:v>5.2791175762965405</c:v>
                </c:pt>
                <c:pt idx="228">
                  <c:v>5.4804711932733401</c:v>
                </c:pt>
                <c:pt idx="229">
                  <c:v>5.6861711328534001</c:v>
                </c:pt>
                <c:pt idx="230">
                  <c:v>5.8961154222614063</c:v>
                </c:pt>
                <c:pt idx="231">
                  <c:v>6.1102008846578393</c:v>
                </c:pt>
                <c:pt idx="232">
                  <c:v>6.3283232260826994</c:v>
                </c:pt>
                <c:pt idx="233">
                  <c:v>6.5503771234235906</c:v>
                </c:pt>
                <c:pt idx="234">
                  <c:v>6.7762563131641347</c:v>
                </c:pt>
                <c:pt idx="235">
                  <c:v>7.0058536806828942</c:v>
                </c:pt>
                <c:pt idx="236">
                  <c:v>7.2390613498859357</c:v>
                </c:pt>
                <c:pt idx="237">
                  <c:v>7.475770772968402</c:v>
                </c:pt>
                <c:pt idx="238">
                  <c:v>7.7158728201115814</c:v>
                </c:pt>
                <c:pt idx="239">
                  <c:v>7.9592578689326068</c:v>
                </c:pt>
                <c:pt idx="240">
                  <c:v>8.2058158935137264</c:v>
                </c:pt>
                <c:pt idx="241">
                  <c:v>8.4554365528475657</c:v>
                </c:pt>
                <c:pt idx="242">
                  <c:v>8.7080092785436314</c:v>
                </c:pt>
                <c:pt idx="243">
                  <c:v>8.9634233616500421</c:v>
                </c:pt>
                <c:pt idx="244">
                  <c:v>9.2215680384524319</c:v>
                </c:pt>
                <c:pt idx="245">
                  <c:v>9.482332575120175</c:v>
                </c:pt>
                <c:pt idx="246">
                  <c:v>9.7456063510774698</c:v>
                </c:pt>
                <c:pt idx="247">
                  <c:v>10.011278940984583</c:v>
                </c:pt>
                <c:pt idx="248">
                  <c:v>10.279240195221488</c:v>
                </c:pt>
                <c:pt idx="249">
                  <c:v>10.549380318773487</c:v>
                </c:pt>
                <c:pt idx="250">
                  <c:v>10.821589948425059</c:v>
                </c:pt>
                <c:pt idx="251">
                  <c:v>11.095760228175156</c:v>
                </c:pt>
                <c:pt idx="252">
                  <c:v>11.371782882793669</c:v>
                </c:pt>
                <c:pt idx="253">
                  <c:v>11.649550289445095</c:v>
                </c:pt>
                <c:pt idx="254">
                  <c:v>11.928955547312217</c:v>
                </c:pt>
                <c:pt idx="255">
                  <c:v>12.209892545158246</c:v>
                </c:pt>
                <c:pt idx="256">
                  <c:v>12.492256026772287</c:v>
                </c:pt>
                <c:pt idx="257">
                  <c:v>12.77594165424898</c:v>
                </c:pt>
                <c:pt idx="258">
                  <c:v>13.060846069058568</c:v>
                </c:pt>
                <c:pt idx="259">
                  <c:v>13.346866950869687</c:v>
                </c:pt>
                <c:pt idx="260">
                  <c:v>13.633903074092467</c:v>
                </c:pt>
                <c:pt idx="261">
                  <c:v>13.921854362115031</c:v>
                </c:pt>
                <c:pt idx="262">
                  <c:v>14.210621939211446</c:v>
                </c:pt>
                <c:pt idx="263">
                  <c:v>14.500108180104512</c:v>
                </c:pt>
                <c:pt idx="264">
                  <c:v>14.790216757171605</c:v>
                </c:pt>
                <c:pt idx="265">
                  <c:v>15.080852685286269</c:v>
                </c:pt>
                <c:pt idx="266">
                  <c:v>15.37192236429331</c:v>
                </c:pt>
                <c:pt idx="267">
                  <c:v>15.663333619119015</c:v>
                </c:pt>
                <c:pt idx="268">
                  <c:v>15.954995737522818</c:v>
                </c:pt>
                <c:pt idx="269">
                  <c:v>16.24681950550049</c:v>
                </c:pt>
                <c:pt idx="270">
                  <c:v>16.538717240352966</c:v>
                </c:pt>
                <c:pt idx="271">
                  <c:v>16.83060282143861</c:v>
                </c:pt>
                <c:pt idx="272">
                  <c:v>17.122391718630144</c:v>
                </c:pt>
                <c:pt idx="273">
                  <c:v>17.414001018501118</c:v>
                </c:pt>
                <c:pt idx="274">
                  <c:v>17.705349448269583</c:v>
                </c:pt>
                <c:pt idx="275">
                  <c:v>17.996357397529952</c:v>
                </c:pt>
                <c:pt idx="276">
                  <c:v>18.286946937806594</c:v>
                </c:pt>
                <c:pt idx="277">
                  <c:v>18.577041839965659</c:v>
                </c:pt>
                <c:pt idx="278">
                  <c:v>18.866567589523797</c:v>
                </c:pt>
                <c:pt idx="279">
                  <c:v>19.155451399894769</c:v>
                </c:pt>
                <c:pt idx="280">
                  <c:v>19.443622223617364</c:v>
                </c:pt>
                <c:pt idx="281">
                  <c:v>19.731010761609454</c:v>
                </c:pt>
                <c:pt idx="282">
                  <c:v>20.017549470495346</c:v>
                </c:pt>
                <c:pt idx="283">
                  <c:v>20.303172568054837</c:v>
                </c:pt>
                <c:pt idx="284">
                  <c:v>20.587816036843762</c:v>
                </c:pt>
                <c:pt idx="285">
                  <c:v>20.871417626037633</c:v>
                </c:pt>
                <c:pt idx="286">
                  <c:v>21.153916851550388</c:v>
                </c:pt>
                <c:pt idx="287">
                  <c:v>21.435254994481806</c:v>
                </c:pt>
                <c:pt idx="288">
                  <c:v>21.715375097947675</c:v>
                </c:pt>
                <c:pt idx="289">
                  <c:v>21.994221962347623</c:v>
                </c:pt>
                <c:pt idx="290">
                  <c:v>22.271742139126129</c:v>
                </c:pt>
                <c:pt idx="291">
                  <c:v>22.547883923082239</c:v>
                </c:pt>
                <c:pt idx="292">
                  <c:v>22.822597343284656</c:v>
                </c:pt>
                <c:pt idx="293">
                  <c:v>23.095834152647896</c:v>
                </c:pt>
                <c:pt idx="294">
                  <c:v>23.367547816226384</c:v>
                </c:pt>
                <c:pt idx="295">
                  <c:v>23.63769349828253</c:v>
                </c:pt>
                <c:pt idx="296">
                  <c:v>23.906228048184886</c:v>
                </c:pt>
                <c:pt idx="297">
                  <c:v>24.173109985192418</c:v>
                </c:pt>
                <c:pt idx="298">
                  <c:v>24.438299482180145</c:v>
                </c:pt>
                <c:pt idx="299">
                  <c:v>24.701758348361452</c:v>
                </c:pt>
                <c:pt idx="300">
                  <c:v>24.963450011061305</c:v>
                </c:pt>
                <c:pt idx="301">
                  <c:v>25.223339496594463</c:v>
                </c:pt>
                <c:pt idx="302">
                  <c:v>25.481393410301539</c:v>
                </c:pt>
                <c:pt idx="303">
                  <c:v>25.737579915795617</c:v>
                </c:pt>
                <c:pt idx="304">
                  <c:v>25.991868713470875</c:v>
                </c:pt>
                <c:pt idx="305">
                  <c:v>26.244231018323692</c:v>
                </c:pt>
                <c:pt idx="306">
                  <c:v>26.49463953713618</c:v>
                </c:pt>
                <c:pt idx="307">
                  <c:v>26.743068445070744</c:v>
                </c:pt>
                <c:pt idx="308">
                  <c:v>26.989493361723252</c:v>
                </c:pt>
                <c:pt idx="309">
                  <c:v>27.233891326681537</c:v>
                </c:pt>
                <c:pt idx="310">
                  <c:v>27.476240774634448</c:v>
                </c:pt>
                <c:pt idx="311">
                  <c:v>27.716521510075964</c:v>
                </c:pt>
                <c:pt idx="312">
                  <c:v>27.954714681647253</c:v>
                </c:pt>
                <c:pt idx="313">
                  <c:v>28.1908027561586</c:v>
                </c:pt>
                <c:pt idx="314">
                  <c:v>28.424769492331997</c:v>
                </c:pt>
                <c:pt idx="315">
                  <c:v>28.656599914303463</c:v>
                </c:pt>
                <c:pt idx="316">
                  <c:v>28.886280284923579</c:v>
                </c:pt>
                <c:pt idx="317">
                  <c:v>29.113798078892859</c:v>
                </c:pt>
                <c:pt idx="318">
                  <c:v>29.339141955767452</c:v>
                </c:pt>
                <c:pt idx="319">
                  <c:v>29.562301732869834</c:v>
                </c:pt>
                <c:pt idx="320">
                  <c:v>29.783268358136958</c:v>
                </c:pt>
                <c:pt idx="321">
                  <c:v>30.002033882938139</c:v>
                </c:pt>
                <c:pt idx="322">
                  <c:v>30.218591434892513</c:v>
                </c:pt>
                <c:pt idx="323">
                  <c:v>30.432935190715856</c:v>
                </c:pt>
                <c:pt idx="324">
                  <c:v>30.645060349124169</c:v>
                </c:pt>
                <c:pt idx="325">
                  <c:v>30.854963103820879</c:v>
                </c:pt>
                <c:pt idx="326">
                  <c:v>31.062640616593107</c:v>
                </c:pt>
                <c:pt idx="327">
                  <c:v>31.268090990541037</c:v>
                </c:pt>
                <c:pt idx="328">
                  <c:v>31.471313243463634</c:v>
                </c:pt>
                <c:pt idx="329">
                  <c:v>31.672307281422107</c:v>
                </c:pt>
                <c:pt idx="330">
                  <c:v>31.871073872502212</c:v>
                </c:pt>
                <c:pt idx="331">
                  <c:v>32.067614620794394</c:v>
                </c:pt>
                <c:pt idx="332">
                  <c:v>32.261931940610602</c:v>
                </c:pt>
                <c:pt idx="333">
                  <c:v>32.45402903095458</c:v>
                </c:pt>
                <c:pt idx="334">
                  <c:v>32.643909850262261</c:v>
                </c:pt>
                <c:pt idx="335">
                  <c:v>32.83157909142686</c:v>
                </c:pt>
                <c:pt idx="336">
                  <c:v>33.017042157123569</c:v>
                </c:pt>
                <c:pt idx="337">
                  <c:v>33.200305135445809</c:v>
                </c:pt>
                <c:pt idx="338">
                  <c:v>33.381374775866497</c:v>
                </c:pt>
                <c:pt idx="339">
                  <c:v>33.560258465534424</c:v>
                </c:pt>
                <c:pt idx="340">
                  <c:v>33.736964205916678</c:v>
                </c:pt>
                <c:pt idx="341">
                  <c:v>33.911500589796248</c:v>
                </c:pt>
                <c:pt idx="342">
                  <c:v>34.083876778633389</c:v>
                </c:pt>
                <c:pt idx="343">
                  <c:v>34.254102480298457</c:v>
                </c:pt>
                <c:pt idx="344">
                  <c:v>34.422187927183096</c:v>
                </c:pt>
                <c:pt idx="345">
                  <c:v>34.588143854696014</c:v>
                </c:pt>
                <c:pt idx="346">
                  <c:v>34.75198148014865</c:v>
                </c:pt>
                <c:pt idx="347">
                  <c:v>34.913712482035265</c:v>
                </c:pt>
                <c:pt idx="348">
                  <c:v>35.073348979711774</c:v>
                </c:pt>
                <c:pt idx="349">
                  <c:v>35.23090351347637</c:v>
                </c:pt>
                <c:pt idx="350">
                  <c:v>35.386389025054761</c:v>
                </c:pt>
                <c:pt idx="351">
                  <c:v>35.539818838491975</c:v>
                </c:pt>
                <c:pt idx="352">
                  <c:v>35.691206641452531</c:v>
                </c:pt>
                <c:pt idx="353">
                  <c:v>35.840566466929474</c:v>
                </c:pt>
                <c:pt idx="354">
                  <c:v>35.987912675363226</c:v>
                </c:pt>
                <c:pt idx="355">
                  <c:v>36.133259937169797</c:v>
                </c:pt>
                <c:pt idx="356">
                  <c:v>36.276623215677979</c:v>
                </c:pt>
                <c:pt idx="357">
                  <c:v>36.418017750474391</c:v>
                </c:pt>
                <c:pt idx="358">
                  <c:v>36.557459041155361</c:v>
                </c:pt>
                <c:pt idx="359">
                  <c:v>36.694962831483139</c:v>
                </c:pt>
                <c:pt idx="360">
                  <c:v>36.830545093944885</c:v>
                </c:pt>
                <c:pt idx="361">
                  <c:v>36.964222014711432</c:v>
                </c:pt>
                <c:pt idx="362">
                  <c:v>37.096009978993273</c:v>
                </c:pt>
                <c:pt idx="363">
                  <c:v>37.225925556790187</c:v>
                </c:pt>
                <c:pt idx="364">
                  <c:v>37.353985489031281</c:v>
                </c:pt>
                <c:pt idx="365">
                  <c:v>37.480206674101467</c:v>
                </c:pt>
                <c:pt idx="366">
                  <c:v>37.604606154750599</c:v>
                </c:pt>
                <c:pt idx="367">
                  <c:v>37.727201105380544</c:v>
                </c:pt>
                <c:pt idx="368">
                  <c:v>37.848008819706187</c:v>
                </c:pt>
                <c:pt idx="369">
                  <c:v>37.967046698785218</c:v>
                </c:pt>
                <c:pt idx="370">
                  <c:v>38.084332239412213</c:v>
                </c:pt>
                <c:pt idx="371">
                  <c:v>38.199883022871532</c:v>
                </c:pt>
                <c:pt idx="372">
                  <c:v>38.313716704044175</c:v>
                </c:pt>
                <c:pt idx="373">
                  <c:v>38.425851000862984</c:v>
                </c:pt>
                <c:pt idx="374">
                  <c:v>38.536303684110948</c:v>
                </c:pt>
                <c:pt idx="375">
                  <c:v>38.645092567556667</c:v>
                </c:pt>
                <c:pt idx="376">
                  <c:v>38.752235498421719</c:v>
                </c:pt>
                <c:pt idx="377">
                  <c:v>38.7523408606909</c:v>
                </c:pt>
                <c:pt idx="378">
                  <c:v>38.752446221359925</c:v>
                </c:pt>
                <c:pt idx="379">
                  <c:v>38.752551580428786</c:v>
                </c:pt>
                <c:pt idx="380">
                  <c:v>38.752656937897498</c:v>
                </c:pt>
                <c:pt idx="381">
                  <c:v>38.752762293766089</c:v>
                </c:pt>
                <c:pt idx="382">
                  <c:v>38.752867648034588</c:v>
                </c:pt>
                <c:pt idx="383">
                  <c:v>38.752973000703008</c:v>
                </c:pt>
                <c:pt idx="384">
                  <c:v>38.75307835177135</c:v>
                </c:pt>
                <c:pt idx="385">
                  <c:v>38.753183701239685</c:v>
                </c:pt>
                <c:pt idx="386">
                  <c:v>38.753289049107934</c:v>
                </c:pt>
                <c:pt idx="387">
                  <c:v>38.753394395376198</c:v>
                </c:pt>
                <c:pt idx="388">
                  <c:v>38.753499740044461</c:v>
                </c:pt>
                <c:pt idx="389">
                  <c:v>38.75360508311276</c:v>
                </c:pt>
                <c:pt idx="390">
                  <c:v>38.753710424581065</c:v>
                </c:pt>
                <c:pt idx="391">
                  <c:v>38.753815764449413</c:v>
                </c:pt>
                <c:pt idx="392">
                  <c:v>38.753921102717875</c:v>
                </c:pt>
                <c:pt idx="393">
                  <c:v>38.754026439386422</c:v>
                </c:pt>
                <c:pt idx="394">
                  <c:v>38.754131774455054</c:v>
                </c:pt>
                <c:pt idx="395">
                  <c:v>38.754237107923835</c:v>
                </c:pt>
                <c:pt idx="396">
                  <c:v>38.754342439792744</c:v>
                </c:pt>
                <c:pt idx="397">
                  <c:v>38.754447770061816</c:v>
                </c:pt>
                <c:pt idx="398">
                  <c:v>38.754553098731044</c:v>
                </c:pt>
                <c:pt idx="399">
                  <c:v>38.754658425800514</c:v>
                </c:pt>
                <c:pt idx="400">
                  <c:v>38.754763751270161</c:v>
                </c:pt>
                <c:pt idx="401">
                  <c:v>38.754869075140043</c:v>
                </c:pt>
                <c:pt idx="402">
                  <c:v>38.754974397410194</c:v>
                </c:pt>
                <c:pt idx="403">
                  <c:v>38.755079718080594</c:v>
                </c:pt>
                <c:pt idx="404">
                  <c:v>38.755185037151264</c:v>
                </c:pt>
                <c:pt idx="405">
                  <c:v>38.755290354622261</c:v>
                </c:pt>
                <c:pt idx="406">
                  <c:v>38.755395670493563</c:v>
                </c:pt>
                <c:pt idx="407">
                  <c:v>38.755500984765227</c:v>
                </c:pt>
                <c:pt idx="408">
                  <c:v>38.755606297437211</c:v>
                </c:pt>
                <c:pt idx="409">
                  <c:v>38.755711608509579</c:v>
                </c:pt>
                <c:pt idx="410">
                  <c:v>38.755816917982315</c:v>
                </c:pt>
                <c:pt idx="411">
                  <c:v>38.755922225855478</c:v>
                </c:pt>
                <c:pt idx="412">
                  <c:v>38.75602753212906</c:v>
                </c:pt>
                <c:pt idx="413">
                  <c:v>38.756132836803083</c:v>
                </c:pt>
                <c:pt idx="414">
                  <c:v>38.756238139877567</c:v>
                </c:pt>
                <c:pt idx="415">
                  <c:v>38.756343441352506</c:v>
                </c:pt>
                <c:pt idx="416">
                  <c:v>38.756448741227949</c:v>
                </c:pt>
                <c:pt idx="417">
                  <c:v>38.756554039503918</c:v>
                </c:pt>
                <c:pt idx="418">
                  <c:v>38.756659336180405</c:v>
                </c:pt>
                <c:pt idx="419">
                  <c:v>38.756764631257447</c:v>
                </c:pt>
                <c:pt idx="420">
                  <c:v>38.756869924735028</c:v>
                </c:pt>
                <c:pt idx="421">
                  <c:v>38.756975216613199</c:v>
                </c:pt>
                <c:pt idx="422">
                  <c:v>38.757080506891946</c:v>
                </c:pt>
                <c:pt idx="423">
                  <c:v>38.757185795571338</c:v>
                </c:pt>
                <c:pt idx="424">
                  <c:v>38.757291082651371</c:v>
                </c:pt>
                <c:pt idx="425">
                  <c:v>38.757396368132035</c:v>
                </c:pt>
                <c:pt idx="426">
                  <c:v>38.757501652013346</c:v>
                </c:pt>
                <c:pt idx="427">
                  <c:v>38.757606934295389</c:v>
                </c:pt>
                <c:pt idx="428">
                  <c:v>38.757712214978106</c:v>
                </c:pt>
                <c:pt idx="429">
                  <c:v>38.757817494061555</c:v>
                </c:pt>
                <c:pt idx="430">
                  <c:v>38.757922771545744</c:v>
                </c:pt>
                <c:pt idx="431">
                  <c:v>38.758028047430663</c:v>
                </c:pt>
                <c:pt idx="432">
                  <c:v>38.758133321716358</c:v>
                </c:pt>
                <c:pt idx="433">
                  <c:v>38.758238594402862</c:v>
                </c:pt>
                <c:pt idx="434">
                  <c:v>38.758343865490154</c:v>
                </c:pt>
                <c:pt idx="435">
                  <c:v>38.758449134978271</c:v>
                </c:pt>
                <c:pt idx="436">
                  <c:v>38.75855440286724</c:v>
                </c:pt>
                <c:pt idx="437">
                  <c:v>38.758659669157062</c:v>
                </c:pt>
                <c:pt idx="438">
                  <c:v>38.758764933847779</c:v>
                </c:pt>
                <c:pt idx="439">
                  <c:v>38.758870196939377</c:v>
                </c:pt>
                <c:pt idx="440">
                  <c:v>38.758975458431891</c:v>
                </c:pt>
                <c:pt idx="441">
                  <c:v>38.759080718325322</c:v>
                </c:pt>
                <c:pt idx="442">
                  <c:v>38.759185976619712</c:v>
                </c:pt>
                <c:pt idx="443">
                  <c:v>38.759291233315054</c:v>
                </c:pt>
                <c:pt idx="444">
                  <c:v>38.75939648841139</c:v>
                </c:pt>
                <c:pt idx="445">
                  <c:v>38.759501741908743</c:v>
                </c:pt>
                <c:pt idx="446">
                  <c:v>38.759606993807068</c:v>
                </c:pt>
                <c:pt idx="447">
                  <c:v>38.759712244106467</c:v>
                </c:pt>
                <c:pt idx="448">
                  <c:v>38.759817492806881</c:v>
                </c:pt>
                <c:pt idx="449">
                  <c:v>38.759922739908404</c:v>
                </c:pt>
                <c:pt idx="450">
                  <c:v>38.760027985410979</c:v>
                </c:pt>
                <c:pt idx="451">
                  <c:v>38.760133229314675</c:v>
                </c:pt>
                <c:pt idx="452">
                  <c:v>38.760238471619488</c:v>
                </c:pt>
                <c:pt idx="453">
                  <c:v>38.760343712325465</c:v>
                </c:pt>
                <c:pt idx="454">
                  <c:v>38.760448951432579</c:v>
                </c:pt>
                <c:pt idx="455">
                  <c:v>38.760554188940866</c:v>
                </c:pt>
                <c:pt idx="456">
                  <c:v>38.760659424850346</c:v>
                </c:pt>
                <c:pt idx="457">
                  <c:v>38.760764659161026</c:v>
                </c:pt>
                <c:pt idx="458">
                  <c:v>38.76086989187295</c:v>
                </c:pt>
                <c:pt idx="459">
                  <c:v>38.76097512298611</c:v>
                </c:pt>
                <c:pt idx="460">
                  <c:v>38.761080352500514</c:v>
                </c:pt>
                <c:pt idx="461">
                  <c:v>38.761185580416203</c:v>
                </c:pt>
                <c:pt idx="462">
                  <c:v>38.761290806733228</c:v>
                </c:pt>
                <c:pt idx="463">
                  <c:v>38.761396031451532</c:v>
                </c:pt>
                <c:pt idx="464">
                  <c:v>38.761501254571144</c:v>
                </c:pt>
                <c:pt idx="465">
                  <c:v>38.761606476092155</c:v>
                </c:pt>
                <c:pt idx="466">
                  <c:v>38.761711696014515</c:v>
                </c:pt>
                <c:pt idx="467">
                  <c:v>38.761816914338247</c:v>
                </c:pt>
                <c:pt idx="468">
                  <c:v>38.7619221310634</c:v>
                </c:pt>
                <c:pt idx="469">
                  <c:v>38.762027346189953</c:v>
                </c:pt>
                <c:pt idx="470">
                  <c:v>38.762132559717948</c:v>
                </c:pt>
                <c:pt idx="471">
                  <c:v>38.762237771647399</c:v>
                </c:pt>
                <c:pt idx="472">
                  <c:v>38.762342981978314</c:v>
                </c:pt>
                <c:pt idx="473">
                  <c:v>38.762448190710721</c:v>
                </c:pt>
                <c:pt idx="474">
                  <c:v>38.762553397844648</c:v>
                </c:pt>
                <c:pt idx="475">
                  <c:v>38.762658603380068</c:v>
                </c:pt>
                <c:pt idx="476">
                  <c:v>38.762763807317057</c:v>
                </c:pt>
                <c:pt idx="477">
                  <c:v>38.762869009655581</c:v>
                </c:pt>
                <c:pt idx="478">
                  <c:v>38.762974210395697</c:v>
                </c:pt>
                <c:pt idx="479">
                  <c:v>38.763079409537397</c:v>
                </c:pt>
                <c:pt idx="480">
                  <c:v>38.763184607080717</c:v>
                </c:pt>
                <c:pt idx="481">
                  <c:v>38.763289803025664</c:v>
                </c:pt>
                <c:pt idx="482">
                  <c:v>38.763394997372266</c:v>
                </c:pt>
                <c:pt idx="483">
                  <c:v>38.76350019012051</c:v>
                </c:pt>
                <c:pt idx="484">
                  <c:v>38.763605381270459</c:v>
                </c:pt>
                <c:pt idx="485">
                  <c:v>38.763710570822077</c:v>
                </c:pt>
                <c:pt idx="486">
                  <c:v>38.763815758775436</c:v>
                </c:pt>
                <c:pt idx="487">
                  <c:v>38.763920945130508</c:v>
                </c:pt>
                <c:pt idx="488">
                  <c:v>38.764026129887363</c:v>
                </c:pt>
                <c:pt idx="489">
                  <c:v>38.764131313045965</c:v>
                </c:pt>
                <c:pt idx="490">
                  <c:v>38.764236494606344</c:v>
                </c:pt>
                <c:pt idx="491">
                  <c:v>38.764341674568556</c:v>
                </c:pt>
                <c:pt idx="492">
                  <c:v>38.764446852932558</c:v>
                </c:pt>
                <c:pt idx="493">
                  <c:v>38.764552029698407</c:v>
                </c:pt>
                <c:pt idx="494">
                  <c:v>38.764657204866126</c:v>
                </c:pt>
                <c:pt idx="495">
                  <c:v>38.764762378435698</c:v>
                </c:pt>
                <c:pt idx="496">
                  <c:v>38.764867550407168</c:v>
                </c:pt>
                <c:pt idx="497">
                  <c:v>38.764972720780555</c:v>
                </c:pt>
                <c:pt idx="498">
                  <c:v>38.765077889555847</c:v>
                </c:pt>
                <c:pt idx="499">
                  <c:v>38.7651830567331</c:v>
                </c:pt>
                <c:pt idx="500">
                  <c:v>38.7652882223123</c:v>
                </c:pt>
                <c:pt idx="501">
                  <c:v>38.765393386293482</c:v>
                </c:pt>
                <c:pt idx="502">
                  <c:v>38.765498548676682</c:v>
                </c:pt>
                <c:pt idx="503">
                  <c:v>38.765603709461878</c:v>
                </c:pt>
                <c:pt idx="504">
                  <c:v>38.765708868649085</c:v>
                </c:pt>
                <c:pt idx="505">
                  <c:v>38.765814026238353</c:v>
                </c:pt>
                <c:pt idx="506">
                  <c:v>38.765919182229695</c:v>
                </c:pt>
                <c:pt idx="507">
                  <c:v>38.766024336623111</c:v>
                </c:pt>
                <c:pt idx="508">
                  <c:v>38.766129489418638</c:v>
                </c:pt>
                <c:pt idx="509">
                  <c:v>38.766234640616283</c:v>
                </c:pt>
                <c:pt idx="510">
                  <c:v>38.766339790216058</c:v>
                </c:pt>
                <c:pt idx="511">
                  <c:v>38.766444938217973</c:v>
                </c:pt>
                <c:pt idx="512">
                  <c:v>38.766550084622089</c:v>
                </c:pt>
                <c:pt idx="513">
                  <c:v>38.766655229428373</c:v>
                </c:pt>
                <c:pt idx="514">
                  <c:v>38.766760372636853</c:v>
                </c:pt>
                <c:pt idx="515">
                  <c:v>38.766865514247563</c:v>
                </c:pt>
                <c:pt idx="516">
                  <c:v>38.766970654260511</c:v>
                </c:pt>
                <c:pt idx="517">
                  <c:v>38.767075792675712</c:v>
                </c:pt>
                <c:pt idx="518">
                  <c:v>38.767180929493193</c:v>
                </c:pt>
                <c:pt idx="519">
                  <c:v>38.76728606471297</c:v>
                </c:pt>
                <c:pt idx="520">
                  <c:v>38.767391198335055</c:v>
                </c:pt>
                <c:pt idx="521">
                  <c:v>38.767496330359457</c:v>
                </c:pt>
                <c:pt idx="522">
                  <c:v>38.767601460786238</c:v>
                </c:pt>
                <c:pt idx="523">
                  <c:v>38.767706589615337</c:v>
                </c:pt>
                <c:pt idx="524">
                  <c:v>38.767811716846857</c:v>
                </c:pt>
                <c:pt idx="525">
                  <c:v>38.767916842480766</c:v>
                </c:pt>
                <c:pt idx="526">
                  <c:v>38.768021966517054</c:v>
                </c:pt>
                <c:pt idx="527">
                  <c:v>38.768127088955801</c:v>
                </c:pt>
                <c:pt idx="528">
                  <c:v>38.768232209797006</c:v>
                </c:pt>
                <c:pt idx="529">
                  <c:v>38.768337329040655</c:v>
                </c:pt>
                <c:pt idx="530">
                  <c:v>38.768442446686826</c:v>
                </c:pt>
                <c:pt idx="531">
                  <c:v>38.768547562735435</c:v>
                </c:pt>
                <c:pt idx="532">
                  <c:v>38.768652677186616</c:v>
                </c:pt>
                <c:pt idx="533">
                  <c:v>38.768757790040311</c:v>
                </c:pt>
                <c:pt idx="534">
                  <c:v>38.768862901296586</c:v>
                </c:pt>
                <c:pt idx="535">
                  <c:v>38.768968010955398</c:v>
                </c:pt>
                <c:pt idx="536">
                  <c:v>38.769073119016831</c:v>
                </c:pt>
                <c:pt idx="537">
                  <c:v>38.769178225480843</c:v>
                </c:pt>
                <c:pt idx="538">
                  <c:v>38.769283330347506</c:v>
                </c:pt>
                <c:pt idx="539">
                  <c:v>38.769388433616804</c:v>
                </c:pt>
                <c:pt idx="540">
                  <c:v>38.769493535288753</c:v>
                </c:pt>
                <c:pt idx="541">
                  <c:v>38.769598635363401</c:v>
                </c:pt>
                <c:pt idx="542">
                  <c:v>38.769703733840728</c:v>
                </c:pt>
                <c:pt idx="543">
                  <c:v>38.769808830720756</c:v>
                </c:pt>
                <c:pt idx="544">
                  <c:v>38.769913926003518</c:v>
                </c:pt>
                <c:pt idx="545">
                  <c:v>38.77001901968903</c:v>
                </c:pt>
                <c:pt idx="546">
                  <c:v>38.770124111777314</c:v>
                </c:pt>
                <c:pt idx="547">
                  <c:v>38.770229202268368</c:v>
                </c:pt>
                <c:pt idx="548">
                  <c:v>38.770334291162243</c:v>
                </c:pt>
                <c:pt idx="549">
                  <c:v>38.770439378458903</c:v>
                </c:pt>
                <c:pt idx="550">
                  <c:v>38.770544464158426</c:v>
                </c:pt>
                <c:pt idx="551">
                  <c:v>38.770649548260764</c:v>
                </c:pt>
                <c:pt idx="552">
                  <c:v>38.770754630766007</c:v>
                </c:pt>
                <c:pt idx="553">
                  <c:v>38.770859711674134</c:v>
                </c:pt>
                <c:pt idx="554">
                  <c:v>38.770964790985133</c:v>
                </c:pt>
                <c:pt idx="555">
                  <c:v>38.771069868699072</c:v>
                </c:pt>
                <c:pt idx="556">
                  <c:v>38.771174944815961</c:v>
                </c:pt>
                <c:pt idx="557">
                  <c:v>38.771280019335805</c:v>
                </c:pt>
                <c:pt idx="558">
                  <c:v>38.771385092258633</c:v>
                </c:pt>
                <c:pt idx="559">
                  <c:v>38.771490163584438</c:v>
                </c:pt>
                <c:pt idx="560">
                  <c:v>38.771595233313235</c:v>
                </c:pt>
                <c:pt idx="561">
                  <c:v>38.77170030144508</c:v>
                </c:pt>
                <c:pt idx="562">
                  <c:v>38.771805367979958</c:v>
                </c:pt>
                <c:pt idx="563">
                  <c:v>38.771910432917892</c:v>
                </c:pt>
                <c:pt idx="564">
                  <c:v>38.772015496258916</c:v>
                </c:pt>
                <c:pt idx="565">
                  <c:v>38.772120558003031</c:v>
                </c:pt>
                <c:pt idx="566">
                  <c:v>38.772225618150273</c:v>
                </c:pt>
                <c:pt idx="567">
                  <c:v>38.772330676700633</c:v>
                </c:pt>
                <c:pt idx="568">
                  <c:v>38.772435733654142</c:v>
                </c:pt>
                <c:pt idx="569">
                  <c:v>38.772540789010833</c:v>
                </c:pt>
                <c:pt idx="570">
                  <c:v>38.772645842770686</c:v>
                </c:pt>
                <c:pt idx="571">
                  <c:v>38.772750894933758</c:v>
                </c:pt>
                <c:pt idx="572">
                  <c:v>38.772855945500027</c:v>
                </c:pt>
                <c:pt idx="573">
                  <c:v>38.772960994469543</c:v>
                </c:pt>
                <c:pt idx="574">
                  <c:v>38.773066041842327</c:v>
                </c:pt>
                <c:pt idx="575">
                  <c:v>38.773171087618358</c:v>
                </c:pt>
                <c:pt idx="576">
                  <c:v>38.773276131797701</c:v>
                </c:pt>
                <c:pt idx="577">
                  <c:v>38.773381174380333</c:v>
                </c:pt>
                <c:pt idx="578">
                  <c:v>38.77348621536629</c:v>
                </c:pt>
                <c:pt idx="579">
                  <c:v>38.773591254755587</c:v>
                </c:pt>
                <c:pt idx="580">
                  <c:v>38.773696292548259</c:v>
                </c:pt>
                <c:pt idx="581">
                  <c:v>38.773801328744298</c:v>
                </c:pt>
                <c:pt idx="582">
                  <c:v>38.77390636334372</c:v>
                </c:pt>
                <c:pt idx="583">
                  <c:v>38.774011396346573</c:v>
                </c:pt>
                <c:pt idx="584">
                  <c:v>38.77411642775283</c:v>
                </c:pt>
                <c:pt idx="585">
                  <c:v>38.774221457562554</c:v>
                </c:pt>
                <c:pt idx="586">
                  <c:v>38.774326485775724</c:v>
                </c:pt>
                <c:pt idx="587">
                  <c:v>38.774431512392383</c:v>
                </c:pt>
                <c:pt idx="588">
                  <c:v>38.774536537412523</c:v>
                </c:pt>
                <c:pt idx="589">
                  <c:v>38.774641560836223</c:v>
                </c:pt>
                <c:pt idx="590">
                  <c:v>38.774746582663425</c:v>
                </c:pt>
                <c:pt idx="591">
                  <c:v>38.774851602894174</c:v>
                </c:pt>
                <c:pt idx="592">
                  <c:v>38.77495662152851</c:v>
                </c:pt>
                <c:pt idx="593">
                  <c:v>38.775061638566399</c:v>
                </c:pt>
                <c:pt idx="594">
                  <c:v>38.775166654007911</c:v>
                </c:pt>
                <c:pt idx="595">
                  <c:v>38.775271667853069</c:v>
                </c:pt>
                <c:pt idx="596">
                  <c:v>38.775376680101843</c:v>
                </c:pt>
                <c:pt idx="597">
                  <c:v>38.775481690754262</c:v>
                </c:pt>
                <c:pt idx="598">
                  <c:v>38.775586699810368</c:v>
                </c:pt>
                <c:pt idx="599">
                  <c:v>38.775691707270148</c:v>
                </c:pt>
                <c:pt idx="600">
                  <c:v>38.775796713133644</c:v>
                </c:pt>
                <c:pt idx="601">
                  <c:v>38.77590171740087</c:v>
                </c:pt>
                <c:pt idx="602">
                  <c:v>38.776006720071855</c:v>
                </c:pt>
                <c:pt idx="603">
                  <c:v>38.776111721146599</c:v>
                </c:pt>
                <c:pt idx="604">
                  <c:v>38.776216720625087</c:v>
                </c:pt>
                <c:pt idx="605">
                  <c:v>38.776321718507369</c:v>
                </c:pt>
                <c:pt idx="606">
                  <c:v>38.776426714793487</c:v>
                </c:pt>
                <c:pt idx="607">
                  <c:v>38.776531709483436</c:v>
                </c:pt>
                <c:pt idx="608">
                  <c:v>38.776636702577235</c:v>
                </c:pt>
                <c:pt idx="609">
                  <c:v>38.776741694074886</c:v>
                </c:pt>
                <c:pt idx="610">
                  <c:v>38.776846683976416</c:v>
                </c:pt>
                <c:pt idx="611">
                  <c:v>38.776951672281889</c:v>
                </c:pt>
                <c:pt idx="612">
                  <c:v>38.777056658991235</c:v>
                </c:pt>
                <c:pt idx="613">
                  <c:v>38.777161644104517</c:v>
                </c:pt>
                <c:pt idx="614">
                  <c:v>38.777266627621756</c:v>
                </c:pt>
                <c:pt idx="615">
                  <c:v>38.777371609542975</c:v>
                </c:pt>
                <c:pt idx="616">
                  <c:v>38.777476589868179</c:v>
                </c:pt>
                <c:pt idx="617">
                  <c:v>38.777581568597384</c:v>
                </c:pt>
                <c:pt idx="618">
                  <c:v>38.777686545730631</c:v>
                </c:pt>
                <c:pt idx="619">
                  <c:v>38.777791521267872</c:v>
                </c:pt>
                <c:pt idx="620">
                  <c:v>38.777896495209212</c:v>
                </c:pt>
                <c:pt idx="621">
                  <c:v>38.778001467554617</c:v>
                </c:pt>
                <c:pt idx="622">
                  <c:v>38.7781064383041</c:v>
                </c:pt>
                <c:pt idx="623">
                  <c:v>38.778211407457711</c:v>
                </c:pt>
                <c:pt idx="624">
                  <c:v>38.778316375015436</c:v>
                </c:pt>
                <c:pt idx="625">
                  <c:v>38.778421340977317</c:v>
                </c:pt>
                <c:pt idx="626">
                  <c:v>38.778526305343362</c:v>
                </c:pt>
                <c:pt idx="627">
                  <c:v>38.778631268113578</c:v>
                </c:pt>
                <c:pt idx="628">
                  <c:v>38.778736229287972</c:v>
                </c:pt>
                <c:pt idx="629">
                  <c:v>38.778841188866608</c:v>
                </c:pt>
                <c:pt idx="630">
                  <c:v>38.778946146849478</c:v>
                </c:pt>
                <c:pt idx="631">
                  <c:v>38.779051103236604</c:v>
                </c:pt>
                <c:pt idx="632">
                  <c:v>38.779156058027993</c:v>
                </c:pt>
                <c:pt idx="633">
                  <c:v>38.779261011223639</c:v>
                </c:pt>
                <c:pt idx="634">
                  <c:v>38.779365962823604</c:v>
                </c:pt>
                <c:pt idx="635">
                  <c:v>38.779470912827897</c:v>
                </c:pt>
                <c:pt idx="636">
                  <c:v>38.779575861236516</c:v>
                </c:pt>
                <c:pt idx="637">
                  <c:v>38.779680808049484</c:v>
                </c:pt>
                <c:pt idx="638">
                  <c:v>38.779785753266843</c:v>
                </c:pt>
                <c:pt idx="639">
                  <c:v>38.779890696888579</c:v>
                </c:pt>
                <c:pt idx="640">
                  <c:v>38.779995638914727</c:v>
                </c:pt>
                <c:pt idx="641">
                  <c:v>38.780100579345294</c:v>
                </c:pt>
                <c:pt idx="642">
                  <c:v>38.780205518180331</c:v>
                </c:pt>
                <c:pt idx="643">
                  <c:v>38.780310455419773</c:v>
                </c:pt>
                <c:pt idx="644">
                  <c:v>38.780415391063748</c:v>
                </c:pt>
                <c:pt idx="645">
                  <c:v>38.780520325112164</c:v>
                </c:pt>
                <c:pt idx="646">
                  <c:v>38.780625257565141</c:v>
                </c:pt>
                <c:pt idx="647">
                  <c:v>38.780730188422631</c:v>
                </c:pt>
                <c:pt idx="648">
                  <c:v>38.780835117684646</c:v>
                </c:pt>
                <c:pt idx="649">
                  <c:v>38.780940045351244</c:v>
                </c:pt>
                <c:pt idx="650">
                  <c:v>38.781044971422432</c:v>
                </c:pt>
                <c:pt idx="651">
                  <c:v>38.781149895898203</c:v>
                </c:pt>
                <c:pt idx="652">
                  <c:v>38.781254818778592</c:v>
                </c:pt>
                <c:pt idx="653">
                  <c:v>38.781359740063614</c:v>
                </c:pt>
                <c:pt idx="654">
                  <c:v>38.781464659753297</c:v>
                </c:pt>
                <c:pt idx="655">
                  <c:v>38.781569577847648</c:v>
                </c:pt>
                <c:pt idx="656">
                  <c:v>38.781674494346696</c:v>
                </c:pt>
                <c:pt idx="657">
                  <c:v>38.781779409250447</c:v>
                </c:pt>
                <c:pt idx="658">
                  <c:v>38.781884322558902</c:v>
                </c:pt>
                <c:pt idx="659">
                  <c:v>38.781989234272096</c:v>
                </c:pt>
                <c:pt idx="660">
                  <c:v>38.782094144390051</c:v>
                </c:pt>
                <c:pt idx="661">
                  <c:v>38.782199052912787</c:v>
                </c:pt>
                <c:pt idx="662">
                  <c:v>38.782303959840291</c:v>
                </c:pt>
                <c:pt idx="663">
                  <c:v>38.782408865172641</c:v>
                </c:pt>
                <c:pt idx="664">
                  <c:v>38.782513768909794</c:v>
                </c:pt>
                <c:pt idx="665">
                  <c:v>38.782618671051772</c:v>
                </c:pt>
                <c:pt idx="666">
                  <c:v>38.782723571598659</c:v>
                </c:pt>
                <c:pt idx="667">
                  <c:v>38.782828470550392</c:v>
                </c:pt>
                <c:pt idx="668">
                  <c:v>38.782933367907034</c:v>
                </c:pt>
                <c:pt idx="669">
                  <c:v>38.783038263668587</c:v>
                </c:pt>
                <c:pt idx="670">
                  <c:v>38.783143157835077</c:v>
                </c:pt>
                <c:pt idx="671">
                  <c:v>38.78324805040652</c:v>
                </c:pt>
                <c:pt idx="672">
                  <c:v>38.783352941382923</c:v>
                </c:pt>
                <c:pt idx="673">
                  <c:v>38.783457830764299</c:v>
                </c:pt>
                <c:pt idx="674">
                  <c:v>38.783562718550677</c:v>
                </c:pt>
                <c:pt idx="675">
                  <c:v>38.783667604742078</c:v>
                </c:pt>
                <c:pt idx="676">
                  <c:v>38.783772489338496</c:v>
                </c:pt>
                <c:pt idx="677">
                  <c:v>38.783877372339987</c:v>
                </c:pt>
                <c:pt idx="678">
                  <c:v>38.783982253746558</c:v>
                </c:pt>
                <c:pt idx="679">
                  <c:v>38.784087133558195</c:v>
                </c:pt>
                <c:pt idx="680">
                  <c:v>38.784192011774955</c:v>
                </c:pt>
                <c:pt idx="681">
                  <c:v>38.784296888396831</c:v>
                </c:pt>
                <c:pt idx="682">
                  <c:v>38.784401763423858</c:v>
                </c:pt>
                <c:pt idx="683">
                  <c:v>38.784506636856044</c:v>
                </c:pt>
                <c:pt idx="684">
                  <c:v>38.784611508693395</c:v>
                </c:pt>
                <c:pt idx="685">
                  <c:v>38.78471637893594</c:v>
                </c:pt>
                <c:pt idx="686">
                  <c:v>38.784821247583693</c:v>
                </c:pt>
                <c:pt idx="687">
                  <c:v>38.784926114636683</c:v>
                </c:pt>
                <c:pt idx="688">
                  <c:v>38.785030980094909</c:v>
                </c:pt>
                <c:pt idx="689">
                  <c:v>38.785135843958415</c:v>
                </c:pt>
                <c:pt idx="690">
                  <c:v>38.785240706227199</c:v>
                </c:pt>
                <c:pt idx="691">
                  <c:v>38.785345566901263</c:v>
                </c:pt>
                <c:pt idx="692">
                  <c:v>38.78545042598067</c:v>
                </c:pt>
                <c:pt idx="693">
                  <c:v>38.785555283465385</c:v>
                </c:pt>
                <c:pt idx="694">
                  <c:v>38.785660139355443</c:v>
                </c:pt>
                <c:pt idx="695">
                  <c:v>38.785764993650908</c:v>
                </c:pt>
                <c:pt idx="696">
                  <c:v>38.785869846351709</c:v>
                </c:pt>
                <c:pt idx="697">
                  <c:v>38.785974697457959</c:v>
                </c:pt>
                <c:pt idx="698">
                  <c:v>38.786079546969603</c:v>
                </c:pt>
                <c:pt idx="699">
                  <c:v>38.786184394886689</c:v>
                </c:pt>
                <c:pt idx="700">
                  <c:v>38.786289241209253</c:v>
                </c:pt>
                <c:pt idx="701">
                  <c:v>38.786394085937275</c:v>
                </c:pt>
                <c:pt idx="702">
                  <c:v>38.786498929070781</c:v>
                </c:pt>
                <c:pt idx="703">
                  <c:v>38.786603770609794</c:v>
                </c:pt>
                <c:pt idx="704">
                  <c:v>38.786708610554342</c:v>
                </c:pt>
                <c:pt idx="705">
                  <c:v>38.786813448904439</c:v>
                </c:pt>
                <c:pt idx="706">
                  <c:v>38.786918285660079</c:v>
                </c:pt>
                <c:pt idx="707">
                  <c:v>38.787023120821317</c:v>
                </c:pt>
                <c:pt idx="708">
                  <c:v>38.78712795438814</c:v>
                </c:pt>
                <c:pt idx="709">
                  <c:v>38.787232786360562</c:v>
                </c:pt>
                <c:pt idx="710">
                  <c:v>38.787337616738611</c:v>
                </c:pt>
                <c:pt idx="711">
                  <c:v>38.787442445522345</c:v>
                </c:pt>
                <c:pt idx="712">
                  <c:v>38.78754727271172</c:v>
                </c:pt>
                <c:pt idx="713">
                  <c:v>38.787652098306772</c:v>
                </c:pt>
                <c:pt idx="714">
                  <c:v>38.78775692230753</c:v>
                </c:pt>
                <c:pt idx="715">
                  <c:v>38.787861744714021</c:v>
                </c:pt>
                <c:pt idx="716">
                  <c:v>38.787966565526226</c:v>
                </c:pt>
                <c:pt idx="717">
                  <c:v>38.788071384744178</c:v>
                </c:pt>
                <c:pt idx="718">
                  <c:v>38.788176202367914</c:v>
                </c:pt>
                <c:pt idx="719">
                  <c:v>38.788281018397448</c:v>
                </c:pt>
                <c:pt idx="720">
                  <c:v>38.78838583283278</c:v>
                </c:pt>
                <c:pt idx="721">
                  <c:v>38.788490645673932</c:v>
                </c:pt>
                <c:pt idx="722">
                  <c:v>38.788595456920916</c:v>
                </c:pt>
                <c:pt idx="723">
                  <c:v>38.788700266573777</c:v>
                </c:pt>
                <c:pt idx="724">
                  <c:v>38.788805074632492</c:v>
                </c:pt>
                <c:pt idx="725">
                  <c:v>38.788909881097112</c:v>
                </c:pt>
                <c:pt idx="726">
                  <c:v>38.789014685967636</c:v>
                </c:pt>
                <c:pt idx="727">
                  <c:v>38.789119489244101</c:v>
                </c:pt>
                <c:pt idx="728">
                  <c:v>38.789224290926484</c:v>
                </c:pt>
                <c:pt idx="729">
                  <c:v>38.789329091014842</c:v>
                </c:pt>
                <c:pt idx="730">
                  <c:v>38.789433889509183</c:v>
                </c:pt>
                <c:pt idx="731">
                  <c:v>38.789538686409514</c:v>
                </c:pt>
                <c:pt idx="732">
                  <c:v>38.789643481715878</c:v>
                </c:pt>
                <c:pt idx="733">
                  <c:v>38.789748275428245</c:v>
                </c:pt>
                <c:pt idx="734">
                  <c:v>38.789853067546687</c:v>
                </c:pt>
                <c:pt idx="735">
                  <c:v>38.789957858071205</c:v>
                </c:pt>
                <c:pt idx="736">
                  <c:v>38.79006264700179</c:v>
                </c:pt>
                <c:pt idx="737">
                  <c:v>38.790167434338485</c:v>
                </c:pt>
                <c:pt idx="738">
                  <c:v>38.790272220081306</c:v>
                </c:pt>
                <c:pt idx="739">
                  <c:v>38.790377004230223</c:v>
                </c:pt>
                <c:pt idx="740">
                  <c:v>38.790481786785342</c:v>
                </c:pt>
                <c:pt idx="741">
                  <c:v>38.790586567746615</c:v>
                </c:pt>
                <c:pt idx="742">
                  <c:v>38.790691347114077</c:v>
                </c:pt>
                <c:pt idx="743">
                  <c:v>38.790796124887734</c:v>
                </c:pt>
                <c:pt idx="744">
                  <c:v>38.790900901067644</c:v>
                </c:pt>
                <c:pt idx="745">
                  <c:v>38.791005675653764</c:v>
                </c:pt>
                <c:pt idx="746">
                  <c:v>38.791110448646158</c:v>
                </c:pt>
                <c:pt idx="747">
                  <c:v>38.79121522004484</c:v>
                </c:pt>
                <c:pt idx="748">
                  <c:v>38.791319989849818</c:v>
                </c:pt>
                <c:pt idx="749">
                  <c:v>38.79142475806109</c:v>
                </c:pt>
                <c:pt idx="750">
                  <c:v>38.791529524678715</c:v>
                </c:pt>
                <c:pt idx="751">
                  <c:v>38.791634289702657</c:v>
                </c:pt>
                <c:pt idx="752">
                  <c:v>38.791739053132972</c:v>
                </c:pt>
                <c:pt idx="753">
                  <c:v>38.791843814969681</c:v>
                </c:pt>
                <c:pt idx="754">
                  <c:v>38.791948575212771</c:v>
                </c:pt>
                <c:pt idx="755">
                  <c:v>38.792053333862299</c:v>
                </c:pt>
                <c:pt idx="756">
                  <c:v>38.792158090918242</c:v>
                </c:pt>
                <c:pt idx="757">
                  <c:v>38.792262846380652</c:v>
                </c:pt>
                <c:pt idx="758">
                  <c:v>38.792367600249506</c:v>
                </c:pt>
                <c:pt idx="759">
                  <c:v>38.792472352524904</c:v>
                </c:pt>
                <c:pt idx="760">
                  <c:v>38.792577103206753</c:v>
                </c:pt>
                <c:pt idx="761">
                  <c:v>38.792681852295146</c:v>
                </c:pt>
                <c:pt idx="762">
                  <c:v>38.79278659979007</c:v>
                </c:pt>
                <c:pt idx="763">
                  <c:v>38.79289134569153</c:v>
                </c:pt>
                <c:pt idx="764">
                  <c:v>38.792996089999598</c:v>
                </c:pt>
                <c:pt idx="765">
                  <c:v>38.793100832714238</c:v>
                </c:pt>
                <c:pt idx="766">
                  <c:v>38.793205573835486</c:v>
                </c:pt>
                <c:pt idx="767">
                  <c:v>38.793310313363385</c:v>
                </c:pt>
                <c:pt idx="768">
                  <c:v>38.793415051297913</c:v>
                </c:pt>
                <c:pt idx="769">
                  <c:v>38.793519787639077</c:v>
                </c:pt>
                <c:pt idx="770">
                  <c:v>38.793624522386949</c:v>
                </c:pt>
                <c:pt idx="771">
                  <c:v>38.7937292555415</c:v>
                </c:pt>
                <c:pt idx="772">
                  <c:v>38.793833987102794</c:v>
                </c:pt>
                <c:pt idx="773">
                  <c:v>38.793938717070795</c:v>
                </c:pt>
                <c:pt idx="774">
                  <c:v>38.794043445445553</c:v>
                </c:pt>
                <c:pt idx="775">
                  <c:v>38.794148172227082</c:v>
                </c:pt>
                <c:pt idx="776">
                  <c:v>38.794252897415397</c:v>
                </c:pt>
                <c:pt idx="777">
                  <c:v>38.794357621010526</c:v>
                </c:pt>
                <c:pt idx="778">
                  <c:v>38.794462343012434</c:v>
                </c:pt>
                <c:pt idx="779">
                  <c:v>38.794567063421191</c:v>
                </c:pt>
                <c:pt idx="780">
                  <c:v>38.794671782236811</c:v>
                </c:pt>
                <c:pt idx="781">
                  <c:v>38.794776499459324</c:v>
                </c:pt>
                <c:pt idx="782">
                  <c:v>38.794881215088694</c:v>
                </c:pt>
                <c:pt idx="783">
                  <c:v>38.794985929124962</c:v>
                </c:pt>
                <c:pt idx="784">
                  <c:v>38.795090641568173</c:v>
                </c:pt>
                <c:pt idx="785">
                  <c:v>38.795195352418325</c:v>
                </c:pt>
                <c:pt idx="786">
                  <c:v>38.795300061675427</c:v>
                </c:pt>
                <c:pt idx="787">
                  <c:v>38.79540476933952</c:v>
                </c:pt>
                <c:pt idx="788">
                  <c:v>38.795509475410583</c:v>
                </c:pt>
                <c:pt idx="789">
                  <c:v>38.795614179888666</c:v>
                </c:pt>
                <c:pt idx="790">
                  <c:v>38.795718882773777</c:v>
                </c:pt>
                <c:pt idx="791">
                  <c:v>38.795823584065936</c:v>
                </c:pt>
                <c:pt idx="792">
                  <c:v>38.795928283765164</c:v>
                </c:pt>
                <c:pt idx="793">
                  <c:v>38.79603298187147</c:v>
                </c:pt>
                <c:pt idx="794">
                  <c:v>38.796137678384881</c:v>
                </c:pt>
                <c:pt idx="795">
                  <c:v>38.796242373305404</c:v>
                </c:pt>
                <c:pt idx="796">
                  <c:v>38.796347066633054</c:v>
                </c:pt>
                <c:pt idx="797">
                  <c:v>38.796451758367859</c:v>
                </c:pt>
                <c:pt idx="798">
                  <c:v>38.796556448509826</c:v>
                </c:pt>
                <c:pt idx="799">
                  <c:v>38.796661137058969</c:v>
                </c:pt>
                <c:pt idx="800">
                  <c:v>38.796765824015338</c:v>
                </c:pt>
                <c:pt idx="801">
                  <c:v>38.796870509378913</c:v>
                </c:pt>
                <c:pt idx="802">
                  <c:v>38.796975193149734</c:v>
                </c:pt>
                <c:pt idx="803">
                  <c:v>38.797079875327825</c:v>
                </c:pt>
                <c:pt idx="804">
                  <c:v>38.797184555913184</c:v>
                </c:pt>
                <c:pt idx="805">
                  <c:v>38.797289234905818</c:v>
                </c:pt>
                <c:pt idx="806">
                  <c:v>38.797393912305751</c:v>
                </c:pt>
                <c:pt idx="807">
                  <c:v>38.797498588113022</c:v>
                </c:pt>
                <c:pt idx="808">
                  <c:v>38.797603262327641</c:v>
                </c:pt>
                <c:pt idx="809">
                  <c:v>38.797707934949614</c:v>
                </c:pt>
                <c:pt idx="810">
                  <c:v>38.797812605978969</c:v>
                </c:pt>
                <c:pt idx="811">
                  <c:v>38.797917275415706</c:v>
                </c:pt>
                <c:pt idx="812">
                  <c:v>38.798021943259897</c:v>
                </c:pt>
                <c:pt idx="813">
                  <c:v>38.798126609511471</c:v>
                </c:pt>
                <c:pt idx="814">
                  <c:v>38.798231274170519</c:v>
                </c:pt>
                <c:pt idx="815">
                  <c:v>38.798335937237027</c:v>
                </c:pt>
                <c:pt idx="816">
                  <c:v>38.798440598711032</c:v>
                </c:pt>
                <c:pt idx="817">
                  <c:v>38.798545258592519</c:v>
                </c:pt>
                <c:pt idx="818">
                  <c:v>38.798649916881537</c:v>
                </c:pt>
                <c:pt idx="819">
                  <c:v>38.79875457357808</c:v>
                </c:pt>
                <c:pt idx="820">
                  <c:v>38.798859228682176</c:v>
                </c:pt>
                <c:pt idx="821">
                  <c:v>38.798963882193824</c:v>
                </c:pt>
                <c:pt idx="822">
                  <c:v>38.799068534113104</c:v>
                </c:pt>
                <c:pt idx="823">
                  <c:v>38.799173184439958</c:v>
                </c:pt>
                <c:pt idx="824">
                  <c:v>38.799277833174436</c:v>
                </c:pt>
                <c:pt idx="825">
                  <c:v>38.799382480316567</c:v>
                </c:pt>
                <c:pt idx="826">
                  <c:v>38.799487125866349</c:v>
                </c:pt>
                <c:pt idx="827">
                  <c:v>38.799591769823806</c:v>
                </c:pt>
                <c:pt idx="828">
                  <c:v>38.79969641218895</c:v>
                </c:pt>
                <c:pt idx="829">
                  <c:v>38.799801052961826</c:v>
                </c:pt>
                <c:pt idx="830">
                  <c:v>38.799905692142396</c:v>
                </c:pt>
                <c:pt idx="831">
                  <c:v>38.800010329730718</c:v>
                </c:pt>
                <c:pt idx="832">
                  <c:v>38.800114965726813</c:v>
                </c:pt>
                <c:pt idx="833">
                  <c:v>38.800219600130696</c:v>
                </c:pt>
                <c:pt idx="834">
                  <c:v>38.80032423294238</c:v>
                </c:pt>
                <c:pt idx="835">
                  <c:v>38.800428864161866</c:v>
                </c:pt>
                <c:pt idx="836">
                  <c:v>38.800533493789189</c:v>
                </c:pt>
                <c:pt idx="837">
                  <c:v>38.800638121824342</c:v>
                </c:pt>
                <c:pt idx="838">
                  <c:v>38.800742748267389</c:v>
                </c:pt>
                <c:pt idx="839">
                  <c:v>38.800847373118295</c:v>
                </c:pt>
                <c:pt idx="840">
                  <c:v>38.80095199637713</c:v>
                </c:pt>
                <c:pt idx="841">
                  <c:v>38.80105661804388</c:v>
                </c:pt>
                <c:pt idx="842">
                  <c:v>38.801161238118546</c:v>
                </c:pt>
                <c:pt idx="843">
                  <c:v>38.801265856601177</c:v>
                </c:pt>
                <c:pt idx="844">
                  <c:v>38.801370473491779</c:v>
                </c:pt>
                <c:pt idx="845">
                  <c:v>38.80147508879039</c:v>
                </c:pt>
                <c:pt idx="846">
                  <c:v>38.801579702496994</c:v>
                </c:pt>
                <c:pt idx="847">
                  <c:v>38.801684314611641</c:v>
                </c:pt>
                <c:pt idx="848">
                  <c:v>38.801788925134318</c:v>
                </c:pt>
                <c:pt idx="849">
                  <c:v>38.801893534065044</c:v>
                </c:pt>
                <c:pt idx="850">
                  <c:v>38.801998141403843</c:v>
                </c:pt>
                <c:pt idx="851">
                  <c:v>38.802102747150755</c:v>
                </c:pt>
                <c:pt idx="852">
                  <c:v>38.802207351305775</c:v>
                </c:pt>
                <c:pt idx="853">
                  <c:v>38.802311953868937</c:v>
                </c:pt>
                <c:pt idx="854">
                  <c:v>38.802416554840214</c:v>
                </c:pt>
                <c:pt idx="855">
                  <c:v>38.802521154219676</c:v>
                </c:pt>
                <c:pt idx="856">
                  <c:v>38.802625752007323</c:v>
                </c:pt>
                <c:pt idx="857">
                  <c:v>38.802730348203141</c:v>
                </c:pt>
                <c:pt idx="858">
                  <c:v>38.802834942807188</c:v>
                </c:pt>
                <c:pt idx="859">
                  <c:v>38.802939535819483</c:v>
                </c:pt>
                <c:pt idx="860">
                  <c:v>38.803044127240028</c:v>
                </c:pt>
                <c:pt idx="861">
                  <c:v>38.803148717068844</c:v>
                </c:pt>
                <c:pt idx="862">
                  <c:v>38.803253305305944</c:v>
                </c:pt>
                <c:pt idx="863">
                  <c:v>38.803357891951357</c:v>
                </c:pt>
                <c:pt idx="864">
                  <c:v>38.803462477005063</c:v>
                </c:pt>
                <c:pt idx="865">
                  <c:v>38.803567060467138</c:v>
                </c:pt>
                <c:pt idx="866">
                  <c:v>38.803671642337569</c:v>
                </c:pt>
                <c:pt idx="867">
                  <c:v>38.803776222616357</c:v>
                </c:pt>
                <c:pt idx="868">
                  <c:v>38.803880801303549</c:v>
                </c:pt>
                <c:pt idx="869">
                  <c:v>38.80398537839914</c:v>
                </c:pt>
                <c:pt idx="870">
                  <c:v>38.804089953903166</c:v>
                </c:pt>
                <c:pt idx="871">
                  <c:v>38.804194527815646</c:v>
                </c:pt>
                <c:pt idx="872">
                  <c:v>38.804299100136568</c:v>
                </c:pt>
                <c:pt idx="873">
                  <c:v>38.80440367086598</c:v>
                </c:pt>
                <c:pt idx="874">
                  <c:v>38.804508240003884</c:v>
                </c:pt>
                <c:pt idx="875">
                  <c:v>38.804612807550292</c:v>
                </c:pt>
                <c:pt idx="876">
                  <c:v>38.804717373505255</c:v>
                </c:pt>
                <c:pt idx="877">
                  <c:v>38.804821937868752</c:v>
                </c:pt>
                <c:pt idx="878">
                  <c:v>38.804926500640825</c:v>
                </c:pt>
                <c:pt idx="879">
                  <c:v>38.805031061821467</c:v>
                </c:pt>
                <c:pt idx="880">
                  <c:v>38.805135621410713</c:v>
                </c:pt>
                <c:pt idx="881">
                  <c:v>38.805240179408578</c:v>
                </c:pt>
                <c:pt idx="882">
                  <c:v>38.80534473581509</c:v>
                </c:pt>
                <c:pt idx="883">
                  <c:v>38.80544929063025</c:v>
                </c:pt>
                <c:pt idx="884">
                  <c:v>38.805553843854078</c:v>
                </c:pt>
                <c:pt idx="885">
                  <c:v>38.805658395486596</c:v>
                </c:pt>
                <c:pt idx="886">
                  <c:v>38.805762945527832</c:v>
                </c:pt>
                <c:pt idx="887">
                  <c:v>38.805867493977772</c:v>
                </c:pt>
                <c:pt idx="888">
                  <c:v>38.805972040836473</c:v>
                </c:pt>
                <c:pt idx="889">
                  <c:v>38.806076586103927</c:v>
                </c:pt>
                <c:pt idx="890">
                  <c:v>38.80618112978015</c:v>
                </c:pt>
                <c:pt idx="891">
                  <c:v>38.806285671865162</c:v>
                </c:pt>
                <c:pt idx="892">
                  <c:v>38.806390212359027</c:v>
                </c:pt>
                <c:pt idx="893">
                  <c:v>38.806494751261667</c:v>
                </c:pt>
                <c:pt idx="894">
                  <c:v>38.806599288573189</c:v>
                </c:pt>
                <c:pt idx="895">
                  <c:v>38.806703824293542</c:v>
                </c:pt>
                <c:pt idx="896">
                  <c:v>38.806808358422806</c:v>
                </c:pt>
                <c:pt idx="897">
                  <c:v>38.806912890960959</c:v>
                </c:pt>
                <c:pt idx="898">
                  <c:v>38.807017421908036</c:v>
                </c:pt>
                <c:pt idx="899">
                  <c:v>38.80712195126403</c:v>
                </c:pt>
                <c:pt idx="900">
                  <c:v>38.807226479028991</c:v>
                </c:pt>
                <c:pt idx="901">
                  <c:v>38.807331005202904</c:v>
                </c:pt>
                <c:pt idx="902">
                  <c:v>38.807435529785813</c:v>
                </c:pt>
                <c:pt idx="903">
                  <c:v>38.807540052777718</c:v>
                </c:pt>
                <c:pt idx="904">
                  <c:v>38.80764457417866</c:v>
                </c:pt>
                <c:pt idx="905">
                  <c:v>38.807749093988612</c:v>
                </c:pt>
                <c:pt idx="906">
                  <c:v>38.80785361220763</c:v>
                </c:pt>
                <c:pt idx="907">
                  <c:v>38.807958128835736</c:v>
                </c:pt>
                <c:pt idx="908">
                  <c:v>38.808062643872937</c:v>
                </c:pt>
                <c:pt idx="909">
                  <c:v>38.808167157319225</c:v>
                </c:pt>
                <c:pt idx="910">
                  <c:v>38.808271669174665</c:v>
                </c:pt>
                <c:pt idx="911">
                  <c:v>38.808376179439222</c:v>
                </c:pt>
                <c:pt idx="912">
                  <c:v>38.808480688112937</c:v>
                </c:pt>
                <c:pt idx="913">
                  <c:v>38.808585195195846</c:v>
                </c:pt>
                <c:pt idx="914">
                  <c:v>38.80868970068795</c:v>
                </c:pt>
                <c:pt idx="915">
                  <c:v>38.808794204589262</c:v>
                </c:pt>
                <c:pt idx="916">
                  <c:v>38.808898706899804</c:v>
                </c:pt>
                <c:pt idx="917">
                  <c:v>38.809003207619604</c:v>
                </c:pt>
                <c:pt idx="918">
                  <c:v>38.809107706748669</c:v>
                </c:pt>
                <c:pt idx="919">
                  <c:v>38.809212204287</c:v>
                </c:pt>
                <c:pt idx="920">
                  <c:v>38.809316700234639</c:v>
                </c:pt>
                <c:pt idx="921">
                  <c:v>38.8094211945916</c:v>
                </c:pt>
                <c:pt idx="922">
                  <c:v>38.809525687357898</c:v>
                </c:pt>
                <c:pt idx="923">
                  <c:v>38.809630178533553</c:v>
                </c:pt>
                <c:pt idx="924">
                  <c:v>38.809734668118566</c:v>
                </c:pt>
                <c:pt idx="925">
                  <c:v>38.809839156112986</c:v>
                </c:pt>
                <c:pt idx="926">
                  <c:v>38.809943642516799</c:v>
                </c:pt>
                <c:pt idx="927">
                  <c:v>38.810048127330028</c:v>
                </c:pt>
                <c:pt idx="928">
                  <c:v>38.810152610552713</c:v>
                </c:pt>
                <c:pt idx="929">
                  <c:v>38.810257092184841</c:v>
                </c:pt>
                <c:pt idx="930">
                  <c:v>38.810361572226448</c:v>
                </c:pt>
                <c:pt idx="931">
                  <c:v>38.810466050677555</c:v>
                </c:pt>
                <c:pt idx="932">
                  <c:v>38.810570527538175</c:v>
                </c:pt>
                <c:pt idx="933">
                  <c:v>38.810675002808324</c:v>
                </c:pt>
                <c:pt idx="934">
                  <c:v>38.810779476488015</c:v>
                </c:pt>
                <c:pt idx="935">
                  <c:v>38.810883948577263</c:v>
                </c:pt>
                <c:pt idx="936">
                  <c:v>38.810988419076075</c:v>
                </c:pt>
                <c:pt idx="937">
                  <c:v>38.811092887984508</c:v>
                </c:pt>
                <c:pt idx="938">
                  <c:v>38.811197355302568</c:v>
                </c:pt>
                <c:pt idx="939">
                  <c:v>38.811301821030263</c:v>
                </c:pt>
                <c:pt idx="940">
                  <c:v>38.811406285167578</c:v>
                </c:pt>
                <c:pt idx="941">
                  <c:v>38.811510747714564</c:v>
                </c:pt>
                <c:pt idx="942">
                  <c:v>38.811615208671256</c:v>
                </c:pt>
                <c:pt idx="943">
                  <c:v>38.81171966803764</c:v>
                </c:pt>
                <c:pt idx="944">
                  <c:v>38.81182412581375</c:v>
                </c:pt>
                <c:pt idx="945">
                  <c:v>38.811928581999595</c:v>
                </c:pt>
                <c:pt idx="946">
                  <c:v>38.812033036595182</c:v>
                </c:pt>
                <c:pt idx="947">
                  <c:v>38.812137489600552</c:v>
                </c:pt>
                <c:pt idx="948">
                  <c:v>38.812241941015706</c:v>
                </c:pt>
                <c:pt idx="949">
                  <c:v>38.812346390840659</c:v>
                </c:pt>
                <c:pt idx="950">
                  <c:v>38.812450839075467</c:v>
                </c:pt>
                <c:pt idx="951">
                  <c:v>38.81255528572008</c:v>
                </c:pt>
                <c:pt idx="952">
                  <c:v>38.812659730774584</c:v>
                </c:pt>
                <c:pt idx="953">
                  <c:v>38.812764174238957</c:v>
                </c:pt>
                <c:pt idx="954">
                  <c:v>38.812868616113235</c:v>
                </c:pt>
                <c:pt idx="955">
                  <c:v>38.812973056397418</c:v>
                </c:pt>
                <c:pt idx="956">
                  <c:v>38.813077495091513</c:v>
                </c:pt>
                <c:pt idx="957">
                  <c:v>38.813181932195576</c:v>
                </c:pt>
                <c:pt idx="958">
                  <c:v>38.813286367709594</c:v>
                </c:pt>
                <c:pt idx="959">
                  <c:v>38.813390801633602</c:v>
                </c:pt>
                <c:pt idx="960">
                  <c:v>38.813495233967608</c:v>
                </c:pt>
                <c:pt idx="961">
                  <c:v>38.813599664711631</c:v>
                </c:pt>
                <c:pt idx="962">
                  <c:v>38.813704093865681</c:v>
                </c:pt>
                <c:pt idx="963">
                  <c:v>38.813808521429799</c:v>
                </c:pt>
                <c:pt idx="964">
                  <c:v>38.813912947403971</c:v>
                </c:pt>
                <c:pt idx="965">
                  <c:v>38.814017371788246</c:v>
                </c:pt>
                <c:pt idx="966">
                  <c:v>38.814121794582611</c:v>
                </c:pt>
                <c:pt idx="967">
                  <c:v>38.814226215787102</c:v>
                </c:pt>
                <c:pt idx="968">
                  <c:v>38.814330635401738</c:v>
                </c:pt>
                <c:pt idx="969">
                  <c:v>38.814435053426521</c:v>
                </c:pt>
                <c:pt idx="970">
                  <c:v>38.814539469861479</c:v>
                </c:pt>
                <c:pt idx="971">
                  <c:v>38.814643884706634</c:v>
                </c:pt>
                <c:pt idx="972">
                  <c:v>38.814748297962005</c:v>
                </c:pt>
                <c:pt idx="973">
                  <c:v>38.814852709627601</c:v>
                </c:pt>
                <c:pt idx="974">
                  <c:v>38.814957119703429</c:v>
                </c:pt>
                <c:pt idx="975">
                  <c:v>38.815061528189538</c:v>
                </c:pt>
                <c:pt idx="976">
                  <c:v>38.815165935085922</c:v>
                </c:pt>
                <c:pt idx="977">
                  <c:v>38.815270340392587</c:v>
                </c:pt>
                <c:pt idx="978">
                  <c:v>38.815374744109576</c:v>
                </c:pt>
                <c:pt idx="979">
                  <c:v>38.815479146236889</c:v>
                </c:pt>
                <c:pt idx="980">
                  <c:v>38.815583546774562</c:v>
                </c:pt>
                <c:pt idx="981">
                  <c:v>38.815687945722608</c:v>
                </c:pt>
                <c:pt idx="982">
                  <c:v>38.815792343081029</c:v>
                </c:pt>
                <c:pt idx="983">
                  <c:v>38.815896738849858</c:v>
                </c:pt>
                <c:pt idx="984">
                  <c:v>38.81600113302909</c:v>
                </c:pt>
                <c:pt idx="985">
                  <c:v>38.816105525618767</c:v>
                </c:pt>
                <c:pt idx="986">
                  <c:v>38.816209916618888</c:v>
                </c:pt>
                <c:pt idx="987">
                  <c:v>38.816314306029497</c:v>
                </c:pt>
                <c:pt idx="988">
                  <c:v>38.816418693850586</c:v>
                </c:pt>
                <c:pt idx="989">
                  <c:v>38.816523080082185</c:v>
                </c:pt>
                <c:pt idx="990">
                  <c:v>38.81662746472432</c:v>
                </c:pt>
                <c:pt idx="991">
                  <c:v>38.816731847776971</c:v>
                </c:pt>
                <c:pt idx="992">
                  <c:v>38.816836229240216</c:v>
                </c:pt>
                <c:pt idx="993">
                  <c:v>38.816940609113999</c:v>
                </c:pt>
                <c:pt idx="994">
                  <c:v>38.817044987398411</c:v>
                </c:pt>
                <c:pt idx="995">
                  <c:v>38.81714936409341</c:v>
                </c:pt>
                <c:pt idx="996">
                  <c:v>38.817253739199046</c:v>
                </c:pt>
                <c:pt idx="997">
                  <c:v>38.817358112715333</c:v>
                </c:pt>
                <c:pt idx="998">
                  <c:v>38.817462484642277</c:v>
                </c:pt>
                <c:pt idx="999">
                  <c:v>38.817566854979901</c:v>
                </c:pt>
                <c:pt idx="1000">
                  <c:v>38.817671223728233</c:v>
                </c:pt>
              </c:numCache>
            </c:numRef>
          </c:yVal>
          <c:smooth val="0"/>
          <c:extLst>
            <c:ext xmlns:c16="http://schemas.microsoft.com/office/drawing/2014/chart" uri="{C3380CC4-5D6E-409C-BE32-E72D297353CC}">
              <c16:uniqueId val="{00000002-B98B-46BB-BB51-DAAA2071230C}"/>
            </c:ext>
          </c:extLst>
        </c:ser>
        <c:dLbls>
          <c:showLegendKey val="0"/>
          <c:showVal val="0"/>
          <c:showCatName val="0"/>
          <c:showSerName val="0"/>
          <c:showPercent val="0"/>
          <c:showBubbleSize val="0"/>
        </c:dLbls>
        <c:axId val="149500672"/>
        <c:axId val="149502592"/>
      </c:scatterChart>
      <c:valAx>
        <c:axId val="149500672"/>
        <c:scaling>
          <c:orientation val="minMax"/>
        </c:scaling>
        <c:delete val="0"/>
        <c:axPos val="b"/>
        <c:majorGridlines>
          <c:spPr>
            <a:ln w="3175">
              <a:solidFill>
                <a:srgbClr val="000000"/>
              </a:solidFill>
              <a:prstDash val="sysDash"/>
            </a:ln>
          </c:spPr>
        </c:majorGridlines>
        <c:title>
          <c:tx>
            <c:strRef>
              <c:f>Courbes!$B$146</c:f>
              <c:strCache>
                <c:ptCount val="1"/>
                <c:pt idx="0">
                  <c:v>Temps [s]</c:v>
                </c:pt>
              </c:strCache>
            </c:strRef>
          </c:tx>
          <c:overlay val="0"/>
          <c:txPr>
            <a:bodyPr/>
            <a:lstStyle/>
            <a:p>
              <a:pPr>
                <a:defRPr sz="1000" b="1" i="0" u="none" strike="noStrike" baseline="0">
                  <a:solidFill>
                    <a:srgbClr val="000000"/>
                  </a:solidFill>
                  <a:latin typeface="Arial"/>
                  <a:ea typeface="Arial"/>
                  <a:cs typeface="Arial"/>
                </a:defRPr>
              </a:pPr>
              <a:endParaRPr lang="fr-FR"/>
            </a:p>
          </c:txPr>
        </c:title>
        <c:numFmt formatCode="0" sourceLinked="0"/>
        <c:majorTickMark val="out"/>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Arial"/>
                <a:ea typeface="Arial"/>
                <a:cs typeface="Arial"/>
              </a:defRPr>
            </a:pPr>
            <a:endParaRPr lang="fr-FR"/>
          </a:p>
        </c:txPr>
        <c:crossAx val="149502592"/>
        <c:crosses val="autoZero"/>
        <c:crossBetween val="midCat"/>
      </c:valAx>
      <c:valAx>
        <c:axId val="149502592"/>
        <c:scaling>
          <c:orientation val="minMax"/>
        </c:scaling>
        <c:delete val="0"/>
        <c:axPos val="l"/>
        <c:majorGridlines>
          <c:spPr>
            <a:ln w="3175">
              <a:solidFill>
                <a:srgbClr val="000000"/>
              </a:solidFill>
              <a:prstDash val="sysDash"/>
            </a:ln>
          </c:spPr>
        </c:majorGridlines>
        <c:title>
          <c:tx>
            <c:rich>
              <a:bodyPr/>
              <a:lstStyle/>
              <a:p>
                <a:pPr>
                  <a:defRPr sz="1200" b="1" i="0" u="none" strike="noStrike" baseline="0">
                    <a:solidFill>
                      <a:srgbClr val="000000"/>
                    </a:solidFill>
                    <a:latin typeface="Arial"/>
                    <a:ea typeface="Arial"/>
                    <a:cs typeface="Arial"/>
                  </a:defRPr>
                </a:pPr>
                <a:r>
                  <a:rPr lang="fr-FR"/>
                  <a:t>Forces [N]</a:t>
                </a:r>
              </a:p>
            </c:rich>
          </c:tx>
          <c:layout>
            <c:manualLayout>
              <c:xMode val="edge"/>
              <c:yMode val="edge"/>
              <c:x val="2.0047169811320761E-2"/>
              <c:y val="0.3333343832020999"/>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Arial"/>
                <a:ea typeface="Arial"/>
                <a:cs typeface="Arial"/>
              </a:defRPr>
            </a:pPr>
            <a:endParaRPr lang="fr-FR"/>
          </a:p>
        </c:txPr>
        <c:crossAx val="149500672"/>
        <c:crosses val="autoZero"/>
        <c:crossBetween val="midCat"/>
      </c:valAx>
      <c:spPr>
        <a:noFill/>
        <a:ln w="12700">
          <a:solidFill>
            <a:srgbClr val="808080"/>
          </a:solidFill>
          <a:prstDash val="solid"/>
        </a:ln>
      </c:spPr>
    </c:plotArea>
    <c:legend>
      <c:legendPos val="r"/>
      <c:layout>
        <c:manualLayout>
          <c:xMode val="edge"/>
          <c:yMode val="edge"/>
          <c:x val="0.83018929827167842"/>
          <c:y val="0.34444479440069992"/>
          <c:w val="0.13050326845936713"/>
          <c:h val="0.22888888888888886"/>
        </c:manualLayout>
      </c:layout>
      <c:overlay val="0"/>
      <c:spPr>
        <a:solidFill>
          <a:srgbClr val="FFFFFF"/>
        </a:solidFill>
        <a:ln w="3175">
          <a:solidFill>
            <a:srgbClr val="000000"/>
          </a:solidFill>
          <a:prstDash val="solid"/>
        </a:ln>
      </c:spPr>
      <c:txPr>
        <a:bodyPr/>
        <a:lstStyle/>
        <a:p>
          <a:pPr>
            <a:defRPr sz="970" b="0" i="0" u="none" strike="noStrike" baseline="0">
              <a:solidFill>
                <a:srgbClr val="000000"/>
              </a:solidFill>
              <a:latin typeface="Arial"/>
              <a:ea typeface="Arial"/>
              <a:cs typeface="Arial"/>
            </a:defRPr>
          </a:pPr>
          <a:endParaRPr lang="fr-FR"/>
        </a:p>
      </c:txPr>
    </c:legend>
    <c:plotVisOnly val="0"/>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51180555555555562" footer="0.51180555555555562"/>
    <c:pageSetup firstPageNumber="0"/>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Courbes!$B$140</c:f>
          <c:strCache>
            <c:ptCount val="1"/>
            <c:pt idx="0">
              <c:v>Vitesse</c:v>
            </c:pt>
          </c:strCache>
        </c:strRef>
      </c:tx>
      <c:overlay val="1"/>
      <c:txPr>
        <a:bodyPr/>
        <a:lstStyle/>
        <a:p>
          <a:pPr>
            <a:defRPr sz="1200" b="1" i="0" u="none" strike="noStrike" baseline="0">
              <a:solidFill>
                <a:srgbClr val="000000"/>
              </a:solidFill>
              <a:latin typeface="Arial"/>
              <a:ea typeface="Arial"/>
              <a:cs typeface="Arial"/>
            </a:defRPr>
          </a:pPr>
          <a:endParaRPr lang="fr-FR"/>
        </a:p>
      </c:txPr>
    </c:title>
    <c:autoTitleDeleted val="0"/>
    <c:plotArea>
      <c:layout>
        <c:manualLayout>
          <c:layoutTarget val="inner"/>
          <c:xMode val="edge"/>
          <c:yMode val="edge"/>
          <c:x val="0.10495283018867926"/>
          <c:y val="9.4771544282144501E-2"/>
          <c:w val="0.87617924528302116"/>
          <c:h val="0.74183243282920064"/>
        </c:manualLayout>
      </c:layout>
      <c:scatterChart>
        <c:scatterStyle val="lineMarker"/>
        <c:varyColors val="0"/>
        <c:ser>
          <c:idx val="0"/>
          <c:order val="0"/>
          <c:tx>
            <c:strRef>
              <c:f>Courbes!$B$140</c:f>
              <c:strCache>
                <c:ptCount val="1"/>
                <c:pt idx="0">
                  <c:v>Vitesse</c:v>
                </c:pt>
              </c:strCache>
            </c:strRef>
          </c:tx>
          <c:spPr>
            <a:ln w="25400">
              <a:solidFill>
                <a:srgbClr val="800000"/>
              </a:solidFill>
              <a:prstDash val="solid"/>
            </a:ln>
          </c:spPr>
          <c:marker>
            <c:symbol val="none"/>
          </c:marker>
          <c:xVal>
            <c:numRef>
              <c:f>Calculs!$B$4:$B$1004</c:f>
              <c:numCache>
                <c:formatCode>0.00</c:formatCode>
                <c:ptCount val="1001"/>
                <c:pt idx="0">
                  <c:v>0</c:v>
                </c:pt>
                <c:pt idx="1">
                  <c:v>0.01</c:v>
                </c:pt>
                <c:pt idx="2">
                  <c:v>0.02</c:v>
                </c:pt>
                <c:pt idx="3">
                  <c:v>0.03</c:v>
                </c:pt>
                <c:pt idx="4">
                  <c:v>0.04</c:v>
                </c:pt>
                <c:pt idx="5">
                  <c:v>0.05</c:v>
                </c:pt>
                <c:pt idx="6">
                  <c:v>6.0000000000000005E-2</c:v>
                </c:pt>
                <c:pt idx="7">
                  <c:v>7.0000000000000007E-2</c:v>
                </c:pt>
                <c:pt idx="8">
                  <c:v>0.08</c:v>
                </c:pt>
                <c:pt idx="9">
                  <c:v>0.09</c:v>
                </c:pt>
                <c:pt idx="10">
                  <c:v>9.9999999999999992E-2</c:v>
                </c:pt>
                <c:pt idx="11">
                  <c:v>0.10999999999999999</c:v>
                </c:pt>
                <c:pt idx="12">
                  <c:v>0.11999999999999998</c:v>
                </c:pt>
                <c:pt idx="13">
                  <c:v>0.12999999999999998</c:v>
                </c:pt>
                <c:pt idx="14">
                  <c:v>0.13999999999999999</c:v>
                </c:pt>
                <c:pt idx="15">
                  <c:v>0.15</c:v>
                </c:pt>
                <c:pt idx="16">
                  <c:v>0.16</c:v>
                </c:pt>
                <c:pt idx="17">
                  <c:v>0.17</c:v>
                </c:pt>
                <c:pt idx="18">
                  <c:v>0.18000000000000002</c:v>
                </c:pt>
                <c:pt idx="19">
                  <c:v>0.19000000000000003</c:v>
                </c:pt>
                <c:pt idx="20">
                  <c:v>0.20000000000000004</c:v>
                </c:pt>
                <c:pt idx="21">
                  <c:v>0.21000000000000005</c:v>
                </c:pt>
                <c:pt idx="22">
                  <c:v>0.22000000000000006</c:v>
                </c:pt>
                <c:pt idx="23">
                  <c:v>0.23000000000000007</c:v>
                </c:pt>
                <c:pt idx="24">
                  <c:v>0.24000000000000007</c:v>
                </c:pt>
                <c:pt idx="25">
                  <c:v>0.25000000000000006</c:v>
                </c:pt>
                <c:pt idx="26">
                  <c:v>0.26000000000000006</c:v>
                </c:pt>
                <c:pt idx="27">
                  <c:v>0.27000000000000007</c:v>
                </c:pt>
                <c:pt idx="28">
                  <c:v>0.28000000000000008</c:v>
                </c:pt>
                <c:pt idx="29">
                  <c:v>0.29000000000000009</c:v>
                </c:pt>
                <c:pt idx="30">
                  <c:v>0.3000000000000001</c:v>
                </c:pt>
                <c:pt idx="31">
                  <c:v>0.31000000000000011</c:v>
                </c:pt>
                <c:pt idx="32">
                  <c:v>0.32000000000000012</c:v>
                </c:pt>
                <c:pt idx="33">
                  <c:v>0.33000000000000013</c:v>
                </c:pt>
                <c:pt idx="34">
                  <c:v>0.34000000000000014</c:v>
                </c:pt>
                <c:pt idx="35">
                  <c:v>0.35000000000000014</c:v>
                </c:pt>
                <c:pt idx="36">
                  <c:v>0.36000000000000015</c:v>
                </c:pt>
                <c:pt idx="37">
                  <c:v>0.37000000000000016</c:v>
                </c:pt>
                <c:pt idx="38">
                  <c:v>0.38000000000000017</c:v>
                </c:pt>
                <c:pt idx="39">
                  <c:v>0.39000000000000018</c:v>
                </c:pt>
                <c:pt idx="40">
                  <c:v>0.40000000000000019</c:v>
                </c:pt>
                <c:pt idx="41">
                  <c:v>0.4100000000000002</c:v>
                </c:pt>
                <c:pt idx="42">
                  <c:v>0.42000000000000021</c:v>
                </c:pt>
                <c:pt idx="43">
                  <c:v>0.43000000000000022</c:v>
                </c:pt>
                <c:pt idx="44">
                  <c:v>0.44000000000000022</c:v>
                </c:pt>
                <c:pt idx="45">
                  <c:v>0.45000000000000023</c:v>
                </c:pt>
                <c:pt idx="46">
                  <c:v>0.46000000000000024</c:v>
                </c:pt>
                <c:pt idx="47">
                  <c:v>0.47000000000000025</c:v>
                </c:pt>
                <c:pt idx="48">
                  <c:v>0.48000000000000026</c:v>
                </c:pt>
                <c:pt idx="49">
                  <c:v>0.49000000000000027</c:v>
                </c:pt>
                <c:pt idx="50">
                  <c:v>0.50000000000000022</c:v>
                </c:pt>
                <c:pt idx="51">
                  <c:v>0.51000000000000023</c:v>
                </c:pt>
                <c:pt idx="52">
                  <c:v>0.52000000000000024</c:v>
                </c:pt>
                <c:pt idx="53">
                  <c:v>0.53000000000000025</c:v>
                </c:pt>
                <c:pt idx="54">
                  <c:v>0.54000000000000026</c:v>
                </c:pt>
                <c:pt idx="55">
                  <c:v>0.55000000000000027</c:v>
                </c:pt>
                <c:pt idx="56">
                  <c:v>0.56000000000000028</c:v>
                </c:pt>
                <c:pt idx="57">
                  <c:v>0.57000000000000028</c:v>
                </c:pt>
                <c:pt idx="58">
                  <c:v>0.58000000000000029</c:v>
                </c:pt>
                <c:pt idx="59">
                  <c:v>0.5900000000000003</c:v>
                </c:pt>
                <c:pt idx="60">
                  <c:v>0.60000000000000031</c:v>
                </c:pt>
                <c:pt idx="61">
                  <c:v>0.61000000000000032</c:v>
                </c:pt>
                <c:pt idx="62">
                  <c:v>0.62000000000000033</c:v>
                </c:pt>
                <c:pt idx="63">
                  <c:v>0.63000000000000034</c:v>
                </c:pt>
                <c:pt idx="64">
                  <c:v>0.64000000000000035</c:v>
                </c:pt>
                <c:pt idx="65">
                  <c:v>0.65000000000000036</c:v>
                </c:pt>
                <c:pt idx="66">
                  <c:v>0.66000000000000036</c:v>
                </c:pt>
                <c:pt idx="67">
                  <c:v>0.67000000000000037</c:v>
                </c:pt>
                <c:pt idx="68">
                  <c:v>0.68000000000000038</c:v>
                </c:pt>
                <c:pt idx="69">
                  <c:v>0.69000000000000039</c:v>
                </c:pt>
                <c:pt idx="70">
                  <c:v>0.7000000000000004</c:v>
                </c:pt>
                <c:pt idx="71">
                  <c:v>0.71000000000000041</c:v>
                </c:pt>
                <c:pt idx="72">
                  <c:v>0.72000000000000042</c:v>
                </c:pt>
                <c:pt idx="73">
                  <c:v>0.73000000000000043</c:v>
                </c:pt>
                <c:pt idx="74">
                  <c:v>0.74000000000000044</c:v>
                </c:pt>
                <c:pt idx="75">
                  <c:v>0.75000000000000044</c:v>
                </c:pt>
                <c:pt idx="76">
                  <c:v>0.76000000000000045</c:v>
                </c:pt>
                <c:pt idx="77">
                  <c:v>0.77000000000000046</c:v>
                </c:pt>
                <c:pt idx="78">
                  <c:v>0.78000000000000047</c:v>
                </c:pt>
                <c:pt idx="79">
                  <c:v>0.79000000000000048</c:v>
                </c:pt>
                <c:pt idx="80">
                  <c:v>0.80000000000000049</c:v>
                </c:pt>
                <c:pt idx="81">
                  <c:v>0.8100000000000005</c:v>
                </c:pt>
                <c:pt idx="82">
                  <c:v>0.82000000000000051</c:v>
                </c:pt>
                <c:pt idx="83">
                  <c:v>0.83000000000000052</c:v>
                </c:pt>
                <c:pt idx="84">
                  <c:v>0.84000000000000052</c:v>
                </c:pt>
                <c:pt idx="85">
                  <c:v>0.85000000000000053</c:v>
                </c:pt>
                <c:pt idx="86">
                  <c:v>0.86000000000000054</c:v>
                </c:pt>
                <c:pt idx="87">
                  <c:v>0.87000000000000055</c:v>
                </c:pt>
                <c:pt idx="88">
                  <c:v>0.88000000000000056</c:v>
                </c:pt>
                <c:pt idx="89">
                  <c:v>0.89000000000000057</c:v>
                </c:pt>
                <c:pt idx="90">
                  <c:v>0.90000000000000058</c:v>
                </c:pt>
                <c:pt idx="91">
                  <c:v>0.91000000000000059</c:v>
                </c:pt>
                <c:pt idx="92">
                  <c:v>0.9200000000000006</c:v>
                </c:pt>
                <c:pt idx="93">
                  <c:v>0.9300000000000006</c:v>
                </c:pt>
                <c:pt idx="94">
                  <c:v>0.94000000000000061</c:v>
                </c:pt>
                <c:pt idx="95">
                  <c:v>0.95000000000000062</c:v>
                </c:pt>
                <c:pt idx="96">
                  <c:v>0.96000000000000063</c:v>
                </c:pt>
                <c:pt idx="97">
                  <c:v>0.97000000000000064</c:v>
                </c:pt>
                <c:pt idx="98">
                  <c:v>0.98000000000000065</c:v>
                </c:pt>
                <c:pt idx="99">
                  <c:v>0.99000000000000066</c:v>
                </c:pt>
                <c:pt idx="100">
                  <c:v>1.0000000000000007</c:v>
                </c:pt>
                <c:pt idx="101">
                  <c:v>1.1000000000000008</c:v>
                </c:pt>
                <c:pt idx="102">
                  <c:v>1.2000000000000008</c:v>
                </c:pt>
                <c:pt idx="103">
                  <c:v>1.3000000000000009</c:v>
                </c:pt>
                <c:pt idx="104">
                  <c:v>1.400000000000001</c:v>
                </c:pt>
                <c:pt idx="105">
                  <c:v>1.5000000000000011</c:v>
                </c:pt>
                <c:pt idx="106">
                  <c:v>1.6000000000000012</c:v>
                </c:pt>
                <c:pt idx="107">
                  <c:v>1.7000000000000013</c:v>
                </c:pt>
                <c:pt idx="108">
                  <c:v>1.8000000000000014</c:v>
                </c:pt>
                <c:pt idx="109">
                  <c:v>1.9000000000000015</c:v>
                </c:pt>
                <c:pt idx="110">
                  <c:v>2.0000000000000013</c:v>
                </c:pt>
                <c:pt idx="111">
                  <c:v>2.1000000000000014</c:v>
                </c:pt>
                <c:pt idx="112">
                  <c:v>2.2000000000000015</c:v>
                </c:pt>
                <c:pt idx="113">
                  <c:v>2.3000000000000016</c:v>
                </c:pt>
                <c:pt idx="114">
                  <c:v>2.4000000000000017</c:v>
                </c:pt>
                <c:pt idx="115">
                  <c:v>2.5000000000000018</c:v>
                </c:pt>
                <c:pt idx="116">
                  <c:v>2.6000000000000019</c:v>
                </c:pt>
                <c:pt idx="117">
                  <c:v>2.700000000000002</c:v>
                </c:pt>
                <c:pt idx="118">
                  <c:v>2.800000000000002</c:v>
                </c:pt>
                <c:pt idx="119">
                  <c:v>2.9000000000000021</c:v>
                </c:pt>
                <c:pt idx="120">
                  <c:v>3.0000000000000022</c:v>
                </c:pt>
                <c:pt idx="121">
                  <c:v>3.1000000000000023</c:v>
                </c:pt>
                <c:pt idx="122">
                  <c:v>3.2000000000000024</c:v>
                </c:pt>
                <c:pt idx="123">
                  <c:v>3.3000000000000025</c:v>
                </c:pt>
                <c:pt idx="124">
                  <c:v>3.4000000000000026</c:v>
                </c:pt>
                <c:pt idx="125">
                  <c:v>3.5000000000000027</c:v>
                </c:pt>
                <c:pt idx="126">
                  <c:v>3.6000000000000028</c:v>
                </c:pt>
                <c:pt idx="127">
                  <c:v>3.7000000000000028</c:v>
                </c:pt>
                <c:pt idx="128">
                  <c:v>3.8000000000000029</c:v>
                </c:pt>
                <c:pt idx="129">
                  <c:v>3.900000000000003</c:v>
                </c:pt>
                <c:pt idx="130">
                  <c:v>4.0000000000000027</c:v>
                </c:pt>
                <c:pt idx="131">
                  <c:v>4.1000000000000023</c:v>
                </c:pt>
                <c:pt idx="132">
                  <c:v>4.200000000000002</c:v>
                </c:pt>
                <c:pt idx="133">
                  <c:v>4.3000000000000016</c:v>
                </c:pt>
                <c:pt idx="134">
                  <c:v>4.4000000000000012</c:v>
                </c:pt>
                <c:pt idx="135">
                  <c:v>4.5000000000000009</c:v>
                </c:pt>
                <c:pt idx="136">
                  <c:v>4.6000000000000005</c:v>
                </c:pt>
                <c:pt idx="137">
                  <c:v>4.7</c:v>
                </c:pt>
                <c:pt idx="138">
                  <c:v>4.8</c:v>
                </c:pt>
                <c:pt idx="139">
                  <c:v>4.8999999999999995</c:v>
                </c:pt>
                <c:pt idx="140">
                  <c:v>4.9999999999999991</c:v>
                </c:pt>
                <c:pt idx="141">
                  <c:v>5.0999999999999988</c:v>
                </c:pt>
                <c:pt idx="142">
                  <c:v>5.1999999999999984</c:v>
                </c:pt>
                <c:pt idx="143">
                  <c:v>5.299999999999998</c:v>
                </c:pt>
                <c:pt idx="144">
                  <c:v>5.3999999999999977</c:v>
                </c:pt>
                <c:pt idx="145">
                  <c:v>5.4999999999999973</c:v>
                </c:pt>
                <c:pt idx="146">
                  <c:v>5.599999999999997</c:v>
                </c:pt>
                <c:pt idx="147">
                  <c:v>5.6999999999999966</c:v>
                </c:pt>
                <c:pt idx="148">
                  <c:v>5.7999999999999963</c:v>
                </c:pt>
                <c:pt idx="149">
                  <c:v>5.8999999999999959</c:v>
                </c:pt>
                <c:pt idx="150">
                  <c:v>5.9999999999999956</c:v>
                </c:pt>
                <c:pt idx="151">
                  <c:v>6.0999999999999952</c:v>
                </c:pt>
                <c:pt idx="152">
                  <c:v>6.1999999999999948</c:v>
                </c:pt>
                <c:pt idx="153">
                  <c:v>6.2999999999999945</c:v>
                </c:pt>
                <c:pt idx="154">
                  <c:v>6.3999999999999941</c:v>
                </c:pt>
                <c:pt idx="155">
                  <c:v>6.4999999999999938</c:v>
                </c:pt>
                <c:pt idx="156">
                  <c:v>6.5999999999999934</c:v>
                </c:pt>
                <c:pt idx="157">
                  <c:v>6.6999999999999931</c:v>
                </c:pt>
                <c:pt idx="158">
                  <c:v>6.7999999999999927</c:v>
                </c:pt>
                <c:pt idx="159">
                  <c:v>6.8999999999999924</c:v>
                </c:pt>
                <c:pt idx="160">
                  <c:v>6.999999999999992</c:v>
                </c:pt>
                <c:pt idx="161">
                  <c:v>7.0999999999999917</c:v>
                </c:pt>
                <c:pt idx="162">
                  <c:v>7.1999999999999913</c:v>
                </c:pt>
                <c:pt idx="163">
                  <c:v>7.2999999999999909</c:v>
                </c:pt>
                <c:pt idx="164">
                  <c:v>7.3999999999999906</c:v>
                </c:pt>
                <c:pt idx="165">
                  <c:v>7.4999999999999902</c:v>
                </c:pt>
                <c:pt idx="166">
                  <c:v>7.5999999999999899</c:v>
                </c:pt>
                <c:pt idx="167">
                  <c:v>7.6999999999999895</c:v>
                </c:pt>
                <c:pt idx="168">
                  <c:v>7.7999999999999892</c:v>
                </c:pt>
                <c:pt idx="169">
                  <c:v>7.8999999999999888</c:v>
                </c:pt>
                <c:pt idx="170">
                  <c:v>7.9999999999999885</c:v>
                </c:pt>
                <c:pt idx="171">
                  <c:v>8.099999999999989</c:v>
                </c:pt>
                <c:pt idx="172">
                  <c:v>8.1999999999999886</c:v>
                </c:pt>
                <c:pt idx="173">
                  <c:v>8.2999999999999883</c:v>
                </c:pt>
                <c:pt idx="174">
                  <c:v>8.3999999999999879</c:v>
                </c:pt>
                <c:pt idx="175">
                  <c:v>8.4999999999999876</c:v>
                </c:pt>
                <c:pt idx="176">
                  <c:v>8.5999999999999872</c:v>
                </c:pt>
                <c:pt idx="177">
                  <c:v>8.6999999999999869</c:v>
                </c:pt>
                <c:pt idx="178">
                  <c:v>8.7999999999999865</c:v>
                </c:pt>
                <c:pt idx="179">
                  <c:v>8.8999999999999861</c:v>
                </c:pt>
                <c:pt idx="180">
                  <c:v>8.9999999999999858</c:v>
                </c:pt>
                <c:pt idx="181">
                  <c:v>9.0999999999999854</c:v>
                </c:pt>
                <c:pt idx="182">
                  <c:v>9.1999999999999851</c:v>
                </c:pt>
                <c:pt idx="183">
                  <c:v>9.2999999999999847</c:v>
                </c:pt>
                <c:pt idx="184">
                  <c:v>9.3999999999999844</c:v>
                </c:pt>
                <c:pt idx="185">
                  <c:v>9.499999999999984</c:v>
                </c:pt>
                <c:pt idx="186">
                  <c:v>9.5999999999999837</c:v>
                </c:pt>
                <c:pt idx="187">
                  <c:v>9.6999999999999833</c:v>
                </c:pt>
                <c:pt idx="188">
                  <c:v>9.7999999999999829</c:v>
                </c:pt>
                <c:pt idx="189">
                  <c:v>9.8999999999999826</c:v>
                </c:pt>
                <c:pt idx="190">
                  <c:v>9.9999999999999822</c:v>
                </c:pt>
                <c:pt idx="191">
                  <c:v>10.099999999999982</c:v>
                </c:pt>
                <c:pt idx="192">
                  <c:v>10.199999999999982</c:v>
                </c:pt>
                <c:pt idx="193">
                  <c:v>10.299999999999981</c:v>
                </c:pt>
                <c:pt idx="194">
                  <c:v>10.399999999999981</c:v>
                </c:pt>
                <c:pt idx="195">
                  <c:v>10.49999999999998</c:v>
                </c:pt>
                <c:pt idx="196">
                  <c:v>10.59999999999998</c:v>
                </c:pt>
                <c:pt idx="197">
                  <c:v>10.69999999999998</c:v>
                </c:pt>
                <c:pt idx="198">
                  <c:v>10.799999999999979</c:v>
                </c:pt>
                <c:pt idx="199">
                  <c:v>10.899999999999979</c:v>
                </c:pt>
                <c:pt idx="200">
                  <c:v>10.999999999999979</c:v>
                </c:pt>
                <c:pt idx="201">
                  <c:v>11.099999999999978</c:v>
                </c:pt>
                <c:pt idx="202">
                  <c:v>11.199999999999978</c:v>
                </c:pt>
                <c:pt idx="203">
                  <c:v>11.299999999999978</c:v>
                </c:pt>
                <c:pt idx="204">
                  <c:v>11.399999999999977</c:v>
                </c:pt>
                <c:pt idx="205">
                  <c:v>11.499999999999977</c:v>
                </c:pt>
                <c:pt idx="206">
                  <c:v>11.599999999999977</c:v>
                </c:pt>
                <c:pt idx="207">
                  <c:v>11.699999999999976</c:v>
                </c:pt>
                <c:pt idx="208">
                  <c:v>11.799999999999976</c:v>
                </c:pt>
                <c:pt idx="209">
                  <c:v>11.899999999999975</c:v>
                </c:pt>
                <c:pt idx="210">
                  <c:v>11.999999999999975</c:v>
                </c:pt>
                <c:pt idx="211">
                  <c:v>12.099999999999975</c:v>
                </c:pt>
                <c:pt idx="212">
                  <c:v>12.199999999999974</c:v>
                </c:pt>
                <c:pt idx="213">
                  <c:v>12.299999999999974</c:v>
                </c:pt>
                <c:pt idx="214">
                  <c:v>12.399999999999974</c:v>
                </c:pt>
                <c:pt idx="215">
                  <c:v>12.499999999999973</c:v>
                </c:pt>
                <c:pt idx="216">
                  <c:v>12.599999999999973</c:v>
                </c:pt>
                <c:pt idx="217">
                  <c:v>12.699999999999973</c:v>
                </c:pt>
                <c:pt idx="218">
                  <c:v>12.799999999999972</c:v>
                </c:pt>
                <c:pt idx="219">
                  <c:v>12.899999999999972</c:v>
                </c:pt>
                <c:pt idx="220">
                  <c:v>12.999999999999972</c:v>
                </c:pt>
                <c:pt idx="221">
                  <c:v>13.099999999999971</c:v>
                </c:pt>
                <c:pt idx="222">
                  <c:v>13.199999999999971</c:v>
                </c:pt>
                <c:pt idx="223">
                  <c:v>13.299999999999971</c:v>
                </c:pt>
                <c:pt idx="224">
                  <c:v>13.39999999999997</c:v>
                </c:pt>
                <c:pt idx="225">
                  <c:v>13.49999999999997</c:v>
                </c:pt>
                <c:pt idx="226">
                  <c:v>13.599999999999969</c:v>
                </c:pt>
                <c:pt idx="227">
                  <c:v>13.699999999999969</c:v>
                </c:pt>
                <c:pt idx="228">
                  <c:v>13.799999999999969</c:v>
                </c:pt>
                <c:pt idx="229">
                  <c:v>13.899999999999968</c:v>
                </c:pt>
                <c:pt idx="230">
                  <c:v>13.999999999999968</c:v>
                </c:pt>
                <c:pt idx="231">
                  <c:v>14.099999999999968</c:v>
                </c:pt>
                <c:pt idx="232">
                  <c:v>14.199999999999967</c:v>
                </c:pt>
                <c:pt idx="233">
                  <c:v>14.299999999999967</c:v>
                </c:pt>
                <c:pt idx="234">
                  <c:v>14.399999999999967</c:v>
                </c:pt>
                <c:pt idx="235">
                  <c:v>14.499999999999966</c:v>
                </c:pt>
                <c:pt idx="236">
                  <c:v>14.599999999999966</c:v>
                </c:pt>
                <c:pt idx="237">
                  <c:v>14.699999999999966</c:v>
                </c:pt>
                <c:pt idx="238">
                  <c:v>14.799999999999965</c:v>
                </c:pt>
                <c:pt idx="239">
                  <c:v>14.899999999999965</c:v>
                </c:pt>
                <c:pt idx="240">
                  <c:v>14.999999999999964</c:v>
                </c:pt>
                <c:pt idx="241">
                  <c:v>15.099999999999964</c:v>
                </c:pt>
                <c:pt idx="242">
                  <c:v>15.199999999999964</c:v>
                </c:pt>
                <c:pt idx="243">
                  <c:v>15.299999999999963</c:v>
                </c:pt>
                <c:pt idx="244">
                  <c:v>15.399999999999963</c:v>
                </c:pt>
                <c:pt idx="245">
                  <c:v>15.499999999999963</c:v>
                </c:pt>
                <c:pt idx="246">
                  <c:v>15.599999999999962</c:v>
                </c:pt>
                <c:pt idx="247">
                  <c:v>15.699999999999962</c:v>
                </c:pt>
                <c:pt idx="248">
                  <c:v>15.799999999999962</c:v>
                </c:pt>
                <c:pt idx="249">
                  <c:v>15.899999999999961</c:v>
                </c:pt>
                <c:pt idx="250">
                  <c:v>15.999999999999961</c:v>
                </c:pt>
                <c:pt idx="251">
                  <c:v>16.099999999999962</c:v>
                </c:pt>
                <c:pt idx="252">
                  <c:v>16.199999999999964</c:v>
                </c:pt>
                <c:pt idx="253">
                  <c:v>16.299999999999965</c:v>
                </c:pt>
                <c:pt idx="254">
                  <c:v>16.399999999999967</c:v>
                </c:pt>
                <c:pt idx="255">
                  <c:v>16.499999999999968</c:v>
                </c:pt>
                <c:pt idx="256">
                  <c:v>16.599999999999969</c:v>
                </c:pt>
                <c:pt idx="257">
                  <c:v>16.699999999999971</c:v>
                </c:pt>
                <c:pt idx="258">
                  <c:v>16.799999999999972</c:v>
                </c:pt>
                <c:pt idx="259">
                  <c:v>16.899999999999974</c:v>
                </c:pt>
                <c:pt idx="260">
                  <c:v>16.999999999999975</c:v>
                </c:pt>
                <c:pt idx="261">
                  <c:v>17.099999999999977</c:v>
                </c:pt>
                <c:pt idx="262">
                  <c:v>17.199999999999978</c:v>
                </c:pt>
                <c:pt idx="263">
                  <c:v>17.299999999999979</c:v>
                </c:pt>
                <c:pt idx="264">
                  <c:v>17.399999999999981</c:v>
                </c:pt>
                <c:pt idx="265">
                  <c:v>17.499999999999982</c:v>
                </c:pt>
                <c:pt idx="266">
                  <c:v>17.599999999999984</c:v>
                </c:pt>
                <c:pt idx="267">
                  <c:v>17.699999999999985</c:v>
                </c:pt>
                <c:pt idx="268">
                  <c:v>17.799999999999986</c:v>
                </c:pt>
                <c:pt idx="269">
                  <c:v>17.899999999999988</c:v>
                </c:pt>
                <c:pt idx="270">
                  <c:v>17.999999999999989</c:v>
                </c:pt>
                <c:pt idx="271">
                  <c:v>18.099999999999991</c:v>
                </c:pt>
                <c:pt idx="272">
                  <c:v>18.199999999999992</c:v>
                </c:pt>
                <c:pt idx="273">
                  <c:v>18.299999999999994</c:v>
                </c:pt>
                <c:pt idx="274">
                  <c:v>18.399999999999995</c:v>
                </c:pt>
                <c:pt idx="275">
                  <c:v>18.499999999999996</c:v>
                </c:pt>
                <c:pt idx="276">
                  <c:v>18.599999999999998</c:v>
                </c:pt>
                <c:pt idx="277">
                  <c:v>18.7</c:v>
                </c:pt>
                <c:pt idx="278">
                  <c:v>18.8</c:v>
                </c:pt>
                <c:pt idx="279">
                  <c:v>18.900000000000002</c:v>
                </c:pt>
                <c:pt idx="280">
                  <c:v>19.000000000000004</c:v>
                </c:pt>
                <c:pt idx="281">
                  <c:v>19.100000000000005</c:v>
                </c:pt>
                <c:pt idx="282">
                  <c:v>19.200000000000006</c:v>
                </c:pt>
                <c:pt idx="283">
                  <c:v>19.300000000000008</c:v>
                </c:pt>
                <c:pt idx="284">
                  <c:v>19.400000000000009</c:v>
                </c:pt>
                <c:pt idx="285">
                  <c:v>19.500000000000011</c:v>
                </c:pt>
                <c:pt idx="286">
                  <c:v>19.600000000000012</c:v>
                </c:pt>
                <c:pt idx="287">
                  <c:v>19.700000000000014</c:v>
                </c:pt>
                <c:pt idx="288">
                  <c:v>19.800000000000015</c:v>
                </c:pt>
                <c:pt idx="289">
                  <c:v>19.900000000000016</c:v>
                </c:pt>
                <c:pt idx="290">
                  <c:v>20.000000000000018</c:v>
                </c:pt>
                <c:pt idx="291">
                  <c:v>20.100000000000019</c:v>
                </c:pt>
                <c:pt idx="292">
                  <c:v>20.200000000000021</c:v>
                </c:pt>
                <c:pt idx="293">
                  <c:v>20.300000000000022</c:v>
                </c:pt>
                <c:pt idx="294">
                  <c:v>20.400000000000023</c:v>
                </c:pt>
                <c:pt idx="295">
                  <c:v>20.500000000000025</c:v>
                </c:pt>
                <c:pt idx="296">
                  <c:v>20.600000000000026</c:v>
                </c:pt>
                <c:pt idx="297">
                  <c:v>20.700000000000028</c:v>
                </c:pt>
                <c:pt idx="298">
                  <c:v>20.800000000000029</c:v>
                </c:pt>
                <c:pt idx="299">
                  <c:v>20.900000000000031</c:v>
                </c:pt>
                <c:pt idx="300">
                  <c:v>21.000000000000032</c:v>
                </c:pt>
                <c:pt idx="301">
                  <c:v>21.100000000000033</c:v>
                </c:pt>
                <c:pt idx="302">
                  <c:v>21.200000000000035</c:v>
                </c:pt>
                <c:pt idx="303">
                  <c:v>21.300000000000036</c:v>
                </c:pt>
                <c:pt idx="304">
                  <c:v>21.400000000000038</c:v>
                </c:pt>
                <c:pt idx="305">
                  <c:v>21.500000000000039</c:v>
                </c:pt>
                <c:pt idx="306">
                  <c:v>21.600000000000041</c:v>
                </c:pt>
                <c:pt idx="307">
                  <c:v>21.700000000000042</c:v>
                </c:pt>
                <c:pt idx="308">
                  <c:v>21.800000000000043</c:v>
                </c:pt>
                <c:pt idx="309">
                  <c:v>21.900000000000045</c:v>
                </c:pt>
                <c:pt idx="310">
                  <c:v>22.000000000000046</c:v>
                </c:pt>
                <c:pt idx="311">
                  <c:v>22.100000000000048</c:v>
                </c:pt>
                <c:pt idx="312">
                  <c:v>22.200000000000049</c:v>
                </c:pt>
                <c:pt idx="313">
                  <c:v>22.30000000000005</c:v>
                </c:pt>
                <c:pt idx="314">
                  <c:v>22.400000000000052</c:v>
                </c:pt>
                <c:pt idx="315">
                  <c:v>22.500000000000053</c:v>
                </c:pt>
                <c:pt idx="316">
                  <c:v>22.600000000000055</c:v>
                </c:pt>
                <c:pt idx="317">
                  <c:v>22.700000000000056</c:v>
                </c:pt>
                <c:pt idx="318">
                  <c:v>22.800000000000058</c:v>
                </c:pt>
                <c:pt idx="319">
                  <c:v>22.900000000000059</c:v>
                </c:pt>
                <c:pt idx="320">
                  <c:v>23.00000000000006</c:v>
                </c:pt>
                <c:pt idx="321">
                  <c:v>23.100000000000062</c:v>
                </c:pt>
                <c:pt idx="322">
                  <c:v>23.200000000000063</c:v>
                </c:pt>
                <c:pt idx="323">
                  <c:v>23.300000000000065</c:v>
                </c:pt>
                <c:pt idx="324">
                  <c:v>23.400000000000066</c:v>
                </c:pt>
                <c:pt idx="325">
                  <c:v>23.500000000000068</c:v>
                </c:pt>
                <c:pt idx="326">
                  <c:v>23.600000000000069</c:v>
                </c:pt>
                <c:pt idx="327">
                  <c:v>23.70000000000007</c:v>
                </c:pt>
                <c:pt idx="328">
                  <c:v>23.800000000000072</c:v>
                </c:pt>
                <c:pt idx="329">
                  <c:v>23.900000000000073</c:v>
                </c:pt>
                <c:pt idx="330">
                  <c:v>24.000000000000075</c:v>
                </c:pt>
                <c:pt idx="331">
                  <c:v>24.100000000000076</c:v>
                </c:pt>
                <c:pt idx="332">
                  <c:v>24.200000000000077</c:v>
                </c:pt>
                <c:pt idx="333">
                  <c:v>24.300000000000079</c:v>
                </c:pt>
                <c:pt idx="334">
                  <c:v>24.40000000000008</c:v>
                </c:pt>
                <c:pt idx="335">
                  <c:v>24.500000000000082</c:v>
                </c:pt>
                <c:pt idx="336">
                  <c:v>24.600000000000083</c:v>
                </c:pt>
                <c:pt idx="337">
                  <c:v>24.700000000000085</c:v>
                </c:pt>
                <c:pt idx="338">
                  <c:v>24.800000000000086</c:v>
                </c:pt>
                <c:pt idx="339">
                  <c:v>24.900000000000087</c:v>
                </c:pt>
                <c:pt idx="340">
                  <c:v>25.000000000000089</c:v>
                </c:pt>
                <c:pt idx="341">
                  <c:v>25.10000000000009</c:v>
                </c:pt>
                <c:pt idx="342">
                  <c:v>25.200000000000092</c:v>
                </c:pt>
                <c:pt idx="343">
                  <c:v>25.300000000000093</c:v>
                </c:pt>
                <c:pt idx="344">
                  <c:v>25.400000000000095</c:v>
                </c:pt>
                <c:pt idx="345">
                  <c:v>25.500000000000096</c:v>
                </c:pt>
                <c:pt idx="346">
                  <c:v>25.600000000000097</c:v>
                </c:pt>
                <c:pt idx="347">
                  <c:v>25.700000000000099</c:v>
                </c:pt>
                <c:pt idx="348">
                  <c:v>25.8000000000001</c:v>
                </c:pt>
                <c:pt idx="349">
                  <c:v>25.900000000000102</c:v>
                </c:pt>
                <c:pt idx="350">
                  <c:v>26.000000000000103</c:v>
                </c:pt>
                <c:pt idx="351">
                  <c:v>26.100000000000104</c:v>
                </c:pt>
                <c:pt idx="352">
                  <c:v>26.200000000000106</c:v>
                </c:pt>
                <c:pt idx="353">
                  <c:v>26.300000000000107</c:v>
                </c:pt>
                <c:pt idx="354">
                  <c:v>26.400000000000109</c:v>
                </c:pt>
                <c:pt idx="355">
                  <c:v>26.50000000000011</c:v>
                </c:pt>
                <c:pt idx="356">
                  <c:v>26.600000000000112</c:v>
                </c:pt>
                <c:pt idx="357">
                  <c:v>26.700000000000113</c:v>
                </c:pt>
                <c:pt idx="358">
                  <c:v>26.800000000000114</c:v>
                </c:pt>
                <c:pt idx="359">
                  <c:v>26.900000000000116</c:v>
                </c:pt>
                <c:pt idx="360">
                  <c:v>27.000000000000117</c:v>
                </c:pt>
                <c:pt idx="361">
                  <c:v>27.100000000000119</c:v>
                </c:pt>
                <c:pt idx="362">
                  <c:v>27.20000000000012</c:v>
                </c:pt>
                <c:pt idx="363">
                  <c:v>27.300000000000122</c:v>
                </c:pt>
                <c:pt idx="364">
                  <c:v>27.400000000000123</c:v>
                </c:pt>
                <c:pt idx="365">
                  <c:v>27.500000000000124</c:v>
                </c:pt>
                <c:pt idx="366">
                  <c:v>27.600000000000126</c:v>
                </c:pt>
                <c:pt idx="367">
                  <c:v>27.700000000000127</c:v>
                </c:pt>
                <c:pt idx="368">
                  <c:v>27.800000000000129</c:v>
                </c:pt>
                <c:pt idx="369">
                  <c:v>27.90000000000013</c:v>
                </c:pt>
                <c:pt idx="370">
                  <c:v>28.000000000000131</c:v>
                </c:pt>
                <c:pt idx="371">
                  <c:v>28.100000000000133</c:v>
                </c:pt>
                <c:pt idx="372">
                  <c:v>28.200000000000134</c:v>
                </c:pt>
                <c:pt idx="373">
                  <c:v>28.300000000000136</c:v>
                </c:pt>
                <c:pt idx="374">
                  <c:v>28.400000000000137</c:v>
                </c:pt>
                <c:pt idx="375">
                  <c:v>28.500000000000139</c:v>
                </c:pt>
                <c:pt idx="376">
                  <c:v>28.60000000000014</c:v>
                </c:pt>
                <c:pt idx="377">
                  <c:v>28.60010000000014</c:v>
                </c:pt>
                <c:pt idx="378">
                  <c:v>28.60020000000014</c:v>
                </c:pt>
                <c:pt idx="379">
                  <c:v>28.600300000000139</c:v>
                </c:pt>
                <c:pt idx="380">
                  <c:v>28.600400000000139</c:v>
                </c:pt>
                <c:pt idx="381">
                  <c:v>28.600500000000139</c:v>
                </c:pt>
                <c:pt idx="382">
                  <c:v>28.600600000000139</c:v>
                </c:pt>
                <c:pt idx="383">
                  <c:v>28.600700000000138</c:v>
                </c:pt>
                <c:pt idx="384">
                  <c:v>28.600800000000138</c:v>
                </c:pt>
                <c:pt idx="385">
                  <c:v>28.600900000000138</c:v>
                </c:pt>
                <c:pt idx="386">
                  <c:v>28.601000000000138</c:v>
                </c:pt>
                <c:pt idx="387">
                  <c:v>28.601100000000137</c:v>
                </c:pt>
                <c:pt idx="388">
                  <c:v>28.601200000000137</c:v>
                </c:pt>
                <c:pt idx="389">
                  <c:v>28.601300000000137</c:v>
                </c:pt>
                <c:pt idx="390">
                  <c:v>28.601400000000137</c:v>
                </c:pt>
                <c:pt idx="391">
                  <c:v>28.601500000000136</c:v>
                </c:pt>
                <c:pt idx="392">
                  <c:v>28.601600000000136</c:v>
                </c:pt>
                <c:pt idx="393">
                  <c:v>28.601700000000136</c:v>
                </c:pt>
                <c:pt idx="394">
                  <c:v>28.601800000000136</c:v>
                </c:pt>
                <c:pt idx="395">
                  <c:v>28.601900000000136</c:v>
                </c:pt>
                <c:pt idx="396">
                  <c:v>28.602000000000135</c:v>
                </c:pt>
                <c:pt idx="397">
                  <c:v>28.602100000000135</c:v>
                </c:pt>
                <c:pt idx="398">
                  <c:v>28.602200000000135</c:v>
                </c:pt>
                <c:pt idx="399">
                  <c:v>28.602300000000135</c:v>
                </c:pt>
                <c:pt idx="400">
                  <c:v>28.602400000000134</c:v>
                </c:pt>
                <c:pt idx="401">
                  <c:v>28.602500000000134</c:v>
                </c:pt>
                <c:pt idx="402">
                  <c:v>28.602600000000134</c:v>
                </c:pt>
                <c:pt idx="403">
                  <c:v>28.602700000000134</c:v>
                </c:pt>
                <c:pt idx="404">
                  <c:v>28.602800000000133</c:v>
                </c:pt>
                <c:pt idx="405">
                  <c:v>28.602900000000133</c:v>
                </c:pt>
                <c:pt idx="406">
                  <c:v>28.603000000000133</c:v>
                </c:pt>
                <c:pt idx="407">
                  <c:v>28.603100000000133</c:v>
                </c:pt>
                <c:pt idx="408">
                  <c:v>28.603200000000133</c:v>
                </c:pt>
                <c:pt idx="409">
                  <c:v>28.603300000000132</c:v>
                </c:pt>
                <c:pt idx="410">
                  <c:v>28.603400000000132</c:v>
                </c:pt>
                <c:pt idx="411">
                  <c:v>28.603500000000132</c:v>
                </c:pt>
                <c:pt idx="412">
                  <c:v>28.603600000000132</c:v>
                </c:pt>
                <c:pt idx="413">
                  <c:v>28.603700000000131</c:v>
                </c:pt>
                <c:pt idx="414">
                  <c:v>28.603800000000131</c:v>
                </c:pt>
                <c:pt idx="415">
                  <c:v>28.603900000000131</c:v>
                </c:pt>
                <c:pt idx="416">
                  <c:v>28.604000000000131</c:v>
                </c:pt>
                <c:pt idx="417">
                  <c:v>28.60410000000013</c:v>
                </c:pt>
                <c:pt idx="418">
                  <c:v>28.60420000000013</c:v>
                </c:pt>
                <c:pt idx="419">
                  <c:v>28.60430000000013</c:v>
                </c:pt>
                <c:pt idx="420">
                  <c:v>28.60440000000013</c:v>
                </c:pt>
                <c:pt idx="421">
                  <c:v>28.604500000000129</c:v>
                </c:pt>
                <c:pt idx="422">
                  <c:v>28.604600000000129</c:v>
                </c:pt>
                <c:pt idx="423">
                  <c:v>28.604700000000129</c:v>
                </c:pt>
                <c:pt idx="424">
                  <c:v>28.604800000000129</c:v>
                </c:pt>
                <c:pt idx="425">
                  <c:v>28.604900000000129</c:v>
                </c:pt>
                <c:pt idx="426">
                  <c:v>28.605000000000128</c:v>
                </c:pt>
                <c:pt idx="427">
                  <c:v>28.605100000000128</c:v>
                </c:pt>
                <c:pt idx="428">
                  <c:v>28.605200000000128</c:v>
                </c:pt>
                <c:pt idx="429">
                  <c:v>28.605300000000128</c:v>
                </c:pt>
                <c:pt idx="430">
                  <c:v>28.605400000000127</c:v>
                </c:pt>
                <c:pt idx="431">
                  <c:v>28.605500000000127</c:v>
                </c:pt>
                <c:pt idx="432">
                  <c:v>28.605600000000127</c:v>
                </c:pt>
                <c:pt idx="433">
                  <c:v>28.605700000000127</c:v>
                </c:pt>
                <c:pt idx="434">
                  <c:v>28.605800000000126</c:v>
                </c:pt>
                <c:pt idx="435">
                  <c:v>28.605900000000126</c:v>
                </c:pt>
                <c:pt idx="436">
                  <c:v>28.606000000000126</c:v>
                </c:pt>
                <c:pt idx="437">
                  <c:v>28.606100000000126</c:v>
                </c:pt>
                <c:pt idx="438">
                  <c:v>28.606200000000126</c:v>
                </c:pt>
                <c:pt idx="439">
                  <c:v>28.606300000000125</c:v>
                </c:pt>
                <c:pt idx="440">
                  <c:v>28.606400000000125</c:v>
                </c:pt>
                <c:pt idx="441">
                  <c:v>28.606500000000125</c:v>
                </c:pt>
                <c:pt idx="442">
                  <c:v>28.606600000000125</c:v>
                </c:pt>
                <c:pt idx="443">
                  <c:v>28.606700000000124</c:v>
                </c:pt>
                <c:pt idx="444">
                  <c:v>28.606800000000124</c:v>
                </c:pt>
                <c:pt idx="445">
                  <c:v>28.606900000000124</c:v>
                </c:pt>
                <c:pt idx="446">
                  <c:v>28.607000000000124</c:v>
                </c:pt>
                <c:pt idx="447">
                  <c:v>28.607100000000123</c:v>
                </c:pt>
                <c:pt idx="448">
                  <c:v>28.607200000000123</c:v>
                </c:pt>
                <c:pt idx="449">
                  <c:v>28.607300000000123</c:v>
                </c:pt>
                <c:pt idx="450">
                  <c:v>28.607400000000123</c:v>
                </c:pt>
                <c:pt idx="451">
                  <c:v>28.607500000000122</c:v>
                </c:pt>
                <c:pt idx="452">
                  <c:v>28.607600000000122</c:v>
                </c:pt>
                <c:pt idx="453">
                  <c:v>28.607700000000122</c:v>
                </c:pt>
                <c:pt idx="454">
                  <c:v>28.607800000000122</c:v>
                </c:pt>
                <c:pt idx="455">
                  <c:v>28.607900000000122</c:v>
                </c:pt>
                <c:pt idx="456">
                  <c:v>28.608000000000121</c:v>
                </c:pt>
                <c:pt idx="457">
                  <c:v>28.608100000000121</c:v>
                </c:pt>
                <c:pt idx="458">
                  <c:v>28.608200000000121</c:v>
                </c:pt>
                <c:pt idx="459">
                  <c:v>28.608300000000121</c:v>
                </c:pt>
                <c:pt idx="460">
                  <c:v>28.60840000000012</c:v>
                </c:pt>
                <c:pt idx="461">
                  <c:v>28.60850000000012</c:v>
                </c:pt>
                <c:pt idx="462">
                  <c:v>28.60860000000012</c:v>
                </c:pt>
                <c:pt idx="463">
                  <c:v>28.60870000000012</c:v>
                </c:pt>
                <c:pt idx="464">
                  <c:v>28.608800000000119</c:v>
                </c:pt>
                <c:pt idx="465">
                  <c:v>28.608900000000119</c:v>
                </c:pt>
                <c:pt idx="466">
                  <c:v>28.609000000000119</c:v>
                </c:pt>
                <c:pt idx="467">
                  <c:v>28.609100000000119</c:v>
                </c:pt>
                <c:pt idx="468">
                  <c:v>28.609200000000119</c:v>
                </c:pt>
                <c:pt idx="469">
                  <c:v>28.609300000000118</c:v>
                </c:pt>
                <c:pt idx="470">
                  <c:v>28.609400000000118</c:v>
                </c:pt>
                <c:pt idx="471">
                  <c:v>28.609500000000118</c:v>
                </c:pt>
                <c:pt idx="472">
                  <c:v>28.609600000000118</c:v>
                </c:pt>
                <c:pt idx="473">
                  <c:v>28.609700000000117</c:v>
                </c:pt>
                <c:pt idx="474">
                  <c:v>28.609800000000117</c:v>
                </c:pt>
                <c:pt idx="475">
                  <c:v>28.609900000000117</c:v>
                </c:pt>
                <c:pt idx="476">
                  <c:v>28.610000000000117</c:v>
                </c:pt>
                <c:pt idx="477">
                  <c:v>28.610100000000116</c:v>
                </c:pt>
                <c:pt idx="478">
                  <c:v>28.610200000000116</c:v>
                </c:pt>
                <c:pt idx="479">
                  <c:v>28.610300000000116</c:v>
                </c:pt>
                <c:pt idx="480">
                  <c:v>28.610400000000116</c:v>
                </c:pt>
                <c:pt idx="481">
                  <c:v>28.610500000000116</c:v>
                </c:pt>
                <c:pt idx="482">
                  <c:v>28.610600000000115</c:v>
                </c:pt>
                <c:pt idx="483">
                  <c:v>28.610700000000115</c:v>
                </c:pt>
                <c:pt idx="484">
                  <c:v>28.610800000000115</c:v>
                </c:pt>
                <c:pt idx="485">
                  <c:v>28.610900000000115</c:v>
                </c:pt>
                <c:pt idx="486">
                  <c:v>28.611000000000114</c:v>
                </c:pt>
                <c:pt idx="487">
                  <c:v>28.611100000000114</c:v>
                </c:pt>
                <c:pt idx="488">
                  <c:v>28.611200000000114</c:v>
                </c:pt>
                <c:pt idx="489">
                  <c:v>28.611300000000114</c:v>
                </c:pt>
                <c:pt idx="490">
                  <c:v>28.611400000000113</c:v>
                </c:pt>
                <c:pt idx="491">
                  <c:v>28.611500000000113</c:v>
                </c:pt>
                <c:pt idx="492">
                  <c:v>28.611600000000113</c:v>
                </c:pt>
                <c:pt idx="493">
                  <c:v>28.611700000000113</c:v>
                </c:pt>
                <c:pt idx="494">
                  <c:v>28.611800000000112</c:v>
                </c:pt>
                <c:pt idx="495">
                  <c:v>28.611900000000112</c:v>
                </c:pt>
                <c:pt idx="496">
                  <c:v>28.612000000000112</c:v>
                </c:pt>
                <c:pt idx="497">
                  <c:v>28.612100000000112</c:v>
                </c:pt>
                <c:pt idx="498">
                  <c:v>28.612200000000112</c:v>
                </c:pt>
                <c:pt idx="499">
                  <c:v>28.612300000000111</c:v>
                </c:pt>
                <c:pt idx="500">
                  <c:v>28.612400000000111</c:v>
                </c:pt>
                <c:pt idx="501">
                  <c:v>28.612500000000111</c:v>
                </c:pt>
                <c:pt idx="502">
                  <c:v>28.612600000000111</c:v>
                </c:pt>
                <c:pt idx="503">
                  <c:v>28.61270000000011</c:v>
                </c:pt>
                <c:pt idx="504">
                  <c:v>28.61280000000011</c:v>
                </c:pt>
                <c:pt idx="505">
                  <c:v>28.61290000000011</c:v>
                </c:pt>
                <c:pt idx="506">
                  <c:v>28.61300000000011</c:v>
                </c:pt>
                <c:pt idx="507">
                  <c:v>28.613100000000109</c:v>
                </c:pt>
                <c:pt idx="508">
                  <c:v>28.613200000000109</c:v>
                </c:pt>
                <c:pt idx="509">
                  <c:v>28.613300000000109</c:v>
                </c:pt>
                <c:pt idx="510">
                  <c:v>28.613400000000109</c:v>
                </c:pt>
                <c:pt idx="511">
                  <c:v>28.613500000000109</c:v>
                </c:pt>
                <c:pt idx="512">
                  <c:v>28.613600000000108</c:v>
                </c:pt>
                <c:pt idx="513">
                  <c:v>28.613700000000108</c:v>
                </c:pt>
                <c:pt idx="514">
                  <c:v>28.613800000000108</c:v>
                </c:pt>
                <c:pt idx="515">
                  <c:v>28.613900000000108</c:v>
                </c:pt>
                <c:pt idx="516">
                  <c:v>28.614000000000107</c:v>
                </c:pt>
                <c:pt idx="517">
                  <c:v>28.614100000000107</c:v>
                </c:pt>
                <c:pt idx="518">
                  <c:v>28.614200000000107</c:v>
                </c:pt>
                <c:pt idx="519">
                  <c:v>28.614300000000107</c:v>
                </c:pt>
                <c:pt idx="520">
                  <c:v>28.614400000000106</c:v>
                </c:pt>
                <c:pt idx="521">
                  <c:v>28.614500000000106</c:v>
                </c:pt>
                <c:pt idx="522">
                  <c:v>28.614600000000106</c:v>
                </c:pt>
                <c:pt idx="523">
                  <c:v>28.614700000000106</c:v>
                </c:pt>
                <c:pt idx="524">
                  <c:v>28.614800000000105</c:v>
                </c:pt>
                <c:pt idx="525">
                  <c:v>28.614900000000105</c:v>
                </c:pt>
                <c:pt idx="526">
                  <c:v>28.615000000000105</c:v>
                </c:pt>
                <c:pt idx="527">
                  <c:v>28.615100000000105</c:v>
                </c:pt>
                <c:pt idx="528">
                  <c:v>28.615200000000105</c:v>
                </c:pt>
                <c:pt idx="529">
                  <c:v>28.615300000000104</c:v>
                </c:pt>
                <c:pt idx="530">
                  <c:v>28.615400000000104</c:v>
                </c:pt>
                <c:pt idx="531">
                  <c:v>28.615500000000104</c:v>
                </c:pt>
                <c:pt idx="532">
                  <c:v>28.615600000000104</c:v>
                </c:pt>
                <c:pt idx="533">
                  <c:v>28.615700000000103</c:v>
                </c:pt>
                <c:pt idx="534">
                  <c:v>28.615800000000103</c:v>
                </c:pt>
                <c:pt idx="535">
                  <c:v>28.615900000000103</c:v>
                </c:pt>
                <c:pt idx="536">
                  <c:v>28.616000000000103</c:v>
                </c:pt>
                <c:pt idx="537">
                  <c:v>28.616100000000102</c:v>
                </c:pt>
                <c:pt idx="538">
                  <c:v>28.616200000000102</c:v>
                </c:pt>
                <c:pt idx="539">
                  <c:v>28.616300000000102</c:v>
                </c:pt>
                <c:pt idx="540">
                  <c:v>28.616400000000102</c:v>
                </c:pt>
                <c:pt idx="541">
                  <c:v>28.616500000000102</c:v>
                </c:pt>
                <c:pt idx="542">
                  <c:v>28.616600000000101</c:v>
                </c:pt>
                <c:pt idx="543">
                  <c:v>28.616700000000101</c:v>
                </c:pt>
                <c:pt idx="544">
                  <c:v>28.616800000000101</c:v>
                </c:pt>
                <c:pt idx="545">
                  <c:v>28.616900000000101</c:v>
                </c:pt>
                <c:pt idx="546">
                  <c:v>28.6170000000001</c:v>
                </c:pt>
                <c:pt idx="547">
                  <c:v>28.6171000000001</c:v>
                </c:pt>
                <c:pt idx="548">
                  <c:v>28.6172000000001</c:v>
                </c:pt>
                <c:pt idx="549">
                  <c:v>28.6173000000001</c:v>
                </c:pt>
                <c:pt idx="550">
                  <c:v>28.617400000000099</c:v>
                </c:pt>
                <c:pt idx="551">
                  <c:v>28.617500000000099</c:v>
                </c:pt>
                <c:pt idx="552">
                  <c:v>28.617600000000099</c:v>
                </c:pt>
                <c:pt idx="553">
                  <c:v>28.617700000000099</c:v>
                </c:pt>
                <c:pt idx="554">
                  <c:v>28.617800000000098</c:v>
                </c:pt>
                <c:pt idx="555">
                  <c:v>28.617900000000098</c:v>
                </c:pt>
                <c:pt idx="556">
                  <c:v>28.618000000000098</c:v>
                </c:pt>
                <c:pt idx="557">
                  <c:v>28.618100000000098</c:v>
                </c:pt>
                <c:pt idx="558">
                  <c:v>28.618200000000098</c:v>
                </c:pt>
                <c:pt idx="559">
                  <c:v>28.618300000000097</c:v>
                </c:pt>
                <c:pt idx="560">
                  <c:v>28.618400000000097</c:v>
                </c:pt>
                <c:pt idx="561">
                  <c:v>28.618500000000097</c:v>
                </c:pt>
                <c:pt idx="562">
                  <c:v>28.618600000000097</c:v>
                </c:pt>
                <c:pt idx="563">
                  <c:v>28.618700000000096</c:v>
                </c:pt>
                <c:pt idx="564">
                  <c:v>28.618800000000096</c:v>
                </c:pt>
                <c:pt idx="565">
                  <c:v>28.618900000000096</c:v>
                </c:pt>
                <c:pt idx="566">
                  <c:v>28.619000000000096</c:v>
                </c:pt>
                <c:pt idx="567">
                  <c:v>28.619100000000095</c:v>
                </c:pt>
                <c:pt idx="568">
                  <c:v>28.619200000000095</c:v>
                </c:pt>
                <c:pt idx="569">
                  <c:v>28.619300000000095</c:v>
                </c:pt>
                <c:pt idx="570">
                  <c:v>28.619400000000095</c:v>
                </c:pt>
                <c:pt idx="571">
                  <c:v>28.619500000000095</c:v>
                </c:pt>
                <c:pt idx="572">
                  <c:v>28.619600000000094</c:v>
                </c:pt>
                <c:pt idx="573">
                  <c:v>28.619700000000094</c:v>
                </c:pt>
                <c:pt idx="574">
                  <c:v>28.619800000000094</c:v>
                </c:pt>
                <c:pt idx="575">
                  <c:v>28.619900000000094</c:v>
                </c:pt>
                <c:pt idx="576">
                  <c:v>28.620000000000093</c:v>
                </c:pt>
                <c:pt idx="577">
                  <c:v>28.620100000000093</c:v>
                </c:pt>
                <c:pt idx="578">
                  <c:v>28.620200000000093</c:v>
                </c:pt>
                <c:pt idx="579">
                  <c:v>28.620300000000093</c:v>
                </c:pt>
                <c:pt idx="580">
                  <c:v>28.620400000000092</c:v>
                </c:pt>
                <c:pt idx="581">
                  <c:v>28.620500000000092</c:v>
                </c:pt>
                <c:pt idx="582">
                  <c:v>28.620600000000092</c:v>
                </c:pt>
                <c:pt idx="583">
                  <c:v>28.620700000000092</c:v>
                </c:pt>
                <c:pt idx="584">
                  <c:v>28.620800000000092</c:v>
                </c:pt>
                <c:pt idx="585">
                  <c:v>28.620900000000091</c:v>
                </c:pt>
                <c:pt idx="586">
                  <c:v>28.621000000000091</c:v>
                </c:pt>
                <c:pt idx="587">
                  <c:v>28.621100000000091</c:v>
                </c:pt>
                <c:pt idx="588">
                  <c:v>28.621200000000091</c:v>
                </c:pt>
                <c:pt idx="589">
                  <c:v>28.62130000000009</c:v>
                </c:pt>
                <c:pt idx="590">
                  <c:v>28.62140000000009</c:v>
                </c:pt>
                <c:pt idx="591">
                  <c:v>28.62150000000009</c:v>
                </c:pt>
                <c:pt idx="592">
                  <c:v>28.62160000000009</c:v>
                </c:pt>
                <c:pt idx="593">
                  <c:v>28.621700000000089</c:v>
                </c:pt>
                <c:pt idx="594">
                  <c:v>28.621800000000089</c:v>
                </c:pt>
                <c:pt idx="595">
                  <c:v>28.621900000000089</c:v>
                </c:pt>
                <c:pt idx="596">
                  <c:v>28.622000000000089</c:v>
                </c:pt>
                <c:pt idx="597">
                  <c:v>28.622100000000088</c:v>
                </c:pt>
                <c:pt idx="598">
                  <c:v>28.622200000000088</c:v>
                </c:pt>
                <c:pt idx="599">
                  <c:v>28.622300000000088</c:v>
                </c:pt>
                <c:pt idx="600">
                  <c:v>28.622400000000088</c:v>
                </c:pt>
                <c:pt idx="601">
                  <c:v>28.622500000000088</c:v>
                </c:pt>
                <c:pt idx="602">
                  <c:v>28.622600000000087</c:v>
                </c:pt>
                <c:pt idx="603">
                  <c:v>28.622700000000087</c:v>
                </c:pt>
                <c:pt idx="604">
                  <c:v>28.622800000000087</c:v>
                </c:pt>
                <c:pt idx="605">
                  <c:v>28.622900000000087</c:v>
                </c:pt>
                <c:pt idx="606">
                  <c:v>28.623000000000086</c:v>
                </c:pt>
                <c:pt idx="607">
                  <c:v>28.623100000000086</c:v>
                </c:pt>
                <c:pt idx="608">
                  <c:v>28.623200000000086</c:v>
                </c:pt>
                <c:pt idx="609">
                  <c:v>28.623300000000086</c:v>
                </c:pt>
                <c:pt idx="610">
                  <c:v>28.623400000000085</c:v>
                </c:pt>
                <c:pt idx="611">
                  <c:v>28.623500000000085</c:v>
                </c:pt>
                <c:pt idx="612">
                  <c:v>28.623600000000085</c:v>
                </c:pt>
                <c:pt idx="613">
                  <c:v>28.623700000000085</c:v>
                </c:pt>
                <c:pt idx="614">
                  <c:v>28.623800000000085</c:v>
                </c:pt>
                <c:pt idx="615">
                  <c:v>28.623900000000084</c:v>
                </c:pt>
                <c:pt idx="616">
                  <c:v>28.624000000000084</c:v>
                </c:pt>
                <c:pt idx="617">
                  <c:v>28.624100000000084</c:v>
                </c:pt>
                <c:pt idx="618">
                  <c:v>28.624200000000084</c:v>
                </c:pt>
                <c:pt idx="619">
                  <c:v>28.624300000000083</c:v>
                </c:pt>
                <c:pt idx="620">
                  <c:v>28.624400000000083</c:v>
                </c:pt>
                <c:pt idx="621">
                  <c:v>28.624500000000083</c:v>
                </c:pt>
                <c:pt idx="622">
                  <c:v>28.624600000000083</c:v>
                </c:pt>
                <c:pt idx="623">
                  <c:v>28.624700000000082</c:v>
                </c:pt>
                <c:pt idx="624">
                  <c:v>28.624800000000082</c:v>
                </c:pt>
                <c:pt idx="625">
                  <c:v>28.624900000000082</c:v>
                </c:pt>
                <c:pt idx="626">
                  <c:v>28.625000000000082</c:v>
                </c:pt>
                <c:pt idx="627">
                  <c:v>28.625100000000081</c:v>
                </c:pt>
                <c:pt idx="628">
                  <c:v>28.625200000000081</c:v>
                </c:pt>
                <c:pt idx="629">
                  <c:v>28.625300000000081</c:v>
                </c:pt>
                <c:pt idx="630">
                  <c:v>28.625400000000081</c:v>
                </c:pt>
                <c:pt idx="631">
                  <c:v>28.625500000000081</c:v>
                </c:pt>
                <c:pt idx="632">
                  <c:v>28.62560000000008</c:v>
                </c:pt>
                <c:pt idx="633">
                  <c:v>28.62570000000008</c:v>
                </c:pt>
                <c:pt idx="634">
                  <c:v>28.62580000000008</c:v>
                </c:pt>
                <c:pt idx="635">
                  <c:v>28.62590000000008</c:v>
                </c:pt>
                <c:pt idx="636">
                  <c:v>28.626000000000079</c:v>
                </c:pt>
                <c:pt idx="637">
                  <c:v>28.626100000000079</c:v>
                </c:pt>
                <c:pt idx="638">
                  <c:v>28.626200000000079</c:v>
                </c:pt>
                <c:pt idx="639">
                  <c:v>28.626300000000079</c:v>
                </c:pt>
                <c:pt idx="640">
                  <c:v>28.626400000000078</c:v>
                </c:pt>
                <c:pt idx="641">
                  <c:v>28.626500000000078</c:v>
                </c:pt>
                <c:pt idx="642">
                  <c:v>28.626600000000078</c:v>
                </c:pt>
                <c:pt idx="643">
                  <c:v>28.626700000000078</c:v>
                </c:pt>
                <c:pt idx="644">
                  <c:v>28.626800000000078</c:v>
                </c:pt>
                <c:pt idx="645">
                  <c:v>28.626900000000077</c:v>
                </c:pt>
                <c:pt idx="646">
                  <c:v>28.627000000000077</c:v>
                </c:pt>
                <c:pt idx="647">
                  <c:v>28.627100000000077</c:v>
                </c:pt>
                <c:pt idx="648">
                  <c:v>28.627200000000077</c:v>
                </c:pt>
                <c:pt idx="649">
                  <c:v>28.627300000000076</c:v>
                </c:pt>
                <c:pt idx="650">
                  <c:v>28.627400000000076</c:v>
                </c:pt>
                <c:pt idx="651">
                  <c:v>28.627500000000076</c:v>
                </c:pt>
                <c:pt idx="652">
                  <c:v>28.627600000000076</c:v>
                </c:pt>
                <c:pt idx="653">
                  <c:v>28.627700000000075</c:v>
                </c:pt>
                <c:pt idx="654">
                  <c:v>28.627800000000075</c:v>
                </c:pt>
                <c:pt idx="655">
                  <c:v>28.627900000000075</c:v>
                </c:pt>
                <c:pt idx="656">
                  <c:v>28.628000000000075</c:v>
                </c:pt>
                <c:pt idx="657">
                  <c:v>28.628100000000074</c:v>
                </c:pt>
                <c:pt idx="658">
                  <c:v>28.628200000000074</c:v>
                </c:pt>
                <c:pt idx="659">
                  <c:v>28.628300000000074</c:v>
                </c:pt>
                <c:pt idx="660">
                  <c:v>28.628400000000074</c:v>
                </c:pt>
                <c:pt idx="661">
                  <c:v>28.628500000000074</c:v>
                </c:pt>
                <c:pt idx="662">
                  <c:v>28.628600000000073</c:v>
                </c:pt>
                <c:pt idx="663">
                  <c:v>28.628700000000073</c:v>
                </c:pt>
                <c:pt idx="664">
                  <c:v>28.628800000000073</c:v>
                </c:pt>
                <c:pt idx="665">
                  <c:v>28.628900000000073</c:v>
                </c:pt>
                <c:pt idx="666">
                  <c:v>28.629000000000072</c:v>
                </c:pt>
                <c:pt idx="667">
                  <c:v>28.629100000000072</c:v>
                </c:pt>
                <c:pt idx="668">
                  <c:v>28.629200000000072</c:v>
                </c:pt>
                <c:pt idx="669">
                  <c:v>28.629300000000072</c:v>
                </c:pt>
                <c:pt idx="670">
                  <c:v>28.629400000000071</c:v>
                </c:pt>
                <c:pt idx="671">
                  <c:v>28.629500000000071</c:v>
                </c:pt>
                <c:pt idx="672">
                  <c:v>28.629600000000071</c:v>
                </c:pt>
                <c:pt idx="673">
                  <c:v>28.629700000000071</c:v>
                </c:pt>
                <c:pt idx="674">
                  <c:v>28.629800000000071</c:v>
                </c:pt>
                <c:pt idx="675">
                  <c:v>28.62990000000007</c:v>
                </c:pt>
                <c:pt idx="676">
                  <c:v>28.63000000000007</c:v>
                </c:pt>
                <c:pt idx="677">
                  <c:v>28.63010000000007</c:v>
                </c:pt>
                <c:pt idx="678">
                  <c:v>28.63020000000007</c:v>
                </c:pt>
                <c:pt idx="679">
                  <c:v>28.630300000000069</c:v>
                </c:pt>
                <c:pt idx="680">
                  <c:v>28.630400000000069</c:v>
                </c:pt>
                <c:pt idx="681">
                  <c:v>28.630500000000069</c:v>
                </c:pt>
                <c:pt idx="682">
                  <c:v>28.630600000000069</c:v>
                </c:pt>
                <c:pt idx="683">
                  <c:v>28.630700000000068</c:v>
                </c:pt>
                <c:pt idx="684">
                  <c:v>28.630800000000068</c:v>
                </c:pt>
                <c:pt idx="685">
                  <c:v>28.630900000000068</c:v>
                </c:pt>
                <c:pt idx="686">
                  <c:v>28.631000000000068</c:v>
                </c:pt>
                <c:pt idx="687">
                  <c:v>28.631100000000067</c:v>
                </c:pt>
                <c:pt idx="688">
                  <c:v>28.631200000000067</c:v>
                </c:pt>
                <c:pt idx="689">
                  <c:v>28.631300000000067</c:v>
                </c:pt>
                <c:pt idx="690">
                  <c:v>28.631400000000067</c:v>
                </c:pt>
                <c:pt idx="691">
                  <c:v>28.631500000000067</c:v>
                </c:pt>
                <c:pt idx="692">
                  <c:v>28.631600000000066</c:v>
                </c:pt>
                <c:pt idx="693">
                  <c:v>28.631700000000066</c:v>
                </c:pt>
                <c:pt idx="694">
                  <c:v>28.631800000000066</c:v>
                </c:pt>
                <c:pt idx="695">
                  <c:v>28.631900000000066</c:v>
                </c:pt>
                <c:pt idx="696">
                  <c:v>28.632000000000065</c:v>
                </c:pt>
                <c:pt idx="697">
                  <c:v>28.632100000000065</c:v>
                </c:pt>
                <c:pt idx="698">
                  <c:v>28.632200000000065</c:v>
                </c:pt>
                <c:pt idx="699">
                  <c:v>28.632300000000065</c:v>
                </c:pt>
                <c:pt idx="700">
                  <c:v>28.632400000000064</c:v>
                </c:pt>
                <c:pt idx="701">
                  <c:v>28.632500000000064</c:v>
                </c:pt>
                <c:pt idx="702">
                  <c:v>28.632600000000064</c:v>
                </c:pt>
                <c:pt idx="703">
                  <c:v>28.632700000000064</c:v>
                </c:pt>
                <c:pt idx="704">
                  <c:v>28.632800000000064</c:v>
                </c:pt>
                <c:pt idx="705">
                  <c:v>28.632900000000063</c:v>
                </c:pt>
                <c:pt idx="706">
                  <c:v>28.633000000000063</c:v>
                </c:pt>
                <c:pt idx="707">
                  <c:v>28.633100000000063</c:v>
                </c:pt>
                <c:pt idx="708">
                  <c:v>28.633200000000063</c:v>
                </c:pt>
                <c:pt idx="709">
                  <c:v>28.633300000000062</c:v>
                </c:pt>
                <c:pt idx="710">
                  <c:v>28.633400000000062</c:v>
                </c:pt>
                <c:pt idx="711">
                  <c:v>28.633500000000062</c:v>
                </c:pt>
                <c:pt idx="712">
                  <c:v>28.633600000000062</c:v>
                </c:pt>
                <c:pt idx="713">
                  <c:v>28.633700000000061</c:v>
                </c:pt>
                <c:pt idx="714">
                  <c:v>28.633800000000061</c:v>
                </c:pt>
                <c:pt idx="715">
                  <c:v>28.633900000000061</c:v>
                </c:pt>
                <c:pt idx="716">
                  <c:v>28.634000000000061</c:v>
                </c:pt>
                <c:pt idx="717">
                  <c:v>28.634100000000061</c:v>
                </c:pt>
                <c:pt idx="718">
                  <c:v>28.63420000000006</c:v>
                </c:pt>
                <c:pt idx="719">
                  <c:v>28.63430000000006</c:v>
                </c:pt>
                <c:pt idx="720">
                  <c:v>28.63440000000006</c:v>
                </c:pt>
                <c:pt idx="721">
                  <c:v>28.63450000000006</c:v>
                </c:pt>
                <c:pt idx="722">
                  <c:v>28.634600000000059</c:v>
                </c:pt>
                <c:pt idx="723">
                  <c:v>28.634700000000059</c:v>
                </c:pt>
                <c:pt idx="724">
                  <c:v>28.634800000000059</c:v>
                </c:pt>
                <c:pt idx="725">
                  <c:v>28.634900000000059</c:v>
                </c:pt>
                <c:pt idx="726">
                  <c:v>28.635000000000058</c:v>
                </c:pt>
                <c:pt idx="727">
                  <c:v>28.635100000000058</c:v>
                </c:pt>
                <c:pt idx="728">
                  <c:v>28.635200000000058</c:v>
                </c:pt>
                <c:pt idx="729">
                  <c:v>28.635300000000058</c:v>
                </c:pt>
                <c:pt idx="730">
                  <c:v>28.635400000000057</c:v>
                </c:pt>
                <c:pt idx="731">
                  <c:v>28.635500000000057</c:v>
                </c:pt>
                <c:pt idx="732">
                  <c:v>28.635600000000057</c:v>
                </c:pt>
                <c:pt idx="733">
                  <c:v>28.635700000000057</c:v>
                </c:pt>
                <c:pt idx="734">
                  <c:v>28.635800000000057</c:v>
                </c:pt>
                <c:pt idx="735">
                  <c:v>28.635900000000056</c:v>
                </c:pt>
                <c:pt idx="736">
                  <c:v>28.636000000000056</c:v>
                </c:pt>
                <c:pt idx="737">
                  <c:v>28.636100000000056</c:v>
                </c:pt>
                <c:pt idx="738">
                  <c:v>28.636200000000056</c:v>
                </c:pt>
                <c:pt idx="739">
                  <c:v>28.636300000000055</c:v>
                </c:pt>
                <c:pt idx="740">
                  <c:v>28.636400000000055</c:v>
                </c:pt>
                <c:pt idx="741">
                  <c:v>28.636500000000055</c:v>
                </c:pt>
                <c:pt idx="742">
                  <c:v>28.636600000000055</c:v>
                </c:pt>
                <c:pt idx="743">
                  <c:v>28.636700000000054</c:v>
                </c:pt>
                <c:pt idx="744">
                  <c:v>28.636800000000054</c:v>
                </c:pt>
                <c:pt idx="745">
                  <c:v>28.636900000000054</c:v>
                </c:pt>
                <c:pt idx="746">
                  <c:v>28.637000000000054</c:v>
                </c:pt>
                <c:pt idx="747">
                  <c:v>28.637100000000054</c:v>
                </c:pt>
                <c:pt idx="748">
                  <c:v>28.637200000000053</c:v>
                </c:pt>
                <c:pt idx="749">
                  <c:v>28.637300000000053</c:v>
                </c:pt>
                <c:pt idx="750">
                  <c:v>28.637400000000053</c:v>
                </c:pt>
                <c:pt idx="751">
                  <c:v>28.637500000000053</c:v>
                </c:pt>
                <c:pt idx="752">
                  <c:v>28.637600000000052</c:v>
                </c:pt>
                <c:pt idx="753">
                  <c:v>28.637700000000052</c:v>
                </c:pt>
                <c:pt idx="754">
                  <c:v>28.637800000000052</c:v>
                </c:pt>
                <c:pt idx="755">
                  <c:v>28.637900000000052</c:v>
                </c:pt>
                <c:pt idx="756">
                  <c:v>28.638000000000051</c:v>
                </c:pt>
                <c:pt idx="757">
                  <c:v>28.638100000000051</c:v>
                </c:pt>
                <c:pt idx="758">
                  <c:v>28.638200000000051</c:v>
                </c:pt>
                <c:pt idx="759">
                  <c:v>28.638300000000051</c:v>
                </c:pt>
                <c:pt idx="760">
                  <c:v>28.63840000000005</c:v>
                </c:pt>
                <c:pt idx="761">
                  <c:v>28.63850000000005</c:v>
                </c:pt>
                <c:pt idx="762">
                  <c:v>28.63860000000005</c:v>
                </c:pt>
                <c:pt idx="763">
                  <c:v>28.63870000000005</c:v>
                </c:pt>
                <c:pt idx="764">
                  <c:v>28.63880000000005</c:v>
                </c:pt>
                <c:pt idx="765">
                  <c:v>28.638900000000049</c:v>
                </c:pt>
                <c:pt idx="766">
                  <c:v>28.639000000000049</c:v>
                </c:pt>
                <c:pt idx="767">
                  <c:v>28.639100000000049</c:v>
                </c:pt>
                <c:pt idx="768">
                  <c:v>28.639200000000049</c:v>
                </c:pt>
                <c:pt idx="769">
                  <c:v>28.639300000000048</c:v>
                </c:pt>
                <c:pt idx="770">
                  <c:v>28.639400000000048</c:v>
                </c:pt>
                <c:pt idx="771">
                  <c:v>28.639500000000048</c:v>
                </c:pt>
                <c:pt idx="772">
                  <c:v>28.639600000000048</c:v>
                </c:pt>
                <c:pt idx="773">
                  <c:v>28.639700000000047</c:v>
                </c:pt>
                <c:pt idx="774">
                  <c:v>28.639800000000047</c:v>
                </c:pt>
                <c:pt idx="775">
                  <c:v>28.639900000000047</c:v>
                </c:pt>
                <c:pt idx="776">
                  <c:v>28.640000000000047</c:v>
                </c:pt>
                <c:pt idx="777">
                  <c:v>28.640100000000047</c:v>
                </c:pt>
                <c:pt idx="778">
                  <c:v>28.640200000000046</c:v>
                </c:pt>
                <c:pt idx="779">
                  <c:v>28.640300000000046</c:v>
                </c:pt>
                <c:pt idx="780">
                  <c:v>28.640400000000046</c:v>
                </c:pt>
                <c:pt idx="781">
                  <c:v>28.640500000000046</c:v>
                </c:pt>
                <c:pt idx="782">
                  <c:v>28.640600000000045</c:v>
                </c:pt>
                <c:pt idx="783">
                  <c:v>28.640700000000045</c:v>
                </c:pt>
                <c:pt idx="784">
                  <c:v>28.640800000000045</c:v>
                </c:pt>
                <c:pt idx="785">
                  <c:v>28.640900000000045</c:v>
                </c:pt>
                <c:pt idx="786">
                  <c:v>28.641000000000044</c:v>
                </c:pt>
                <c:pt idx="787">
                  <c:v>28.641100000000044</c:v>
                </c:pt>
                <c:pt idx="788">
                  <c:v>28.641200000000044</c:v>
                </c:pt>
                <c:pt idx="789">
                  <c:v>28.641300000000044</c:v>
                </c:pt>
                <c:pt idx="790">
                  <c:v>28.641400000000043</c:v>
                </c:pt>
                <c:pt idx="791">
                  <c:v>28.641500000000043</c:v>
                </c:pt>
                <c:pt idx="792">
                  <c:v>28.641600000000043</c:v>
                </c:pt>
                <c:pt idx="793">
                  <c:v>28.641700000000043</c:v>
                </c:pt>
                <c:pt idx="794">
                  <c:v>28.641800000000043</c:v>
                </c:pt>
                <c:pt idx="795">
                  <c:v>28.641900000000042</c:v>
                </c:pt>
                <c:pt idx="796">
                  <c:v>28.642000000000042</c:v>
                </c:pt>
                <c:pt idx="797">
                  <c:v>28.642100000000042</c:v>
                </c:pt>
                <c:pt idx="798">
                  <c:v>28.642200000000042</c:v>
                </c:pt>
                <c:pt idx="799">
                  <c:v>28.642300000000041</c:v>
                </c:pt>
                <c:pt idx="800">
                  <c:v>28.642400000000041</c:v>
                </c:pt>
                <c:pt idx="801">
                  <c:v>28.642500000000041</c:v>
                </c:pt>
                <c:pt idx="802">
                  <c:v>28.642600000000041</c:v>
                </c:pt>
                <c:pt idx="803">
                  <c:v>28.64270000000004</c:v>
                </c:pt>
                <c:pt idx="804">
                  <c:v>28.64280000000004</c:v>
                </c:pt>
                <c:pt idx="805">
                  <c:v>28.64290000000004</c:v>
                </c:pt>
                <c:pt idx="806">
                  <c:v>28.64300000000004</c:v>
                </c:pt>
                <c:pt idx="807">
                  <c:v>28.64310000000004</c:v>
                </c:pt>
                <c:pt idx="808">
                  <c:v>28.643200000000039</c:v>
                </c:pt>
                <c:pt idx="809">
                  <c:v>28.643300000000039</c:v>
                </c:pt>
                <c:pt idx="810">
                  <c:v>28.643400000000039</c:v>
                </c:pt>
                <c:pt idx="811">
                  <c:v>28.643500000000039</c:v>
                </c:pt>
                <c:pt idx="812">
                  <c:v>28.643600000000038</c:v>
                </c:pt>
                <c:pt idx="813">
                  <c:v>28.643700000000038</c:v>
                </c:pt>
                <c:pt idx="814">
                  <c:v>28.643800000000038</c:v>
                </c:pt>
                <c:pt idx="815">
                  <c:v>28.643900000000038</c:v>
                </c:pt>
                <c:pt idx="816">
                  <c:v>28.644000000000037</c:v>
                </c:pt>
                <c:pt idx="817">
                  <c:v>28.644100000000037</c:v>
                </c:pt>
                <c:pt idx="818">
                  <c:v>28.644200000000037</c:v>
                </c:pt>
                <c:pt idx="819">
                  <c:v>28.644300000000037</c:v>
                </c:pt>
                <c:pt idx="820">
                  <c:v>28.644400000000036</c:v>
                </c:pt>
                <c:pt idx="821">
                  <c:v>28.644500000000036</c:v>
                </c:pt>
                <c:pt idx="822">
                  <c:v>28.644600000000036</c:v>
                </c:pt>
                <c:pt idx="823">
                  <c:v>28.644700000000036</c:v>
                </c:pt>
                <c:pt idx="824">
                  <c:v>28.644800000000036</c:v>
                </c:pt>
                <c:pt idx="825">
                  <c:v>28.644900000000035</c:v>
                </c:pt>
                <c:pt idx="826">
                  <c:v>28.645000000000035</c:v>
                </c:pt>
                <c:pt idx="827">
                  <c:v>28.645100000000035</c:v>
                </c:pt>
                <c:pt idx="828">
                  <c:v>28.645200000000035</c:v>
                </c:pt>
                <c:pt idx="829">
                  <c:v>28.645300000000034</c:v>
                </c:pt>
                <c:pt idx="830">
                  <c:v>28.645400000000034</c:v>
                </c:pt>
                <c:pt idx="831">
                  <c:v>28.645500000000034</c:v>
                </c:pt>
                <c:pt idx="832">
                  <c:v>28.645600000000034</c:v>
                </c:pt>
                <c:pt idx="833">
                  <c:v>28.645700000000033</c:v>
                </c:pt>
                <c:pt idx="834">
                  <c:v>28.645800000000033</c:v>
                </c:pt>
                <c:pt idx="835">
                  <c:v>28.645900000000033</c:v>
                </c:pt>
                <c:pt idx="836">
                  <c:v>28.646000000000033</c:v>
                </c:pt>
                <c:pt idx="837">
                  <c:v>28.646100000000033</c:v>
                </c:pt>
                <c:pt idx="838">
                  <c:v>28.646200000000032</c:v>
                </c:pt>
                <c:pt idx="839">
                  <c:v>28.646300000000032</c:v>
                </c:pt>
                <c:pt idx="840">
                  <c:v>28.646400000000032</c:v>
                </c:pt>
                <c:pt idx="841">
                  <c:v>28.646500000000032</c:v>
                </c:pt>
                <c:pt idx="842">
                  <c:v>28.646600000000031</c:v>
                </c:pt>
                <c:pt idx="843">
                  <c:v>28.646700000000031</c:v>
                </c:pt>
                <c:pt idx="844">
                  <c:v>28.646800000000031</c:v>
                </c:pt>
                <c:pt idx="845">
                  <c:v>28.646900000000031</c:v>
                </c:pt>
                <c:pt idx="846">
                  <c:v>28.64700000000003</c:v>
                </c:pt>
                <c:pt idx="847">
                  <c:v>28.64710000000003</c:v>
                </c:pt>
                <c:pt idx="848">
                  <c:v>28.64720000000003</c:v>
                </c:pt>
                <c:pt idx="849">
                  <c:v>28.64730000000003</c:v>
                </c:pt>
                <c:pt idx="850">
                  <c:v>28.64740000000003</c:v>
                </c:pt>
                <c:pt idx="851">
                  <c:v>28.647500000000029</c:v>
                </c:pt>
                <c:pt idx="852">
                  <c:v>28.647600000000029</c:v>
                </c:pt>
                <c:pt idx="853">
                  <c:v>28.647700000000029</c:v>
                </c:pt>
                <c:pt idx="854">
                  <c:v>28.647800000000029</c:v>
                </c:pt>
                <c:pt idx="855">
                  <c:v>28.647900000000028</c:v>
                </c:pt>
                <c:pt idx="856">
                  <c:v>28.648000000000028</c:v>
                </c:pt>
                <c:pt idx="857">
                  <c:v>28.648100000000028</c:v>
                </c:pt>
                <c:pt idx="858">
                  <c:v>28.648200000000028</c:v>
                </c:pt>
                <c:pt idx="859">
                  <c:v>28.648300000000027</c:v>
                </c:pt>
                <c:pt idx="860">
                  <c:v>28.648400000000027</c:v>
                </c:pt>
                <c:pt idx="861">
                  <c:v>28.648500000000027</c:v>
                </c:pt>
                <c:pt idx="862">
                  <c:v>28.648600000000027</c:v>
                </c:pt>
                <c:pt idx="863">
                  <c:v>28.648700000000026</c:v>
                </c:pt>
                <c:pt idx="864">
                  <c:v>28.648800000000026</c:v>
                </c:pt>
                <c:pt idx="865">
                  <c:v>28.648900000000026</c:v>
                </c:pt>
                <c:pt idx="866">
                  <c:v>28.649000000000026</c:v>
                </c:pt>
                <c:pt idx="867">
                  <c:v>28.649100000000026</c:v>
                </c:pt>
                <c:pt idx="868">
                  <c:v>28.649200000000025</c:v>
                </c:pt>
                <c:pt idx="869">
                  <c:v>28.649300000000025</c:v>
                </c:pt>
                <c:pt idx="870">
                  <c:v>28.649400000000025</c:v>
                </c:pt>
                <c:pt idx="871">
                  <c:v>28.649500000000025</c:v>
                </c:pt>
                <c:pt idx="872">
                  <c:v>28.649600000000024</c:v>
                </c:pt>
                <c:pt idx="873">
                  <c:v>28.649700000000024</c:v>
                </c:pt>
                <c:pt idx="874">
                  <c:v>28.649800000000024</c:v>
                </c:pt>
                <c:pt idx="875">
                  <c:v>28.649900000000024</c:v>
                </c:pt>
                <c:pt idx="876">
                  <c:v>28.650000000000023</c:v>
                </c:pt>
                <c:pt idx="877">
                  <c:v>28.650100000000023</c:v>
                </c:pt>
                <c:pt idx="878">
                  <c:v>28.650200000000023</c:v>
                </c:pt>
                <c:pt idx="879">
                  <c:v>28.650300000000023</c:v>
                </c:pt>
                <c:pt idx="880">
                  <c:v>28.650400000000023</c:v>
                </c:pt>
                <c:pt idx="881">
                  <c:v>28.650500000000022</c:v>
                </c:pt>
                <c:pt idx="882">
                  <c:v>28.650600000000022</c:v>
                </c:pt>
                <c:pt idx="883">
                  <c:v>28.650700000000022</c:v>
                </c:pt>
                <c:pt idx="884">
                  <c:v>28.650800000000022</c:v>
                </c:pt>
                <c:pt idx="885">
                  <c:v>28.650900000000021</c:v>
                </c:pt>
                <c:pt idx="886">
                  <c:v>28.651000000000021</c:v>
                </c:pt>
                <c:pt idx="887">
                  <c:v>28.651100000000021</c:v>
                </c:pt>
                <c:pt idx="888">
                  <c:v>28.651200000000021</c:v>
                </c:pt>
                <c:pt idx="889">
                  <c:v>28.65130000000002</c:v>
                </c:pt>
                <c:pt idx="890">
                  <c:v>28.65140000000002</c:v>
                </c:pt>
                <c:pt idx="891">
                  <c:v>28.65150000000002</c:v>
                </c:pt>
                <c:pt idx="892">
                  <c:v>28.65160000000002</c:v>
                </c:pt>
                <c:pt idx="893">
                  <c:v>28.651700000000019</c:v>
                </c:pt>
                <c:pt idx="894">
                  <c:v>28.651800000000019</c:v>
                </c:pt>
                <c:pt idx="895">
                  <c:v>28.651900000000019</c:v>
                </c:pt>
                <c:pt idx="896">
                  <c:v>28.652000000000019</c:v>
                </c:pt>
                <c:pt idx="897">
                  <c:v>28.652100000000019</c:v>
                </c:pt>
                <c:pt idx="898">
                  <c:v>28.652200000000018</c:v>
                </c:pt>
                <c:pt idx="899">
                  <c:v>28.652300000000018</c:v>
                </c:pt>
                <c:pt idx="900">
                  <c:v>28.652400000000018</c:v>
                </c:pt>
                <c:pt idx="901">
                  <c:v>28.652500000000018</c:v>
                </c:pt>
                <c:pt idx="902">
                  <c:v>28.652600000000017</c:v>
                </c:pt>
                <c:pt idx="903">
                  <c:v>28.652700000000017</c:v>
                </c:pt>
                <c:pt idx="904">
                  <c:v>28.652800000000017</c:v>
                </c:pt>
                <c:pt idx="905">
                  <c:v>28.652900000000017</c:v>
                </c:pt>
                <c:pt idx="906">
                  <c:v>28.653000000000016</c:v>
                </c:pt>
                <c:pt idx="907">
                  <c:v>28.653100000000016</c:v>
                </c:pt>
                <c:pt idx="908">
                  <c:v>28.653200000000016</c:v>
                </c:pt>
                <c:pt idx="909">
                  <c:v>28.653300000000016</c:v>
                </c:pt>
                <c:pt idx="910">
                  <c:v>28.653400000000016</c:v>
                </c:pt>
                <c:pt idx="911">
                  <c:v>28.653500000000015</c:v>
                </c:pt>
                <c:pt idx="912">
                  <c:v>28.653600000000015</c:v>
                </c:pt>
                <c:pt idx="913">
                  <c:v>28.653700000000015</c:v>
                </c:pt>
                <c:pt idx="914">
                  <c:v>28.653800000000015</c:v>
                </c:pt>
                <c:pt idx="915">
                  <c:v>28.653900000000014</c:v>
                </c:pt>
                <c:pt idx="916">
                  <c:v>28.654000000000014</c:v>
                </c:pt>
                <c:pt idx="917">
                  <c:v>28.654100000000014</c:v>
                </c:pt>
                <c:pt idx="918">
                  <c:v>28.654200000000014</c:v>
                </c:pt>
                <c:pt idx="919">
                  <c:v>28.654300000000013</c:v>
                </c:pt>
                <c:pt idx="920">
                  <c:v>28.654400000000013</c:v>
                </c:pt>
                <c:pt idx="921">
                  <c:v>28.654500000000013</c:v>
                </c:pt>
                <c:pt idx="922">
                  <c:v>28.654600000000013</c:v>
                </c:pt>
                <c:pt idx="923">
                  <c:v>28.654700000000012</c:v>
                </c:pt>
                <c:pt idx="924">
                  <c:v>28.654800000000012</c:v>
                </c:pt>
                <c:pt idx="925">
                  <c:v>28.654900000000012</c:v>
                </c:pt>
                <c:pt idx="926">
                  <c:v>28.655000000000012</c:v>
                </c:pt>
                <c:pt idx="927">
                  <c:v>28.655100000000012</c:v>
                </c:pt>
                <c:pt idx="928">
                  <c:v>28.655200000000011</c:v>
                </c:pt>
                <c:pt idx="929">
                  <c:v>28.655300000000011</c:v>
                </c:pt>
                <c:pt idx="930">
                  <c:v>28.655400000000011</c:v>
                </c:pt>
                <c:pt idx="931">
                  <c:v>28.655500000000011</c:v>
                </c:pt>
                <c:pt idx="932">
                  <c:v>28.65560000000001</c:v>
                </c:pt>
                <c:pt idx="933">
                  <c:v>28.65570000000001</c:v>
                </c:pt>
                <c:pt idx="934">
                  <c:v>28.65580000000001</c:v>
                </c:pt>
                <c:pt idx="935">
                  <c:v>28.65590000000001</c:v>
                </c:pt>
                <c:pt idx="936">
                  <c:v>28.656000000000009</c:v>
                </c:pt>
                <c:pt idx="937">
                  <c:v>28.656100000000009</c:v>
                </c:pt>
                <c:pt idx="938">
                  <c:v>28.656200000000009</c:v>
                </c:pt>
                <c:pt idx="939">
                  <c:v>28.656300000000009</c:v>
                </c:pt>
                <c:pt idx="940">
                  <c:v>28.656400000000009</c:v>
                </c:pt>
                <c:pt idx="941">
                  <c:v>28.656500000000008</c:v>
                </c:pt>
                <c:pt idx="942">
                  <c:v>28.656600000000008</c:v>
                </c:pt>
                <c:pt idx="943">
                  <c:v>28.656700000000008</c:v>
                </c:pt>
                <c:pt idx="944">
                  <c:v>28.656800000000008</c:v>
                </c:pt>
                <c:pt idx="945">
                  <c:v>28.656900000000007</c:v>
                </c:pt>
                <c:pt idx="946">
                  <c:v>28.657000000000007</c:v>
                </c:pt>
                <c:pt idx="947">
                  <c:v>28.657100000000007</c:v>
                </c:pt>
                <c:pt idx="948">
                  <c:v>28.657200000000007</c:v>
                </c:pt>
                <c:pt idx="949">
                  <c:v>28.657300000000006</c:v>
                </c:pt>
                <c:pt idx="950">
                  <c:v>28.657400000000006</c:v>
                </c:pt>
                <c:pt idx="951">
                  <c:v>28.657500000000006</c:v>
                </c:pt>
                <c:pt idx="952">
                  <c:v>28.657600000000006</c:v>
                </c:pt>
                <c:pt idx="953">
                  <c:v>28.657700000000006</c:v>
                </c:pt>
                <c:pt idx="954">
                  <c:v>28.657800000000005</c:v>
                </c:pt>
                <c:pt idx="955">
                  <c:v>28.657900000000005</c:v>
                </c:pt>
                <c:pt idx="956">
                  <c:v>28.658000000000005</c:v>
                </c:pt>
                <c:pt idx="957">
                  <c:v>28.658100000000005</c:v>
                </c:pt>
                <c:pt idx="958">
                  <c:v>28.658200000000004</c:v>
                </c:pt>
                <c:pt idx="959">
                  <c:v>28.658300000000004</c:v>
                </c:pt>
                <c:pt idx="960">
                  <c:v>28.658400000000004</c:v>
                </c:pt>
                <c:pt idx="961">
                  <c:v>28.658500000000004</c:v>
                </c:pt>
                <c:pt idx="962">
                  <c:v>28.658600000000003</c:v>
                </c:pt>
                <c:pt idx="963">
                  <c:v>28.658700000000003</c:v>
                </c:pt>
                <c:pt idx="964">
                  <c:v>28.658800000000003</c:v>
                </c:pt>
                <c:pt idx="965">
                  <c:v>28.658900000000003</c:v>
                </c:pt>
                <c:pt idx="966">
                  <c:v>28.659000000000002</c:v>
                </c:pt>
                <c:pt idx="967">
                  <c:v>28.659100000000002</c:v>
                </c:pt>
                <c:pt idx="968">
                  <c:v>28.659200000000002</c:v>
                </c:pt>
                <c:pt idx="969">
                  <c:v>28.659300000000002</c:v>
                </c:pt>
                <c:pt idx="970">
                  <c:v>28.659400000000002</c:v>
                </c:pt>
                <c:pt idx="971">
                  <c:v>28.659500000000001</c:v>
                </c:pt>
                <c:pt idx="972">
                  <c:v>28.659600000000001</c:v>
                </c:pt>
                <c:pt idx="973">
                  <c:v>28.659700000000001</c:v>
                </c:pt>
                <c:pt idx="974">
                  <c:v>28.659800000000001</c:v>
                </c:pt>
                <c:pt idx="975">
                  <c:v>28.6599</c:v>
                </c:pt>
                <c:pt idx="976">
                  <c:v>28.66</c:v>
                </c:pt>
                <c:pt idx="977">
                  <c:v>28.6601</c:v>
                </c:pt>
                <c:pt idx="978">
                  <c:v>28.6602</c:v>
                </c:pt>
                <c:pt idx="979">
                  <c:v>28.660299999999999</c:v>
                </c:pt>
                <c:pt idx="980">
                  <c:v>28.660399999999999</c:v>
                </c:pt>
                <c:pt idx="981">
                  <c:v>28.660499999999999</c:v>
                </c:pt>
                <c:pt idx="982">
                  <c:v>28.660599999999999</c:v>
                </c:pt>
                <c:pt idx="983">
                  <c:v>28.660699999999999</c:v>
                </c:pt>
                <c:pt idx="984">
                  <c:v>28.660799999999998</c:v>
                </c:pt>
                <c:pt idx="985">
                  <c:v>28.660899999999998</c:v>
                </c:pt>
                <c:pt idx="986">
                  <c:v>28.660999999999998</c:v>
                </c:pt>
                <c:pt idx="987">
                  <c:v>28.661099999999998</c:v>
                </c:pt>
                <c:pt idx="988">
                  <c:v>28.661199999999997</c:v>
                </c:pt>
                <c:pt idx="989">
                  <c:v>28.661299999999997</c:v>
                </c:pt>
                <c:pt idx="990">
                  <c:v>28.661399999999997</c:v>
                </c:pt>
                <c:pt idx="991">
                  <c:v>28.661499999999997</c:v>
                </c:pt>
                <c:pt idx="992">
                  <c:v>28.661599999999996</c:v>
                </c:pt>
                <c:pt idx="993">
                  <c:v>28.661699999999996</c:v>
                </c:pt>
                <c:pt idx="994">
                  <c:v>28.661799999999996</c:v>
                </c:pt>
                <c:pt idx="995">
                  <c:v>28.661899999999996</c:v>
                </c:pt>
                <c:pt idx="996">
                  <c:v>28.661999999999995</c:v>
                </c:pt>
                <c:pt idx="997">
                  <c:v>28.662099999999995</c:v>
                </c:pt>
                <c:pt idx="998">
                  <c:v>28.662199999999995</c:v>
                </c:pt>
                <c:pt idx="999">
                  <c:v>28.662299999999995</c:v>
                </c:pt>
                <c:pt idx="1000">
                  <c:v>28.662399999999995</c:v>
                </c:pt>
              </c:numCache>
            </c:numRef>
          </c:xVal>
          <c:yVal>
            <c:numRef>
              <c:f>Calculs!$I$4:$I$1004</c:f>
              <c:numCache>
                <c:formatCode>0.00</c:formatCode>
                <c:ptCount val="1001"/>
                <c:pt idx="0">
                  <c:v>154.77051376708334</c:v>
                </c:pt>
                <c:pt idx="1">
                  <c:v>154.46840292173408</c:v>
                </c:pt>
                <c:pt idx="2">
                  <c:v>154.16713706334804</c:v>
                </c:pt>
                <c:pt idx="3">
                  <c:v>153.86671201931438</c:v>
                </c:pt>
                <c:pt idx="4">
                  <c:v>153.56712364462416</c:v>
                </c:pt>
                <c:pt idx="5">
                  <c:v>153.26836782164241</c:v>
                </c:pt>
                <c:pt idx="6">
                  <c:v>152.9704404598823</c:v>
                </c:pt>
                <c:pt idx="7">
                  <c:v>152.67333749578148</c:v>
                </c:pt>
                <c:pt idx="8">
                  <c:v>152.37705489248097</c:v>
                </c:pt>
                <c:pt idx="9">
                  <c:v>152.08158863960571</c:v>
                </c:pt>
                <c:pt idx="10">
                  <c:v>151.78693475304794</c:v>
                </c:pt>
                <c:pt idx="11">
                  <c:v>151.49308701698075</c:v>
                </c:pt>
                <c:pt idx="12">
                  <c:v>151.20003929239624</c:v>
                </c:pt>
                <c:pt idx="13">
                  <c:v>150.90778777413439</c:v>
                </c:pt>
                <c:pt idx="14">
                  <c:v>150.6163286810343</c:v>
                </c:pt>
                <c:pt idx="15">
                  <c:v>150.32565825574437</c:v>
                </c:pt>
                <c:pt idx="16">
                  <c:v>150.03577276453444</c:v>
                </c:pt>
                <c:pt idx="17">
                  <c:v>149.74666849710974</c:v>
                </c:pt>
                <c:pt idx="18">
                  <c:v>149.4583417664266</c:v>
                </c:pt>
                <c:pt idx="19">
                  <c:v>149.17078890850991</c:v>
                </c:pt>
                <c:pt idx="20">
                  <c:v>148.88400628227217</c:v>
                </c:pt>
                <c:pt idx="21">
                  <c:v>148.59799139912775</c:v>
                </c:pt>
                <c:pt idx="22">
                  <c:v>148.31274176846193</c:v>
                </c:pt>
                <c:pt idx="23">
                  <c:v>148.02825376791992</c:v>
                </c:pt>
                <c:pt idx="24">
                  <c:v>147.74452379800422</c:v>
                </c:pt>
                <c:pt idx="25">
                  <c:v>147.46154828189455</c:v>
                </c:pt>
                <c:pt idx="26">
                  <c:v>147.1793236652691</c:v>
                </c:pt>
                <c:pt idx="27">
                  <c:v>146.89784641612763</c:v>
                </c:pt>
                <c:pt idx="28">
                  <c:v>146.61711302461649</c:v>
                </c:pt>
                <c:pt idx="29">
                  <c:v>146.33712000285482</c:v>
                </c:pt>
                <c:pt idx="30">
                  <c:v>146.05786388476278</c:v>
                </c:pt>
                <c:pt idx="31">
                  <c:v>145.77934122589124</c:v>
                </c:pt>
                <c:pt idx="32">
                  <c:v>145.50154860325318</c:v>
                </c:pt>
                <c:pt idx="33">
                  <c:v>145.22448261515649</c:v>
                </c:pt>
                <c:pt idx="34">
                  <c:v>144.94813988103849</c:v>
                </c:pt>
                <c:pt idx="35">
                  <c:v>144.67251704130206</c:v>
                </c:pt>
                <c:pt idx="36">
                  <c:v>144.39761075715307</c:v>
                </c:pt>
                <c:pt idx="37">
                  <c:v>144.12341771043961</c:v>
                </c:pt>
                <c:pt idx="38">
                  <c:v>143.84993460349253</c:v>
                </c:pt>
                <c:pt idx="39">
                  <c:v>143.57715815896742</c:v>
                </c:pt>
                <c:pt idx="40">
                  <c:v>143.30508511968836</c:v>
                </c:pt>
                <c:pt idx="41">
                  <c:v>143.03371224849286</c:v>
                </c:pt>
                <c:pt idx="42">
                  <c:v>142.76303632807827</c:v>
                </c:pt>
                <c:pt idx="43">
                  <c:v>142.49305416084957</c:v>
                </c:pt>
                <c:pt idx="44">
                  <c:v>142.22376256876893</c:v>
                </c:pt>
                <c:pt idx="45">
                  <c:v>141.95515839320609</c:v>
                </c:pt>
                <c:pt idx="46">
                  <c:v>141.68723849479051</c:v>
                </c:pt>
                <c:pt idx="47">
                  <c:v>141.41999975326488</c:v>
                </c:pt>
                <c:pt idx="48">
                  <c:v>141.15343906733966</c:v>
                </c:pt>
                <c:pt idx="49">
                  <c:v>140.88755335454954</c:v>
                </c:pt>
                <c:pt idx="50">
                  <c:v>140.62233955111043</c:v>
                </c:pt>
                <c:pt idx="51">
                  <c:v>140.35779461177853</c:v>
                </c:pt>
                <c:pt idx="52">
                  <c:v>140.09391550971011</c:v>
                </c:pt>
                <c:pt idx="53">
                  <c:v>139.830699236323</c:v>
                </c:pt>
                <c:pt idx="54">
                  <c:v>139.5681428011589</c:v>
                </c:pt>
                <c:pt idx="55">
                  <c:v>139.30624323174746</c:v>
                </c:pt>
                <c:pt idx="56">
                  <c:v>139.04499757347111</c:v>
                </c:pt>
                <c:pt idx="57">
                  <c:v>138.78440288943145</c:v>
                </c:pt>
                <c:pt idx="58">
                  <c:v>138.5244562603167</c:v>
                </c:pt>
                <c:pt idx="59">
                  <c:v>138.26515478427041</c:v>
                </c:pt>
                <c:pt idx="60">
                  <c:v>138.00649557676127</c:v>
                </c:pt>
                <c:pt idx="61">
                  <c:v>137.74847577045421</c:v>
                </c:pt>
                <c:pt idx="62">
                  <c:v>137.4910925150825</c:v>
                </c:pt>
                <c:pt idx="63">
                  <c:v>137.23434297732129</c:v>
                </c:pt>
                <c:pt idx="64">
                  <c:v>136.97822434066191</c:v>
                </c:pt>
                <c:pt idx="65">
                  <c:v>136.72273380528765</c:v>
                </c:pt>
                <c:pt idx="66">
                  <c:v>136.46786858795033</c:v>
                </c:pt>
                <c:pt idx="67">
                  <c:v>136.21362592184829</c:v>
                </c:pt>
                <c:pt idx="68">
                  <c:v>135.96000305650517</c:v>
                </c:pt>
                <c:pt idx="69">
                  <c:v>135.70699725765007</c:v>
                </c:pt>
                <c:pt idx="70">
                  <c:v>135.45460580709843</c:v>
                </c:pt>
                <c:pt idx="71">
                  <c:v>135.20282600263442</c:v>
                </c:pt>
                <c:pt idx="72">
                  <c:v>134.95165515789378</c:v>
                </c:pt>
                <c:pt idx="73">
                  <c:v>134.70109060224846</c:v>
                </c:pt>
                <c:pt idx="74">
                  <c:v>134.45112968069134</c:v>
                </c:pt>
                <c:pt idx="75">
                  <c:v>134.20176975372294</c:v>
                </c:pt>
                <c:pt idx="76">
                  <c:v>133.95300819723849</c:v>
                </c:pt>
                <c:pt idx="77">
                  <c:v>133.70484240241615</c:v>
                </c:pt>
                <c:pt idx="78">
                  <c:v>133.45726977560628</c:v>
                </c:pt>
                <c:pt idx="79">
                  <c:v>133.21028773822167</c:v>
                </c:pt>
                <c:pt idx="80">
                  <c:v>132.9638937266287</c:v>
                </c:pt>
                <c:pt idx="81">
                  <c:v>132.71808519203941</c:v>
                </c:pt>
                <c:pt idx="82">
                  <c:v>132.47285960040469</c:v>
                </c:pt>
                <c:pt idx="83">
                  <c:v>132.22821443230814</c:v>
                </c:pt>
                <c:pt idx="84">
                  <c:v>131.98414718286114</c:v>
                </c:pt>
                <c:pt idx="85">
                  <c:v>131.74065536159858</c:v>
                </c:pt>
                <c:pt idx="86">
                  <c:v>131.49773649237571</c:v>
                </c:pt>
                <c:pt idx="87">
                  <c:v>131.2553881132657</c:v>
                </c:pt>
                <c:pt idx="88">
                  <c:v>131.01360777645823</c:v>
                </c:pt>
                <c:pt idx="89">
                  <c:v>130.7723930481589</c:v>
                </c:pt>
                <c:pt idx="90">
                  <c:v>130.53174150848952</c:v>
                </c:pt>
                <c:pt idx="91">
                  <c:v>130.29165075138928</c:v>
                </c:pt>
                <c:pt idx="92">
                  <c:v>130.05211838451672</c:v>
                </c:pt>
                <c:pt idx="93">
                  <c:v>129.81314202915252</c:v>
                </c:pt>
                <c:pt idx="94">
                  <c:v>129.57471932010333</c:v>
                </c:pt>
                <c:pt idx="95">
                  <c:v>129.33684790560625</c:v>
                </c:pt>
                <c:pt idx="96">
                  <c:v>129.09952544723399</c:v>
                </c:pt>
                <c:pt idx="97">
                  <c:v>128.86274961980124</c:v>
                </c:pt>
                <c:pt idx="98">
                  <c:v>128.62651811127148</c:v>
                </c:pt>
                <c:pt idx="99">
                  <c:v>128.3908286226648</c:v>
                </c:pt>
                <c:pt idx="100">
                  <c:v>128.15567886796637</c:v>
                </c:pt>
                <c:pt idx="101">
                  <c:v>125.80980423013818</c:v>
                </c:pt>
                <c:pt idx="102">
                  <c:v>123.51696959937479</c:v>
                </c:pt>
                <c:pt idx="103">
                  <c:v>121.27498643134054</c:v>
                </c:pt>
                <c:pt idx="104">
                  <c:v>119.08178581303441</c:v>
                </c:pt>
                <c:pt idx="105">
                  <c:v>116.93541046386251</c:v>
                </c:pt>
                <c:pt idx="106">
                  <c:v>114.83400738412485</c:v>
                </c:pt>
                <c:pt idx="107">
                  <c:v>112.77582109128012</c:v>
                </c:pt>
                <c:pt idx="108">
                  <c:v>110.75918739064065</c:v>
                </c:pt>
                <c:pt idx="109">
                  <c:v>108.78252763270653</c:v>
                </c:pt>
                <c:pt idx="110">
                  <c:v>106.84434341426928</c:v>
                </c:pt>
                <c:pt idx="111">
                  <c:v>104.94321168477863</c:v>
                </c:pt>
                <c:pt idx="112">
                  <c:v>103.07778022334534</c:v>
                </c:pt>
                <c:pt idx="113">
                  <c:v>101.2467634552047</c:v>
                </c:pt>
                <c:pt idx="114">
                  <c:v>99.448938579544887</c:v>
                </c:pt>
                <c:pt idx="115">
                  <c:v>97.683141983355398</c:v>
                </c:pt>
                <c:pt idx="116">
                  <c:v>95.948265918413355</c:v>
                </c:pt>
                <c:pt idx="117">
                  <c:v>94.243255420734172</c:v>
                </c:pt>
                <c:pt idx="118">
                  <c:v>92.567105453797694</c:v>
                </c:pt>
                <c:pt idx="119">
                  <c:v>90.918858258648143</c:v>
                </c:pt>
                <c:pt idx="120">
                  <c:v>89.297600895579208</c:v>
                </c:pt>
                <c:pt idx="121">
                  <c:v>87.702462963573609</c:v>
                </c:pt>
                <c:pt idx="122">
                  <c:v>86.132614484990185</c:v>
                </c:pt>
                <c:pt idx="123">
                  <c:v>84.587263944192884</c:v>
                </c:pt>
                <c:pt idx="124">
                  <c:v>83.065656469913023</c:v>
                </c:pt>
                <c:pt idx="125">
                  <c:v>81.567072152138991</c:v>
                </c:pt>
                <c:pt idx="126">
                  <c:v>80.090824485247339</c:v>
                </c:pt>
                <c:pt idx="127">
                  <c:v>78.636258929937725</c:v>
                </c:pt>
                <c:pt idx="128">
                  <c:v>77.202751587318986</c:v>
                </c:pt>
                <c:pt idx="129">
                  <c:v>75.789707979222712</c:v>
                </c:pt>
                <c:pt idx="130">
                  <c:v>74.396561929502923</c:v>
                </c:pt>
                <c:pt idx="131">
                  <c:v>73.02277454172139</c:v>
                </c:pt>
                <c:pt idx="132">
                  <c:v>71.667833269224232</c:v>
                </c:pt>
                <c:pt idx="133">
                  <c:v>70.331251074192679</c:v>
                </c:pt>
                <c:pt idx="134">
                  <c:v>69.012565672804797</c:v>
                </c:pt>
                <c:pt idx="135">
                  <c:v>67.711338864179936</c:v>
                </c:pt>
                <c:pt idx="136">
                  <c:v>66.427155941298679</c:v>
                </c:pt>
                <c:pt idx="137">
                  <c:v>65.159625182603349</c:v>
                </c:pt>
                <c:pt idx="138">
                  <c:v>63.908377423490293</c:v>
                </c:pt>
                <c:pt idx="139">
                  <c:v>62.673065707410025</c:v>
                </c:pt>
                <c:pt idx="140">
                  <c:v>61.453365016799964</c:v>
                </c:pt>
                <c:pt idx="141">
                  <c:v>60.248972084586704</c:v>
                </c:pt>
                <c:pt idx="142">
                  <c:v>59.059605287518288</c:v>
                </c:pt>
                <c:pt idx="143">
                  <c:v>57.885004623120587</c:v>
                </c:pt>
                <c:pt idx="144">
                  <c:v>56.724931772620735</c:v>
                </c:pt>
                <c:pt idx="145">
                  <c:v>55.579170252744326</c:v>
                </c:pt>
                <c:pt idx="146">
                  <c:v>54.447525659874067</c:v>
                </c:pt>
                <c:pt idx="147">
                  <c:v>53.329826010654507</c:v>
                </c:pt>
                <c:pt idx="148">
                  <c:v>52.225922183739037</c:v>
                </c:pt>
                <c:pt idx="149">
                  <c:v>51.135688467997916</c:v>
                </c:pt>
                <c:pt idx="150">
                  <c:v>50.059023223133224</c:v>
                </c:pt>
                <c:pt idx="151">
                  <c:v>48.995849659269204</c:v>
                </c:pt>
                <c:pt idx="152">
                  <c:v>47.9461167426904</c:v>
                </c:pt>
                <c:pt idx="153">
                  <c:v>46.9098002354662</c:v>
                </c:pt>
                <c:pt idx="154">
                  <c:v>45.886903877202954</c:v>
                </c:pt>
                <c:pt idx="155">
                  <c:v>44.877460717567743</c:v>
                </c:pt>
                <c:pt idx="156">
                  <c:v>43.881534608485673</c:v>
                </c:pt>
                <c:pt idx="157">
                  <c:v>42.899221864963806</c:v>
                </c:pt>
                <c:pt idx="158">
                  <c:v>41.930653103262024</c:v>
                </c:pt>
                <c:pt idx="159">
                  <c:v>40.975995264513806</c:v>
                </c:pt>
                <c:pt idx="160">
                  <c:v>40.035453830772177</c:v>
                </c:pt>
                <c:pt idx="161">
                  <c:v>39.109275238660288</c:v>
                </c:pt>
                <c:pt idx="162">
                  <c:v>38.197749493145288</c:v>
                </c:pt>
                <c:pt idx="163">
                  <c:v>37.301212980191067</c:v>
                </c:pt>
                <c:pt idx="164">
                  <c:v>36.420051471888634</c:v>
                </c:pt>
                <c:pt idx="165">
                  <c:v>35.554703310771124</c:v>
                </c:pt>
                <c:pt idx="166">
                  <c:v>34.705662750992921</c:v>
                </c:pt>
                <c:pt idx="167">
                  <c:v>33.873483422435207</c:v>
                </c:pt>
                <c:pt idx="168">
                  <c:v>33.058781869095256</c:v>
                </c:pt>
                <c:pt idx="169">
                  <c:v>32.262241094800828</c:v>
                </c:pt>
                <c:pt idx="170">
                  <c:v>31.484614026855393</c:v>
                </c:pt>
                <c:pt idx="171">
                  <c:v>30.726726781229331</c:v>
                </c:pt>
                <c:pt idx="172">
                  <c:v>29.989481581095514</c:v>
                </c:pt>
                <c:pt idx="173">
                  <c:v>29.273859143889094</c:v>
                </c:pt>
                <c:pt idx="174">
                  <c:v>28.580920311142524</c:v>
                </c:pt>
                <c:pt idx="175">
                  <c:v>27.911806651293933</c:v>
                </c:pt>
                <c:pt idx="176">
                  <c:v>27.267739720634804</c:v>
                </c:pt>
                <c:pt idx="177">
                  <c:v>26.650018624949428</c:v>
                </c:pt>
                <c:pt idx="178">
                  <c:v>26.060015489129416</c:v>
                </c:pt>
                <c:pt idx="179">
                  <c:v>25.499168420765553</c:v>
                </c:pt>
                <c:pt idx="180">
                  <c:v>24.968971554788375</c:v>
                </c:pt>
                <c:pt idx="181">
                  <c:v>24.470961799393159</c:v>
                </c:pt>
                <c:pt idx="182">
                  <c:v>24.006701979058139</c:v>
                </c:pt>
                <c:pt idx="183">
                  <c:v>23.577760197878561</c:v>
                </c:pt>
                <c:pt idx="184">
                  <c:v>23.185685432123794</c:v>
                </c:pt>
                <c:pt idx="185">
                  <c:v>22.831979605611323</c:v>
                </c:pt>
                <c:pt idx="186">
                  <c:v>22.518066697330031</c:v>
                </c:pt>
                <c:pt idx="187">
                  <c:v>22.245259758902858</c:v>
                </c:pt>
                <c:pt idx="188">
                  <c:v>22.014727049176425</c:v>
                </c:pt>
                <c:pt idx="189">
                  <c:v>21.827458783210535</c:v>
                </c:pt>
                <c:pt idx="190">
                  <c:v>21.684236196123429</c:v>
                </c:pt>
                <c:pt idx="191">
                  <c:v>21.585604693456549</c:v>
                </c:pt>
                <c:pt idx="192">
                  <c:v>21.531852765458051</c:v>
                </c:pt>
                <c:pt idx="193">
                  <c:v>21.522998070639805</c:v>
                </c:pt>
                <c:pt idx="194">
                  <c:v>21.558781659414013</c:v>
                </c:pt>
                <c:pt idx="195">
                  <c:v>21.638670755155236</c:v>
                </c:pt>
                <c:pt idx="196">
                  <c:v>21.761869903492514</c:v>
                </c:pt>
                <c:pt idx="197">
                  <c:v>21.92733971718576</c:v>
                </c:pt>
                <c:pt idx="198">
                  <c:v>22.133821955357554</c:v>
                </c:pt>
                <c:pt idx="199">
                  <c:v>22.379869335973339</c:v>
                </c:pt>
                <c:pt idx="200">
                  <c:v>22.663878316423023</c:v>
                </c:pt>
                <c:pt idx="201">
                  <c:v>22.984123087201485</c:v>
                </c:pt>
                <c:pt idx="202">
                  <c:v>23.338789181890885</c:v>
                </c:pt>
                <c:pt idx="203">
                  <c:v>23.726005370942463</c:v>
                </c:pt>
                <c:pt idx="204">
                  <c:v>24.143872829370313</c:v>
                </c:pt>
                <c:pt idx="205">
                  <c:v>24.590490904689759</c:v>
                </c:pt>
                <c:pt idx="206">
                  <c:v>25.063979125629604</c:v>
                </c:pt>
                <c:pt idx="207">
                  <c:v>25.562495360514923</c:v>
                </c:pt>
                <c:pt idx="208">
                  <c:v>26.084250244686054</c:v>
                </c:pt>
                <c:pt idx="209">
                  <c:v>26.627518146588582</c:v>
                </c:pt>
                <c:pt idx="210">
                  <c:v>27.190645036878308</c:v>
                </c:pt>
                <c:pt idx="211">
                  <c:v>27.77205367274188</c:v>
                </c:pt>
                <c:pt idx="212">
                  <c:v>28.37024652099727</c:v>
                </c:pt>
                <c:pt idx="213">
                  <c:v>28.983806828677647</c:v>
                </c:pt>
                <c:pt idx="214">
                  <c:v>29.611398217825649</c:v>
                </c:pt>
                <c:pt idx="215">
                  <c:v>30.251763139569562</c:v>
                </c:pt>
                <c:pt idx="216">
                  <c:v>30.903720476870088</c:v>
                </c:pt>
                <c:pt idx="217">
                  <c:v>31.566162539619079</c:v>
                </c:pt>
                <c:pt idx="218">
                  <c:v>32.238051652652281</c:v>
                </c:pt>
                <c:pt idx="219">
                  <c:v>32.918416498229199</c:v>
                </c:pt>
                <c:pt idx="220">
                  <c:v>33.606348340353193</c:v>
                </c:pt>
                <c:pt idx="221">
                  <c:v>34.300997229116405</c:v>
                </c:pt>
                <c:pt idx="222">
                  <c:v>35.001568258860544</c:v>
                </c:pt>
                <c:pt idx="223">
                  <c:v>35.707317933939244</c:v>
                </c:pt>
                <c:pt idx="224">
                  <c:v>36.417550679742426</c:v>
                </c:pt>
                <c:pt idx="225">
                  <c:v>37.131615523856006</c:v>
                </c:pt>
                <c:pt idx="226">
                  <c:v>37.848902962256545</c:v>
                </c:pt>
                <c:pt idx="227">
                  <c:v>38.5688420177948</c:v>
                </c:pt>
                <c:pt idx="228">
                  <c:v>39.290897492473135</c:v>
                </c:pt>
                <c:pt idx="229">
                  <c:v>40.014567410798485</c:v>
                </c:pt>
                <c:pt idx="230">
                  <c:v>40.739380648478459</c:v>
                </c:pt>
                <c:pt idx="231">
                  <c:v>41.464894738662572</c:v>
                </c:pt>
                <c:pt idx="232">
                  <c:v>42.190693846598293</c:v>
                </c:pt>
                <c:pt idx="233">
                  <c:v>42.916386902798671</c:v>
                </c:pt>
                <c:pt idx="234">
                  <c:v>43.641605884466095</c:v>
                </c:pt>
                <c:pt idx="235">
                  <c:v>44.36600423487463</c:v>
                </c:pt>
                <c:pt idx="236">
                  <c:v>45.089255410594859</c:v>
                </c:pt>
                <c:pt idx="237">
                  <c:v>45.811051546783283</c:v>
                </c:pt>
                <c:pt idx="238">
                  <c:v>46.531102231200997</c:v>
                </c:pt>
                <c:pt idx="239">
                  <c:v>47.249133378134779</c:v>
                </c:pt>
                <c:pt idx="240">
                  <c:v>47.964886193937424</c:v>
                </c:pt>
                <c:pt idx="241">
                  <c:v>48.678116226462656</c:v>
                </c:pt>
                <c:pt idx="242">
                  <c:v>49.388592491225779</c:v>
                </c:pt>
                <c:pt idx="243">
                  <c:v>50.096096667664796</c:v>
                </c:pt>
                <c:pt idx="244">
                  <c:v>50.800422359398532</c:v>
                </c:pt>
                <c:pt idx="245">
                  <c:v>51.501374412875322</c:v>
                </c:pt>
                <c:pt idx="246">
                  <c:v>52.198768289273097</c:v>
                </c:pt>
                <c:pt idx="247">
                  <c:v>52.892429484949453</c:v>
                </c:pt>
                <c:pt idx="248">
                  <c:v>53.582192996146738</c:v>
                </c:pt>
                <c:pt idx="249">
                  <c:v>54.267902824033762</c:v>
                </c:pt>
                <c:pt idx="250">
                  <c:v>54.949411516512789</c:v>
                </c:pt>
                <c:pt idx="251">
                  <c:v>55.626579743539331</c:v>
                </c:pt>
                <c:pt idx="252">
                  <c:v>56.299275902994793</c:v>
                </c:pt>
                <c:pt idx="253">
                  <c:v>56.967375754419457</c:v>
                </c:pt>
                <c:pt idx="254">
                  <c:v>57.630762078157659</c:v>
                </c:pt>
                <c:pt idx="255">
                  <c:v>58.28932435768985</c:v>
                </c:pt>
                <c:pt idx="256">
                  <c:v>58.942958483129054</c:v>
                </c:pt>
                <c:pt idx="257">
                  <c:v>59.591566474044278</c:v>
                </c:pt>
                <c:pt idx="258">
                  <c:v>60.235056219941164</c:v>
                </c:pt>
                <c:pt idx="259">
                  <c:v>60.873341236882972</c:v>
                </c:pt>
                <c:pt idx="260">
                  <c:v>61.506340438873998</c:v>
                </c:pt>
                <c:pt idx="261">
                  <c:v>62.133977922753225</c:v>
                </c:pt>
                <c:pt idx="262">
                  <c:v>62.75618276546075</c:v>
                </c:pt>
                <c:pt idx="263">
                  <c:v>63.372888832643348</c:v>
                </c:pt>
                <c:pt idx="264">
                  <c:v>63.984034597660084</c:v>
                </c:pt>
                <c:pt idx="265">
                  <c:v>64.589562970134224</c:v>
                </c:pt>
                <c:pt idx="266">
                  <c:v>65.18942113327607</c:v>
                </c:pt>
                <c:pt idx="267">
                  <c:v>65.783560389271372</c:v>
                </c:pt>
                <c:pt idx="268">
                  <c:v>66.37193601209465</c:v>
                </c:pt>
                <c:pt idx="269">
                  <c:v>66.954507107164872</c:v>
                </c:pt>
                <c:pt idx="270">
                  <c:v>67.531236477313556</c:v>
                </c:pt>
                <c:pt idx="271">
                  <c:v>68.10209049458426</c:v>
                </c:pt>
                <c:pt idx="272">
                  <c:v>68.667038977425008</c:v>
                </c:pt>
                <c:pt idx="273">
                  <c:v>69.22605507287615</c:v>
                </c:pt>
                <c:pt idx="274">
                  <c:v>69.779115143391095</c:v>
                </c:pt>
                <c:pt idx="275">
                  <c:v>70.3261986579611</c:v>
                </c:pt>
                <c:pt idx="276">
                  <c:v>70.867288087244432</c:v>
                </c:pt>
                <c:pt idx="277">
                  <c:v>71.402368802427745</c:v>
                </c:pt>
                <c:pt idx="278">
                  <c:v>71.931428977572111</c:v>
                </c:pt>
                <c:pt idx="279">
                  <c:v>72.454459495218273</c:v>
                </c:pt>
                <c:pt idx="280">
                  <c:v>72.971453855046491</c:v>
                </c:pt>
                <c:pt idx="281">
                  <c:v>73.482408085404359</c:v>
                </c:pt>
                <c:pt idx="282">
                  <c:v>73.987320657533488</c:v>
                </c:pt>
                <c:pt idx="283">
                  <c:v>74.486192402340521</c:v>
                </c:pt>
                <c:pt idx="284">
                  <c:v>74.97902642957223</c:v>
                </c:pt>
                <c:pt idx="285">
                  <c:v>75.465828049267273</c:v>
                </c:pt>
                <c:pt idx="286">
                  <c:v>75.94660469536818</c:v>
                </c:pt>
                <c:pt idx="287">
                  <c:v>76.421365851387819</c:v>
                </c:pt>
                <c:pt idx="288">
                  <c:v>76.890122978034213</c:v>
                </c:pt>
                <c:pt idx="289">
                  <c:v>77.352889442705802</c:v>
                </c:pt>
                <c:pt idx="290">
                  <c:v>77.809680450777293</c:v>
                </c:pt>
                <c:pt idx="291">
                  <c:v>78.260512978603074</c:v>
                </c:pt>
                <c:pt idx="292">
                  <c:v>78.705405708171995</c:v>
                </c:pt>
                <c:pt idx="293">
                  <c:v>79.144378963352224</c:v>
                </c:pt>
                <c:pt idx="294">
                  <c:v>79.577454647671402</c:v>
                </c:pt>
                <c:pt idx="295">
                  <c:v>80.004656183580664</c:v>
                </c:pt>
                <c:pt idx="296">
                  <c:v>80.426008453156342</c:v>
                </c:pt>
                <c:pt idx="297">
                  <c:v>80.841537740196671</c:v>
                </c:pt>
                <c:pt idx="298">
                  <c:v>81.251271673674168</c:v>
                </c:pt>
                <c:pt idx="299">
                  <c:v>81.655239172507734</c:v>
                </c:pt>
                <c:pt idx="300">
                  <c:v>82.053470391621033</c:v>
                </c:pt>
                <c:pt idx="301">
                  <c:v>82.445996669256559</c:v>
                </c:pt>
                <c:pt idx="302">
                  <c:v>82.832850475516594</c:v>
                </c:pt>
                <c:pt idx="303">
                  <c:v>83.214065362104819</c:v>
                </c:pt>
                <c:pt idx="304">
                  <c:v>83.589675913243696</c:v>
                </c:pt>
                <c:pt idx="305">
                  <c:v>83.95971769774448</c:v>
                </c:pt>
                <c:pt idx="306">
                  <c:v>84.324227222208222</c:v>
                </c:pt>
                <c:pt idx="307">
                  <c:v>84.68324188533721</c:v>
                </c:pt>
                <c:pt idx="308">
                  <c:v>85.036799933337662</c:v>
                </c:pt>
                <c:pt idx="309">
                  <c:v>85.384940416395054</c:v>
                </c:pt>
                <c:pt idx="310">
                  <c:v>85.727703146204931</c:v>
                </c:pt>
                <c:pt idx="311">
                  <c:v>86.065128654542036</c:v>
                </c:pt>
                <c:pt idx="312">
                  <c:v>86.39725815285199</c:v>
                </c:pt>
                <c:pt idx="313">
                  <c:v>86.724133492849759</c:v>
                </c:pt>
                <c:pt idx="314">
                  <c:v>87.045797128110109</c:v>
                </c:pt>
                <c:pt idx="315">
                  <c:v>87.362292076635086</c:v>
                </c:pt>
                <c:pt idx="316">
                  <c:v>87.673661884384629</c:v>
                </c:pt>
                <c:pt idx="317">
                  <c:v>87.979950589756115</c:v>
                </c:pt>
                <c:pt idx="318">
                  <c:v>88.281202688999073</c:v>
                </c:pt>
                <c:pt idx="319">
                  <c:v>88.577463102551931</c:v>
                </c:pt>
                <c:pt idx="320">
                  <c:v>88.868777142287016</c:v>
                </c:pt>
                <c:pt idx="321">
                  <c:v>89.155190479651026</c:v>
                </c:pt>
                <c:pt idx="322">
                  <c:v>89.436749114687572</c:v>
                </c:pt>
                <c:pt idx="323">
                  <c:v>89.713499345929151</c:v>
                </c:pt>
                <c:pt idx="324">
                  <c:v>89.98548774114532</c:v>
                </c:pt>
                <c:pt idx="325">
                  <c:v>90.252761108934521</c:v>
                </c:pt>
                <c:pt idx="326">
                  <c:v>90.515366471146393</c:v>
                </c:pt>
                <c:pt idx="327">
                  <c:v>90.773351036122151</c:v>
                </c:pt>
                <c:pt idx="328">
                  <c:v>91.026762172739907</c:v>
                </c:pt>
                <c:pt idx="329">
                  <c:v>91.275647385252455</c:v>
                </c:pt>
                <c:pt idx="330">
                  <c:v>91.520054288904461</c:v>
                </c:pt>
                <c:pt idx="331">
                  <c:v>91.760030586316503</c:v>
                </c:pt>
                <c:pt idx="332">
                  <c:v>91.995624044623071</c:v>
                </c:pt>
                <c:pt idx="333">
                  <c:v>92.226882473351807</c:v>
                </c:pt>
                <c:pt idx="334">
                  <c:v>92.453853703031072</c:v>
                </c:pt>
                <c:pt idx="335">
                  <c:v>92.676585564513147</c:v>
                </c:pt>
                <c:pt idx="336">
                  <c:v>92.89512586900041</c:v>
                </c:pt>
                <c:pt idx="337">
                  <c:v>93.109522388761192</c:v>
                </c:pt>
                <c:pt idx="338">
                  <c:v>93.319822838523251</c:v>
                </c:pt>
                <c:pt idx="339">
                  <c:v>93.526074857531398</c:v>
                </c:pt>
                <c:pt idx="340">
                  <c:v>93.728325992257069</c:v>
                </c:pt>
                <c:pt idx="341">
                  <c:v>93.926623679746641</c:v>
                </c:pt>
                <c:pt idx="342">
                  <c:v>94.121015231596104</c:v>
                </c:pt>
                <c:pt idx="343">
                  <c:v>94.311547818539296</c:v>
                </c:pt>
                <c:pt idx="344">
                  <c:v>94.498268455637017</c:v>
                </c:pt>
                <c:pt idx="345">
                  <c:v>94.681223988054555</c:v>
                </c:pt>
                <c:pt idx="346">
                  <c:v>94.860461077414826</c:v>
                </c:pt>
                <c:pt idx="347">
                  <c:v>95.036026188715041</c:v>
                </c:pt>
                <c:pt idx="348">
                  <c:v>95.207965577794027</c:v>
                </c:pt>
                <c:pt idx="349">
                  <c:v>95.376325279338246</c:v>
                </c:pt>
                <c:pt idx="350">
                  <c:v>95.541151095413966</c:v>
                </c:pt>
                <c:pt idx="351">
                  <c:v>95.702488584513546</c:v>
                </c:pt>
                <c:pt idx="352">
                  <c:v>95.86038305110371</c:v>
                </c:pt>
                <c:pt idx="353">
                  <c:v>96.014879535663667</c:v>
                </c:pt>
                <c:pt idx="354">
                  <c:v>96.166022805201493</c:v>
                </c:pt>
                <c:pt idx="355">
                  <c:v>96.313857344236652</c:v>
                </c:pt>
                <c:pt idx="356">
                  <c:v>96.458427346237059</c:v>
                </c:pt>
                <c:pt idx="357">
                  <c:v>96.599776705499352</c:v>
                </c:pt>
                <c:pt idx="358">
                  <c:v>96.737949009460607</c:v>
                </c:pt>
                <c:pt idx="359">
                  <c:v>96.872987531430354</c:v>
                </c:pt>
                <c:pt idx="360">
                  <c:v>97.004935223731749</c:v>
                </c:pt>
                <c:pt idx="361">
                  <c:v>97.133834711240638</c:v>
                </c:pt>
                <c:pt idx="362">
                  <c:v>97.259728285312008</c:v>
                </c:pt>
                <c:pt idx="363">
                  <c:v>97.382657898082556</c:v>
                </c:pt>
                <c:pt idx="364">
                  <c:v>97.502665157139234</c:v>
                </c:pt>
                <c:pt idx="365">
                  <c:v>97.619791320542902</c:v>
                </c:pt>
                <c:pt idx="366">
                  <c:v>97.734077292197114</c:v>
                </c:pt>
                <c:pt idx="367">
                  <c:v>97.845563617551676</c:v>
                </c:pt>
                <c:pt idx="368">
                  <c:v>97.954290479631027</c:v>
                </c:pt>
                <c:pt idx="369">
                  <c:v>98.060297695377599</c:v>
                </c:pt>
                <c:pt idx="370">
                  <c:v>98.16362471230056</c:v>
                </c:pt>
                <c:pt idx="371">
                  <c:v>98.264310605420221</c:v>
                </c:pt>
                <c:pt idx="372">
                  <c:v>98.362394074499079</c:v>
                </c:pt>
                <c:pt idx="373">
                  <c:v>98.457913441549948</c:v>
                </c:pt>
                <c:pt idx="374">
                  <c:v>98.550906648612525</c:v>
                </c:pt>
                <c:pt idx="375">
                  <c:v>98.64141125578918</c:v>
                </c:pt>
                <c:pt idx="376">
                  <c:v>98.729464439531725</c:v>
                </c:pt>
                <c:pt idx="377">
                  <c:v>98.72955005148971</c:v>
                </c:pt>
                <c:pt idx="378">
                  <c:v>98.729635661073857</c:v>
                </c:pt>
                <c:pt idx="379">
                  <c:v>98.72972126828418</c:v>
                </c:pt>
                <c:pt idx="380">
                  <c:v>98.729806873120694</c:v>
                </c:pt>
                <c:pt idx="381">
                  <c:v>98.729892475583469</c:v>
                </c:pt>
                <c:pt idx="382">
                  <c:v>98.729978075672534</c:v>
                </c:pt>
                <c:pt idx="383">
                  <c:v>98.730063673387917</c:v>
                </c:pt>
                <c:pt idx="384">
                  <c:v>98.730149268729647</c:v>
                </c:pt>
                <c:pt idx="385">
                  <c:v>98.730234861697809</c:v>
                </c:pt>
                <c:pt idx="386">
                  <c:v>98.730320452292361</c:v>
                </c:pt>
                <c:pt idx="387">
                  <c:v>98.730406040513401</c:v>
                </c:pt>
                <c:pt idx="388">
                  <c:v>98.730491626360944</c:v>
                </c:pt>
                <c:pt idx="389">
                  <c:v>98.730577209835019</c:v>
                </c:pt>
                <c:pt idx="390">
                  <c:v>98.730662790935639</c:v>
                </c:pt>
                <c:pt idx="391">
                  <c:v>98.730748369662876</c:v>
                </c:pt>
                <c:pt idx="392">
                  <c:v>98.730833946016773</c:v>
                </c:pt>
                <c:pt idx="393">
                  <c:v>98.730919519997357</c:v>
                </c:pt>
                <c:pt idx="394">
                  <c:v>98.731005091604644</c:v>
                </c:pt>
                <c:pt idx="395">
                  <c:v>98.731090660838674</c:v>
                </c:pt>
                <c:pt idx="396">
                  <c:v>98.731176227699493</c:v>
                </c:pt>
                <c:pt idx="397">
                  <c:v>98.731261792187141</c:v>
                </c:pt>
                <c:pt idx="398">
                  <c:v>98.731347354301633</c:v>
                </c:pt>
                <c:pt idx="399">
                  <c:v>98.73143291404304</c:v>
                </c:pt>
                <c:pt idx="400">
                  <c:v>98.731518471411349</c:v>
                </c:pt>
                <c:pt idx="401">
                  <c:v>98.731604026406629</c:v>
                </c:pt>
                <c:pt idx="402">
                  <c:v>98.731689579028938</c:v>
                </c:pt>
                <c:pt idx="403">
                  <c:v>98.731775129278262</c:v>
                </c:pt>
                <c:pt idx="404">
                  <c:v>98.731860677154657</c:v>
                </c:pt>
                <c:pt idx="405">
                  <c:v>98.731946222658181</c:v>
                </c:pt>
                <c:pt idx="406">
                  <c:v>98.732031765788832</c:v>
                </c:pt>
                <c:pt idx="407">
                  <c:v>98.732117306546684</c:v>
                </c:pt>
                <c:pt idx="408">
                  <c:v>98.73220284493172</c:v>
                </c:pt>
                <c:pt idx="409">
                  <c:v>98.732288380944027</c:v>
                </c:pt>
                <c:pt idx="410">
                  <c:v>98.732373914583619</c:v>
                </c:pt>
                <c:pt idx="411">
                  <c:v>98.732459445850523</c:v>
                </c:pt>
                <c:pt idx="412">
                  <c:v>98.732544974744798</c:v>
                </c:pt>
                <c:pt idx="413">
                  <c:v>98.73263050126647</c:v>
                </c:pt>
                <c:pt idx="414">
                  <c:v>98.73271602541557</c:v>
                </c:pt>
                <c:pt idx="415">
                  <c:v>98.732801547192125</c:v>
                </c:pt>
                <c:pt idx="416">
                  <c:v>98.732887066596192</c:v>
                </c:pt>
                <c:pt idx="417">
                  <c:v>98.732972583627799</c:v>
                </c:pt>
                <c:pt idx="418">
                  <c:v>98.733058098286989</c:v>
                </c:pt>
                <c:pt idx="419">
                  <c:v>98.733143610573762</c:v>
                </c:pt>
                <c:pt idx="420">
                  <c:v>98.73322912048819</c:v>
                </c:pt>
                <c:pt idx="421">
                  <c:v>98.7333146280303</c:v>
                </c:pt>
                <c:pt idx="422">
                  <c:v>98.733400133200121</c:v>
                </c:pt>
                <c:pt idx="423">
                  <c:v>98.733485635997695</c:v>
                </c:pt>
                <c:pt idx="424">
                  <c:v>98.733571136423066</c:v>
                </c:pt>
                <c:pt idx="425">
                  <c:v>98.733656634476247</c:v>
                </c:pt>
                <c:pt idx="426">
                  <c:v>98.733742130157296</c:v>
                </c:pt>
                <c:pt idx="427">
                  <c:v>98.733827623466254</c:v>
                </c:pt>
                <c:pt idx="428">
                  <c:v>98.733913114403123</c:v>
                </c:pt>
                <c:pt idx="429">
                  <c:v>98.733998602967972</c:v>
                </c:pt>
                <c:pt idx="430">
                  <c:v>98.734084089160817</c:v>
                </c:pt>
                <c:pt idx="431">
                  <c:v>98.734169572981685</c:v>
                </c:pt>
                <c:pt idx="432">
                  <c:v>98.734255054430648</c:v>
                </c:pt>
                <c:pt idx="433">
                  <c:v>98.734340533507705</c:v>
                </c:pt>
                <c:pt idx="434">
                  <c:v>98.7344260102129</c:v>
                </c:pt>
                <c:pt idx="435">
                  <c:v>98.734511484546289</c:v>
                </c:pt>
                <c:pt idx="436">
                  <c:v>98.734596956507886</c:v>
                </c:pt>
                <c:pt idx="437">
                  <c:v>98.734682426097734</c:v>
                </c:pt>
                <c:pt idx="438">
                  <c:v>98.73476789331589</c:v>
                </c:pt>
                <c:pt idx="439">
                  <c:v>98.734853358162368</c:v>
                </c:pt>
                <c:pt idx="440">
                  <c:v>98.734938820637197</c:v>
                </c:pt>
                <c:pt idx="441">
                  <c:v>98.735024280740419</c:v>
                </c:pt>
                <c:pt idx="442">
                  <c:v>98.735109738472062</c:v>
                </c:pt>
                <c:pt idx="443">
                  <c:v>98.735195193832183</c:v>
                </c:pt>
                <c:pt idx="444">
                  <c:v>98.735280646820812</c:v>
                </c:pt>
                <c:pt idx="445">
                  <c:v>98.735366097437989</c:v>
                </c:pt>
                <c:pt idx="446">
                  <c:v>98.735451545683702</c:v>
                </c:pt>
                <c:pt idx="447">
                  <c:v>98.73553699155805</c:v>
                </c:pt>
                <c:pt idx="448">
                  <c:v>98.735622435061032</c:v>
                </c:pt>
                <c:pt idx="449">
                  <c:v>98.735707876192706</c:v>
                </c:pt>
                <c:pt idx="450">
                  <c:v>98.735793314953085</c:v>
                </c:pt>
                <c:pt idx="451">
                  <c:v>98.735878751342227</c:v>
                </c:pt>
                <c:pt idx="452">
                  <c:v>98.73596418536016</c:v>
                </c:pt>
                <c:pt idx="453">
                  <c:v>98.736049617006927</c:v>
                </c:pt>
                <c:pt idx="454">
                  <c:v>98.736135046282541</c:v>
                </c:pt>
                <c:pt idx="455">
                  <c:v>98.736220473187032</c:v>
                </c:pt>
                <c:pt idx="456">
                  <c:v>98.736305897720484</c:v>
                </c:pt>
                <c:pt idx="457">
                  <c:v>98.736391319882884</c:v>
                </c:pt>
                <c:pt idx="458">
                  <c:v>98.736476739674302</c:v>
                </c:pt>
                <c:pt idx="459">
                  <c:v>98.736562157094752</c:v>
                </c:pt>
                <c:pt idx="460">
                  <c:v>98.736647572144264</c:v>
                </c:pt>
                <c:pt idx="461">
                  <c:v>98.736732984822893</c:v>
                </c:pt>
                <c:pt idx="462">
                  <c:v>98.736818395130669</c:v>
                </c:pt>
                <c:pt idx="463">
                  <c:v>98.736903803067634</c:v>
                </c:pt>
                <c:pt idx="464">
                  <c:v>98.736989208633801</c:v>
                </c:pt>
                <c:pt idx="465">
                  <c:v>98.737074611829243</c:v>
                </c:pt>
                <c:pt idx="466">
                  <c:v>98.737160012653959</c:v>
                </c:pt>
                <c:pt idx="467">
                  <c:v>98.737245411107992</c:v>
                </c:pt>
                <c:pt idx="468">
                  <c:v>98.737330807191398</c:v>
                </c:pt>
                <c:pt idx="469">
                  <c:v>98.737416200904192</c:v>
                </c:pt>
                <c:pt idx="470">
                  <c:v>98.737501592246417</c:v>
                </c:pt>
                <c:pt idx="471">
                  <c:v>98.737586981218115</c:v>
                </c:pt>
                <c:pt idx="472">
                  <c:v>98.737672367819314</c:v>
                </c:pt>
                <c:pt idx="473">
                  <c:v>98.737757752050058</c:v>
                </c:pt>
                <c:pt idx="474">
                  <c:v>98.737843133910374</c:v>
                </c:pt>
                <c:pt idx="475">
                  <c:v>98.737928513400277</c:v>
                </c:pt>
                <c:pt idx="476">
                  <c:v>98.738013890519852</c:v>
                </c:pt>
                <c:pt idx="477">
                  <c:v>98.738099265269085</c:v>
                </c:pt>
                <c:pt idx="478">
                  <c:v>98.738184637648047</c:v>
                </c:pt>
                <c:pt idx="479">
                  <c:v>98.738270007656766</c:v>
                </c:pt>
                <c:pt idx="480">
                  <c:v>98.738355375295271</c:v>
                </c:pt>
                <c:pt idx="481">
                  <c:v>98.73844074056359</c:v>
                </c:pt>
                <c:pt idx="482">
                  <c:v>98.738526103461794</c:v>
                </c:pt>
                <c:pt idx="483">
                  <c:v>98.738611463989869</c:v>
                </c:pt>
                <c:pt idx="484">
                  <c:v>98.738696822147887</c:v>
                </c:pt>
                <c:pt idx="485">
                  <c:v>98.738782177935875</c:v>
                </c:pt>
                <c:pt idx="486">
                  <c:v>98.738867531353861</c:v>
                </c:pt>
                <c:pt idx="487">
                  <c:v>98.73895288240189</c:v>
                </c:pt>
                <c:pt idx="488">
                  <c:v>98.739038231079988</c:v>
                </c:pt>
                <c:pt idx="489">
                  <c:v>98.739123577388213</c:v>
                </c:pt>
                <c:pt idx="490">
                  <c:v>98.739208921326551</c:v>
                </c:pt>
                <c:pt idx="491">
                  <c:v>98.7392942628951</c:v>
                </c:pt>
                <c:pt idx="492">
                  <c:v>98.739379602093877</c:v>
                </c:pt>
                <c:pt idx="493">
                  <c:v>98.739464938922879</c:v>
                </c:pt>
                <c:pt idx="494">
                  <c:v>98.739550273382164</c:v>
                </c:pt>
                <c:pt idx="495">
                  <c:v>98.73963560547179</c:v>
                </c:pt>
                <c:pt idx="496">
                  <c:v>98.73972093519177</c:v>
                </c:pt>
                <c:pt idx="497">
                  <c:v>98.73980626254216</c:v>
                </c:pt>
                <c:pt idx="498">
                  <c:v>98.739891587522962</c:v>
                </c:pt>
                <c:pt idx="499">
                  <c:v>98.739976910134232</c:v>
                </c:pt>
                <c:pt idx="500">
                  <c:v>98.740062230376012</c:v>
                </c:pt>
                <c:pt idx="501">
                  <c:v>98.740147548248331</c:v>
                </c:pt>
                <c:pt idx="502">
                  <c:v>98.740232863751245</c:v>
                </c:pt>
                <c:pt idx="503">
                  <c:v>98.740318176884742</c:v>
                </c:pt>
                <c:pt idx="504">
                  <c:v>98.740403487648891</c:v>
                </c:pt>
                <c:pt idx="505">
                  <c:v>98.740488796043707</c:v>
                </c:pt>
                <c:pt idx="506">
                  <c:v>98.74057410206926</c:v>
                </c:pt>
                <c:pt idx="507">
                  <c:v>98.740659405725566</c:v>
                </c:pt>
                <c:pt idx="508">
                  <c:v>98.740744707012652</c:v>
                </c:pt>
                <c:pt idx="509">
                  <c:v>98.740830005930576</c:v>
                </c:pt>
                <c:pt idx="510">
                  <c:v>98.740915302479365</c:v>
                </c:pt>
                <c:pt idx="511">
                  <c:v>98.741000596659021</c:v>
                </c:pt>
                <c:pt idx="512">
                  <c:v>98.741085888469627</c:v>
                </c:pt>
                <c:pt idx="513">
                  <c:v>98.741171177911198</c:v>
                </c:pt>
                <c:pt idx="514">
                  <c:v>98.741256464983763</c:v>
                </c:pt>
                <c:pt idx="515">
                  <c:v>98.741341749687379</c:v>
                </c:pt>
                <c:pt idx="516">
                  <c:v>98.74142703202206</c:v>
                </c:pt>
                <c:pt idx="517">
                  <c:v>98.741512311987847</c:v>
                </c:pt>
                <c:pt idx="518">
                  <c:v>98.741597589584799</c:v>
                </c:pt>
                <c:pt idx="519">
                  <c:v>98.741682864812915</c:v>
                </c:pt>
                <c:pt idx="520">
                  <c:v>98.741768137672253</c:v>
                </c:pt>
                <c:pt idx="521">
                  <c:v>98.741853408162839</c:v>
                </c:pt>
                <c:pt idx="522">
                  <c:v>98.741938676284732</c:v>
                </c:pt>
                <c:pt idx="523">
                  <c:v>98.742023942037918</c:v>
                </c:pt>
                <c:pt idx="524">
                  <c:v>98.742109205422494</c:v>
                </c:pt>
                <c:pt idx="525">
                  <c:v>98.742194466438463</c:v>
                </c:pt>
                <c:pt idx="526">
                  <c:v>98.742279725085851</c:v>
                </c:pt>
                <c:pt idx="527">
                  <c:v>98.742364981364702</c:v>
                </c:pt>
                <c:pt idx="528">
                  <c:v>98.742450235275072</c:v>
                </c:pt>
                <c:pt idx="529">
                  <c:v>98.742535486816962</c:v>
                </c:pt>
                <c:pt idx="530">
                  <c:v>98.742620735990442</c:v>
                </c:pt>
                <c:pt idx="531">
                  <c:v>98.742705982795513</c:v>
                </c:pt>
                <c:pt idx="532">
                  <c:v>98.742791227232246</c:v>
                </c:pt>
                <c:pt idx="533">
                  <c:v>98.742876469300654</c:v>
                </c:pt>
                <c:pt idx="534">
                  <c:v>98.742961709000795</c:v>
                </c:pt>
                <c:pt idx="535">
                  <c:v>98.743046946332655</c:v>
                </c:pt>
                <c:pt idx="536">
                  <c:v>98.743132181296332</c:v>
                </c:pt>
                <c:pt idx="537">
                  <c:v>98.743217413891827</c:v>
                </c:pt>
                <c:pt idx="538">
                  <c:v>98.743302644119183</c:v>
                </c:pt>
                <c:pt idx="539">
                  <c:v>98.743387871978427</c:v>
                </c:pt>
                <c:pt idx="540">
                  <c:v>98.743473097469618</c:v>
                </c:pt>
                <c:pt idx="541">
                  <c:v>98.743558320592768</c:v>
                </c:pt>
                <c:pt idx="542">
                  <c:v>98.743643541347922</c:v>
                </c:pt>
                <c:pt idx="543">
                  <c:v>98.743728759735106</c:v>
                </c:pt>
                <c:pt idx="544">
                  <c:v>98.743813975754364</c:v>
                </c:pt>
                <c:pt idx="545">
                  <c:v>98.743899189405738</c:v>
                </c:pt>
                <c:pt idx="546">
                  <c:v>98.743984400689257</c:v>
                </c:pt>
                <c:pt idx="547">
                  <c:v>98.744069609604949</c:v>
                </c:pt>
                <c:pt idx="548">
                  <c:v>98.744154816152871</c:v>
                </c:pt>
                <c:pt idx="549">
                  <c:v>98.744240020333038</c:v>
                </c:pt>
                <c:pt idx="550">
                  <c:v>98.744325222145491</c:v>
                </c:pt>
                <c:pt idx="551">
                  <c:v>98.744410421590274</c:v>
                </c:pt>
                <c:pt idx="552">
                  <c:v>98.744495618667415</c:v>
                </c:pt>
                <c:pt idx="553">
                  <c:v>98.744580813376942</c:v>
                </c:pt>
                <c:pt idx="554">
                  <c:v>98.744666005718898</c:v>
                </c:pt>
                <c:pt idx="555">
                  <c:v>98.744751195693325</c:v>
                </c:pt>
                <c:pt idx="556">
                  <c:v>98.744836383300282</c:v>
                </c:pt>
                <c:pt idx="557">
                  <c:v>98.744921568539752</c:v>
                </c:pt>
                <c:pt idx="558">
                  <c:v>98.745006751411807</c:v>
                </c:pt>
                <c:pt idx="559">
                  <c:v>98.745091931916463</c:v>
                </c:pt>
                <c:pt idx="560">
                  <c:v>98.74517711005376</c:v>
                </c:pt>
                <c:pt idx="561">
                  <c:v>98.745262285823742</c:v>
                </c:pt>
                <c:pt idx="562">
                  <c:v>98.745347459226437</c:v>
                </c:pt>
                <c:pt idx="563">
                  <c:v>98.745432630261888</c:v>
                </c:pt>
                <c:pt idx="564">
                  <c:v>98.745517798930123</c:v>
                </c:pt>
                <c:pt idx="565">
                  <c:v>98.745602965231186</c:v>
                </c:pt>
                <c:pt idx="566">
                  <c:v>98.745688129165103</c:v>
                </c:pt>
                <c:pt idx="567">
                  <c:v>98.745773290731918</c:v>
                </c:pt>
                <c:pt idx="568">
                  <c:v>98.74585844993166</c:v>
                </c:pt>
                <c:pt idx="569">
                  <c:v>98.745943606764371</c:v>
                </c:pt>
                <c:pt idx="570">
                  <c:v>98.746028761230093</c:v>
                </c:pt>
                <c:pt idx="571">
                  <c:v>98.746113913328855</c:v>
                </c:pt>
                <c:pt idx="572">
                  <c:v>98.746199063060672</c:v>
                </c:pt>
                <c:pt idx="573">
                  <c:v>98.7462842104256</c:v>
                </c:pt>
                <c:pt idx="574">
                  <c:v>98.746369355423695</c:v>
                </c:pt>
                <c:pt idx="575">
                  <c:v>98.746454498054945</c:v>
                </c:pt>
                <c:pt idx="576">
                  <c:v>98.746539638319433</c:v>
                </c:pt>
                <c:pt idx="577">
                  <c:v>98.746624776217146</c:v>
                </c:pt>
                <c:pt idx="578">
                  <c:v>98.746709911748169</c:v>
                </c:pt>
                <c:pt idx="579">
                  <c:v>98.746795044912503</c:v>
                </c:pt>
                <c:pt idx="580">
                  <c:v>98.746880175710203</c:v>
                </c:pt>
                <c:pt idx="581">
                  <c:v>98.746965304141298</c:v>
                </c:pt>
                <c:pt idx="582">
                  <c:v>98.747050430205817</c:v>
                </c:pt>
                <c:pt idx="583">
                  <c:v>98.747135553903817</c:v>
                </c:pt>
                <c:pt idx="584">
                  <c:v>98.747220675235297</c:v>
                </c:pt>
                <c:pt idx="585">
                  <c:v>98.747305794200329</c:v>
                </c:pt>
                <c:pt idx="586">
                  <c:v>98.747390910798913</c:v>
                </c:pt>
                <c:pt idx="587">
                  <c:v>98.747476025031133</c:v>
                </c:pt>
                <c:pt idx="588">
                  <c:v>98.747561136896977</c:v>
                </c:pt>
                <c:pt idx="589">
                  <c:v>98.747646246396513</c:v>
                </c:pt>
                <c:pt idx="590">
                  <c:v>98.747731353529758</c:v>
                </c:pt>
                <c:pt idx="591">
                  <c:v>98.747816458296768</c:v>
                </c:pt>
                <c:pt idx="592">
                  <c:v>98.747901560697557</c:v>
                </c:pt>
                <c:pt idx="593">
                  <c:v>98.747986660732153</c:v>
                </c:pt>
                <c:pt idx="594">
                  <c:v>98.748071758400627</c:v>
                </c:pt>
                <c:pt idx="595">
                  <c:v>98.748156853702994</c:v>
                </c:pt>
                <c:pt idx="596">
                  <c:v>98.748241946639297</c:v>
                </c:pt>
                <c:pt idx="597">
                  <c:v>98.748327037209549</c:v>
                </c:pt>
                <c:pt idx="598">
                  <c:v>98.748412125413807</c:v>
                </c:pt>
                <c:pt idx="599">
                  <c:v>98.748497211252101</c:v>
                </c:pt>
                <c:pt idx="600">
                  <c:v>98.748582294724471</c:v>
                </c:pt>
                <c:pt idx="601">
                  <c:v>98.748667375830948</c:v>
                </c:pt>
                <c:pt idx="602">
                  <c:v>98.748752454571573</c:v>
                </c:pt>
                <c:pt idx="603">
                  <c:v>98.748837530946375</c:v>
                </c:pt>
                <c:pt idx="604">
                  <c:v>98.748922604955382</c:v>
                </c:pt>
                <c:pt idx="605">
                  <c:v>98.749007676598637</c:v>
                </c:pt>
                <c:pt idx="606">
                  <c:v>98.749092745876197</c:v>
                </c:pt>
                <c:pt idx="607">
                  <c:v>98.749177812788062</c:v>
                </c:pt>
                <c:pt idx="608">
                  <c:v>98.749262877334303</c:v>
                </c:pt>
                <c:pt idx="609">
                  <c:v>98.749347939514934</c:v>
                </c:pt>
                <c:pt idx="610">
                  <c:v>98.749432999329983</c:v>
                </c:pt>
                <c:pt idx="611">
                  <c:v>98.749518056779522</c:v>
                </c:pt>
                <c:pt idx="612">
                  <c:v>98.749603111863536</c:v>
                </c:pt>
                <c:pt idx="613">
                  <c:v>98.749688164582082</c:v>
                </c:pt>
                <c:pt idx="614">
                  <c:v>98.749773214935217</c:v>
                </c:pt>
                <c:pt idx="615">
                  <c:v>98.749858262922942</c:v>
                </c:pt>
                <c:pt idx="616">
                  <c:v>98.749943308545326</c:v>
                </c:pt>
                <c:pt idx="617">
                  <c:v>98.750028351802385</c:v>
                </c:pt>
                <c:pt idx="618">
                  <c:v>98.750113392694161</c:v>
                </c:pt>
                <c:pt idx="619">
                  <c:v>98.750198431220667</c:v>
                </c:pt>
                <c:pt idx="620">
                  <c:v>98.750283467381976</c:v>
                </c:pt>
                <c:pt idx="621">
                  <c:v>98.750368501178102</c:v>
                </c:pt>
                <c:pt idx="622">
                  <c:v>98.750453532609086</c:v>
                </c:pt>
                <c:pt idx="623">
                  <c:v>98.750538561674972</c:v>
                </c:pt>
                <c:pt idx="624">
                  <c:v>98.750623588375774</c:v>
                </c:pt>
                <c:pt idx="625">
                  <c:v>98.750708612711549</c:v>
                </c:pt>
                <c:pt idx="626">
                  <c:v>98.750793634682324</c:v>
                </c:pt>
                <c:pt idx="627">
                  <c:v>98.75087865428813</c:v>
                </c:pt>
                <c:pt idx="628">
                  <c:v>98.750963671529007</c:v>
                </c:pt>
                <c:pt idx="629">
                  <c:v>98.751048686404985</c:v>
                </c:pt>
                <c:pt idx="630">
                  <c:v>98.751133698916121</c:v>
                </c:pt>
                <c:pt idx="631">
                  <c:v>98.751218709062442</c:v>
                </c:pt>
                <c:pt idx="632">
                  <c:v>98.751303716843964</c:v>
                </c:pt>
                <c:pt idx="633">
                  <c:v>98.751388722260728</c:v>
                </c:pt>
                <c:pt idx="634">
                  <c:v>98.751473725312778</c:v>
                </c:pt>
                <c:pt idx="635">
                  <c:v>98.751558726000155</c:v>
                </c:pt>
                <c:pt idx="636">
                  <c:v>98.751643724322889</c:v>
                </c:pt>
                <c:pt idx="637">
                  <c:v>98.751728720281008</c:v>
                </c:pt>
                <c:pt idx="638">
                  <c:v>98.751813713874569</c:v>
                </c:pt>
                <c:pt idx="639">
                  <c:v>98.751898705103585</c:v>
                </c:pt>
                <c:pt idx="640">
                  <c:v>98.7519836939681</c:v>
                </c:pt>
                <c:pt idx="641">
                  <c:v>98.752068680468142</c:v>
                </c:pt>
                <c:pt idx="642">
                  <c:v>98.752153664603782</c:v>
                </c:pt>
                <c:pt idx="643">
                  <c:v>98.752238646374991</c:v>
                </c:pt>
                <c:pt idx="644">
                  <c:v>98.752323625781884</c:v>
                </c:pt>
                <c:pt idx="645">
                  <c:v>98.752408602824417</c:v>
                </c:pt>
                <c:pt idx="646">
                  <c:v>98.752493577502676</c:v>
                </c:pt>
                <c:pt idx="647">
                  <c:v>98.75257854981669</c:v>
                </c:pt>
                <c:pt idx="648">
                  <c:v>98.752663519766472</c:v>
                </c:pt>
                <c:pt idx="649">
                  <c:v>98.752748487352079</c:v>
                </c:pt>
                <c:pt idx="650">
                  <c:v>98.752833452573554</c:v>
                </c:pt>
                <c:pt idx="651">
                  <c:v>98.752918415430912</c:v>
                </c:pt>
                <c:pt idx="652">
                  <c:v>98.753003375924195</c:v>
                </c:pt>
                <c:pt idx="653">
                  <c:v>98.753088334053444</c:v>
                </c:pt>
                <c:pt idx="654">
                  <c:v>98.753173289818704</c:v>
                </c:pt>
                <c:pt idx="655">
                  <c:v>98.753258243219989</c:v>
                </c:pt>
                <c:pt idx="656">
                  <c:v>98.753343194257354</c:v>
                </c:pt>
                <c:pt idx="657">
                  <c:v>98.753428142930815</c:v>
                </c:pt>
                <c:pt idx="658">
                  <c:v>98.753513089240414</c:v>
                </c:pt>
                <c:pt idx="659">
                  <c:v>98.753598033186179</c:v>
                </c:pt>
                <c:pt idx="660">
                  <c:v>98.753682974768182</c:v>
                </c:pt>
                <c:pt idx="661">
                  <c:v>98.753767913986422</c:v>
                </c:pt>
                <c:pt idx="662">
                  <c:v>98.753852850840929</c:v>
                </c:pt>
                <c:pt idx="663">
                  <c:v>98.753937785331786</c:v>
                </c:pt>
                <c:pt idx="664">
                  <c:v>98.754022717458966</c:v>
                </c:pt>
                <c:pt idx="665">
                  <c:v>98.75410764722254</c:v>
                </c:pt>
                <c:pt idx="666">
                  <c:v>98.754192574622564</c:v>
                </c:pt>
                <c:pt idx="667">
                  <c:v>98.75427749965904</c:v>
                </c:pt>
                <c:pt idx="668">
                  <c:v>98.754362422332008</c:v>
                </c:pt>
                <c:pt idx="669">
                  <c:v>98.754447342641512</c:v>
                </c:pt>
                <c:pt idx="670">
                  <c:v>98.754532260587595</c:v>
                </c:pt>
                <c:pt idx="671">
                  <c:v>98.754617176170271</c:v>
                </c:pt>
                <c:pt idx="672">
                  <c:v>98.754702089389596</c:v>
                </c:pt>
                <c:pt idx="673">
                  <c:v>98.754787000245599</c:v>
                </c:pt>
                <c:pt idx="674">
                  <c:v>98.754871908738295</c:v>
                </c:pt>
                <c:pt idx="675">
                  <c:v>98.754956814867739</c:v>
                </c:pt>
                <c:pt idx="676">
                  <c:v>98.755041718633962</c:v>
                </c:pt>
                <c:pt idx="677">
                  <c:v>98.755126620037018</c:v>
                </c:pt>
                <c:pt idx="678">
                  <c:v>98.755211519076923</c:v>
                </c:pt>
                <c:pt idx="679">
                  <c:v>98.755296415753705</c:v>
                </c:pt>
                <c:pt idx="680">
                  <c:v>98.755381310067435</c:v>
                </c:pt>
                <c:pt idx="681">
                  <c:v>98.755466202018113</c:v>
                </c:pt>
                <c:pt idx="682">
                  <c:v>98.755551091605795</c:v>
                </c:pt>
                <c:pt idx="683">
                  <c:v>98.755635978830512</c:v>
                </c:pt>
                <c:pt idx="684">
                  <c:v>98.755720863692275</c:v>
                </c:pt>
                <c:pt idx="685">
                  <c:v>98.755805746191172</c:v>
                </c:pt>
                <c:pt idx="686">
                  <c:v>98.755890626327187</c:v>
                </c:pt>
                <c:pt idx="687">
                  <c:v>98.755975504100377</c:v>
                </c:pt>
                <c:pt idx="688">
                  <c:v>98.756060379510785</c:v>
                </c:pt>
                <c:pt idx="689">
                  <c:v>98.75614525255844</c:v>
                </c:pt>
                <c:pt idx="690">
                  <c:v>98.756230123243384</c:v>
                </c:pt>
                <c:pt idx="691">
                  <c:v>98.756314991565631</c:v>
                </c:pt>
                <c:pt idx="692">
                  <c:v>98.756399857525238</c:v>
                </c:pt>
                <c:pt idx="693">
                  <c:v>98.75648472112222</c:v>
                </c:pt>
                <c:pt idx="694">
                  <c:v>98.756569582356633</c:v>
                </c:pt>
                <c:pt idx="695">
                  <c:v>98.75665444122852</c:v>
                </c:pt>
                <c:pt idx="696">
                  <c:v>98.75673929773788</c:v>
                </c:pt>
                <c:pt idx="697">
                  <c:v>98.7568241518848</c:v>
                </c:pt>
                <c:pt idx="698">
                  <c:v>98.756909003669264</c:v>
                </c:pt>
                <c:pt idx="699">
                  <c:v>98.75699385309133</c:v>
                </c:pt>
                <c:pt idx="700">
                  <c:v>98.757078700151055</c:v>
                </c:pt>
                <c:pt idx="701">
                  <c:v>98.757163544848439</c:v>
                </c:pt>
                <c:pt idx="702">
                  <c:v>98.757248387183537</c:v>
                </c:pt>
                <c:pt idx="703">
                  <c:v>98.757333227156394</c:v>
                </c:pt>
                <c:pt idx="704">
                  <c:v>98.757418064767009</c:v>
                </c:pt>
                <c:pt idx="705">
                  <c:v>98.757502900015453</c:v>
                </c:pt>
                <c:pt idx="706">
                  <c:v>98.75758773290174</c:v>
                </c:pt>
                <c:pt idx="707">
                  <c:v>98.757672563425928</c:v>
                </c:pt>
                <c:pt idx="708">
                  <c:v>98.757757391588029</c:v>
                </c:pt>
                <c:pt idx="709">
                  <c:v>98.757842217388074</c:v>
                </c:pt>
                <c:pt idx="710">
                  <c:v>98.757927040826118</c:v>
                </c:pt>
                <c:pt idx="711">
                  <c:v>98.758011861902219</c:v>
                </c:pt>
                <c:pt idx="712">
                  <c:v>98.758096680616376</c:v>
                </c:pt>
                <c:pt idx="713">
                  <c:v>98.758181496968618</c:v>
                </c:pt>
                <c:pt idx="714">
                  <c:v>98.758266310959016</c:v>
                </c:pt>
                <c:pt idx="715">
                  <c:v>98.758351122587584</c:v>
                </c:pt>
                <c:pt idx="716">
                  <c:v>98.758435931854351</c:v>
                </c:pt>
                <c:pt idx="717">
                  <c:v>98.758520738759344</c:v>
                </c:pt>
                <c:pt idx="718">
                  <c:v>98.758605543302636</c:v>
                </c:pt>
                <c:pt idx="719">
                  <c:v>98.758690345484254</c:v>
                </c:pt>
                <c:pt idx="720">
                  <c:v>98.758775145304213</c:v>
                </c:pt>
                <c:pt idx="721">
                  <c:v>98.75885994276257</c:v>
                </c:pt>
                <c:pt idx="722">
                  <c:v>98.758944737859338</c:v>
                </c:pt>
                <c:pt idx="723">
                  <c:v>98.75902953059456</c:v>
                </c:pt>
                <c:pt idx="724">
                  <c:v>98.75911432096828</c:v>
                </c:pt>
                <c:pt idx="725">
                  <c:v>98.759199108980525</c:v>
                </c:pt>
                <c:pt idx="726">
                  <c:v>98.759283894631352</c:v>
                </c:pt>
                <c:pt idx="727">
                  <c:v>98.759368677920762</c:v>
                </c:pt>
                <c:pt idx="728">
                  <c:v>98.759453458848796</c:v>
                </c:pt>
                <c:pt idx="729">
                  <c:v>98.759538237415526</c:v>
                </c:pt>
                <c:pt idx="730">
                  <c:v>98.759623013620953</c:v>
                </c:pt>
                <c:pt idx="731">
                  <c:v>98.759707787465118</c:v>
                </c:pt>
                <c:pt idx="732">
                  <c:v>98.759792558948064</c:v>
                </c:pt>
                <c:pt idx="733">
                  <c:v>98.75987732806982</c:v>
                </c:pt>
                <c:pt idx="734">
                  <c:v>98.759962094830442</c:v>
                </c:pt>
                <c:pt idx="735">
                  <c:v>98.760046859229945</c:v>
                </c:pt>
                <c:pt idx="736">
                  <c:v>98.760131621268357</c:v>
                </c:pt>
                <c:pt idx="737">
                  <c:v>98.760216380945749</c:v>
                </c:pt>
                <c:pt idx="738">
                  <c:v>98.760301138262122</c:v>
                </c:pt>
                <c:pt idx="739">
                  <c:v>98.760385893217517</c:v>
                </c:pt>
                <c:pt idx="740">
                  <c:v>98.760470645811978</c:v>
                </c:pt>
                <c:pt idx="741">
                  <c:v>98.760555396045532</c:v>
                </c:pt>
                <c:pt idx="742">
                  <c:v>98.760640143918224</c:v>
                </c:pt>
                <c:pt idx="743">
                  <c:v>98.76072488943008</c:v>
                </c:pt>
                <c:pt idx="744">
                  <c:v>98.760809632581157</c:v>
                </c:pt>
                <c:pt idx="745">
                  <c:v>98.760894373371457</c:v>
                </c:pt>
                <c:pt idx="746">
                  <c:v>98.760979111801049</c:v>
                </c:pt>
                <c:pt idx="747">
                  <c:v>98.761063847869963</c:v>
                </c:pt>
                <c:pt idx="748">
                  <c:v>98.761148581578212</c:v>
                </c:pt>
                <c:pt idx="749">
                  <c:v>98.761233312925839</c:v>
                </c:pt>
                <c:pt idx="750">
                  <c:v>98.761318041912901</c:v>
                </c:pt>
                <c:pt idx="751">
                  <c:v>98.761402768539398</c:v>
                </c:pt>
                <c:pt idx="752">
                  <c:v>98.761487492805387</c:v>
                </c:pt>
                <c:pt idx="753">
                  <c:v>98.761572214710924</c:v>
                </c:pt>
                <c:pt idx="754">
                  <c:v>98.761656934255996</c:v>
                </c:pt>
                <c:pt idx="755">
                  <c:v>98.761741651440687</c:v>
                </c:pt>
                <c:pt idx="756">
                  <c:v>98.761826366265012</c:v>
                </c:pt>
                <c:pt idx="757">
                  <c:v>98.761911078729</c:v>
                </c:pt>
                <c:pt idx="758">
                  <c:v>98.761995788832678</c:v>
                </c:pt>
                <c:pt idx="759">
                  <c:v>98.762080496576132</c:v>
                </c:pt>
                <c:pt idx="760">
                  <c:v>98.762165201959334</c:v>
                </c:pt>
                <c:pt idx="761">
                  <c:v>98.762249904982355</c:v>
                </c:pt>
                <c:pt idx="762">
                  <c:v>98.762334605645222</c:v>
                </c:pt>
                <c:pt idx="763">
                  <c:v>98.762419303947965</c:v>
                </c:pt>
                <c:pt idx="764">
                  <c:v>98.762503999890626</c:v>
                </c:pt>
                <c:pt idx="765">
                  <c:v>98.762588693473248</c:v>
                </c:pt>
                <c:pt idx="766">
                  <c:v>98.762673384695844</c:v>
                </c:pt>
                <c:pt idx="767">
                  <c:v>98.762758073558487</c:v>
                </c:pt>
                <c:pt idx="768">
                  <c:v>98.76284276006119</c:v>
                </c:pt>
                <c:pt idx="769">
                  <c:v>98.762927444203967</c:v>
                </c:pt>
                <c:pt idx="770">
                  <c:v>98.76301212598689</c:v>
                </c:pt>
                <c:pt idx="771">
                  <c:v>98.763096805409987</c:v>
                </c:pt>
                <c:pt idx="772">
                  <c:v>98.763181482473286</c:v>
                </c:pt>
                <c:pt idx="773">
                  <c:v>98.763266157176815</c:v>
                </c:pt>
                <c:pt idx="774">
                  <c:v>98.763350829520618</c:v>
                </c:pt>
                <c:pt idx="775">
                  <c:v>98.763435499504752</c:v>
                </c:pt>
                <c:pt idx="776">
                  <c:v>98.763520167129215</c:v>
                </c:pt>
                <c:pt idx="777">
                  <c:v>98.763604832394066</c:v>
                </c:pt>
                <c:pt idx="778">
                  <c:v>98.763689495299317</c:v>
                </c:pt>
                <c:pt idx="779">
                  <c:v>98.763774155845027</c:v>
                </c:pt>
                <c:pt idx="780">
                  <c:v>98.763858814031224</c:v>
                </c:pt>
                <c:pt idx="781">
                  <c:v>98.763943469857963</c:v>
                </c:pt>
                <c:pt idx="782">
                  <c:v>98.764028123325247</c:v>
                </c:pt>
                <c:pt idx="783">
                  <c:v>98.76411277443313</c:v>
                </c:pt>
                <c:pt idx="784">
                  <c:v>98.764197423181642</c:v>
                </c:pt>
                <c:pt idx="785">
                  <c:v>98.764282069570811</c:v>
                </c:pt>
                <c:pt idx="786">
                  <c:v>98.76436671360068</c:v>
                </c:pt>
                <c:pt idx="787">
                  <c:v>98.764451355271305</c:v>
                </c:pt>
                <c:pt idx="788">
                  <c:v>98.764535994582687</c:v>
                </c:pt>
                <c:pt idx="789">
                  <c:v>98.764620631534868</c:v>
                </c:pt>
                <c:pt idx="790">
                  <c:v>98.764705266127905</c:v>
                </c:pt>
                <c:pt idx="791">
                  <c:v>98.764789898361826</c:v>
                </c:pt>
                <c:pt idx="792">
                  <c:v>98.76487452823666</c:v>
                </c:pt>
                <c:pt idx="793">
                  <c:v>98.764959155752436</c:v>
                </c:pt>
                <c:pt idx="794">
                  <c:v>98.765043780909224</c:v>
                </c:pt>
                <c:pt idx="795">
                  <c:v>98.76512840370701</c:v>
                </c:pt>
                <c:pt idx="796">
                  <c:v>98.765213024145865</c:v>
                </c:pt>
                <c:pt idx="797">
                  <c:v>98.765297642225804</c:v>
                </c:pt>
                <c:pt idx="798">
                  <c:v>98.765382257946882</c:v>
                </c:pt>
                <c:pt idx="799">
                  <c:v>98.765466871309101</c:v>
                </c:pt>
                <c:pt idx="800">
                  <c:v>98.765551482312546</c:v>
                </c:pt>
                <c:pt idx="801">
                  <c:v>98.765636090957216</c:v>
                </c:pt>
                <c:pt idx="802">
                  <c:v>98.765720697243168</c:v>
                </c:pt>
                <c:pt idx="803">
                  <c:v>98.765805301170417</c:v>
                </c:pt>
                <c:pt idx="804">
                  <c:v>98.765889902739019</c:v>
                </c:pt>
                <c:pt idx="805">
                  <c:v>98.765974501948989</c:v>
                </c:pt>
                <c:pt idx="806">
                  <c:v>98.766059098800369</c:v>
                </c:pt>
                <c:pt idx="807">
                  <c:v>98.766143693293202</c:v>
                </c:pt>
                <c:pt idx="808">
                  <c:v>98.766228285427516</c:v>
                </c:pt>
                <c:pt idx="809">
                  <c:v>98.766312875203354</c:v>
                </c:pt>
                <c:pt idx="810">
                  <c:v>98.766397462620745</c:v>
                </c:pt>
                <c:pt idx="811">
                  <c:v>98.76648204767973</c:v>
                </c:pt>
                <c:pt idx="812">
                  <c:v>98.766566630380353</c:v>
                </c:pt>
                <c:pt idx="813">
                  <c:v>98.766651210722628</c:v>
                </c:pt>
                <c:pt idx="814">
                  <c:v>98.766735788706612</c:v>
                </c:pt>
                <c:pt idx="815">
                  <c:v>98.766820364332318</c:v>
                </c:pt>
                <c:pt idx="816">
                  <c:v>98.766904937599804</c:v>
                </c:pt>
                <c:pt idx="817">
                  <c:v>98.766989508509099</c:v>
                </c:pt>
                <c:pt idx="818">
                  <c:v>98.767074077060229</c:v>
                </c:pt>
                <c:pt idx="819">
                  <c:v>98.767158643253225</c:v>
                </c:pt>
                <c:pt idx="820">
                  <c:v>98.767243207088143</c:v>
                </c:pt>
                <c:pt idx="821">
                  <c:v>98.767327768564996</c:v>
                </c:pt>
                <c:pt idx="822">
                  <c:v>98.767412327683857</c:v>
                </c:pt>
                <c:pt idx="823">
                  <c:v>98.767496884444711</c:v>
                </c:pt>
                <c:pt idx="824">
                  <c:v>98.767581438847628</c:v>
                </c:pt>
                <c:pt idx="825">
                  <c:v>98.767665990892652</c:v>
                </c:pt>
                <c:pt idx="826">
                  <c:v>98.767750540579769</c:v>
                </c:pt>
                <c:pt idx="827">
                  <c:v>98.767835087909077</c:v>
                </c:pt>
                <c:pt idx="828">
                  <c:v>98.767919632880563</c:v>
                </c:pt>
                <c:pt idx="829">
                  <c:v>98.768004175494298</c:v>
                </c:pt>
                <c:pt idx="830">
                  <c:v>98.768088715750281</c:v>
                </c:pt>
                <c:pt idx="831">
                  <c:v>98.768173253648584</c:v>
                </c:pt>
                <c:pt idx="832">
                  <c:v>98.768257789189221</c:v>
                </c:pt>
                <c:pt idx="833">
                  <c:v>98.768342322372234</c:v>
                </c:pt>
                <c:pt idx="834">
                  <c:v>98.768426853197653</c:v>
                </c:pt>
                <c:pt idx="835">
                  <c:v>98.768511381665519</c:v>
                </c:pt>
                <c:pt idx="836">
                  <c:v>98.768595907775875</c:v>
                </c:pt>
                <c:pt idx="837">
                  <c:v>98.768680431528736</c:v>
                </c:pt>
                <c:pt idx="838">
                  <c:v>98.768764952924144</c:v>
                </c:pt>
                <c:pt idx="839">
                  <c:v>98.768849471962156</c:v>
                </c:pt>
                <c:pt idx="840">
                  <c:v>98.768933988642772</c:v>
                </c:pt>
                <c:pt idx="841">
                  <c:v>98.769018502966063</c:v>
                </c:pt>
                <c:pt idx="842">
                  <c:v>98.769103014932043</c:v>
                </c:pt>
                <c:pt idx="843">
                  <c:v>98.769187524540754</c:v>
                </c:pt>
                <c:pt idx="844">
                  <c:v>98.769272031792227</c:v>
                </c:pt>
                <c:pt idx="845">
                  <c:v>98.769356536686516</c:v>
                </c:pt>
                <c:pt idx="846">
                  <c:v>98.769441039223651</c:v>
                </c:pt>
                <c:pt idx="847">
                  <c:v>98.769525539403645</c:v>
                </c:pt>
                <c:pt idx="848">
                  <c:v>98.769610037226556</c:v>
                </c:pt>
                <c:pt idx="849">
                  <c:v>98.769694532692398</c:v>
                </c:pt>
                <c:pt idx="850">
                  <c:v>98.769779025801213</c:v>
                </c:pt>
                <c:pt idx="851">
                  <c:v>98.769863516553059</c:v>
                </c:pt>
                <c:pt idx="852">
                  <c:v>98.769948004947949</c:v>
                </c:pt>
                <c:pt idx="853">
                  <c:v>98.77003249098594</c:v>
                </c:pt>
                <c:pt idx="854">
                  <c:v>98.770116974667033</c:v>
                </c:pt>
                <c:pt idx="855">
                  <c:v>98.770201455991284</c:v>
                </c:pt>
                <c:pt idx="856">
                  <c:v>98.770285934958736</c:v>
                </c:pt>
                <c:pt idx="857">
                  <c:v>98.770370411569402</c:v>
                </c:pt>
                <c:pt idx="858">
                  <c:v>98.770454885823341</c:v>
                </c:pt>
                <c:pt idx="859">
                  <c:v>98.770539357720594</c:v>
                </c:pt>
                <c:pt idx="860">
                  <c:v>98.770623827261176</c:v>
                </c:pt>
                <c:pt idx="861">
                  <c:v>98.770708294445114</c:v>
                </c:pt>
                <c:pt idx="862">
                  <c:v>98.770792759272481</c:v>
                </c:pt>
                <c:pt idx="863">
                  <c:v>98.770877221743277</c:v>
                </c:pt>
                <c:pt idx="864">
                  <c:v>98.770961681857543</c:v>
                </c:pt>
                <c:pt idx="865">
                  <c:v>98.771046139615336</c:v>
                </c:pt>
                <c:pt idx="866">
                  <c:v>98.771130595016686</c:v>
                </c:pt>
                <c:pt idx="867">
                  <c:v>98.771215048061606</c:v>
                </c:pt>
                <c:pt idx="868">
                  <c:v>98.771299498750153</c:v>
                </c:pt>
                <c:pt idx="869">
                  <c:v>98.771383947082342</c:v>
                </c:pt>
                <c:pt idx="870">
                  <c:v>98.771468393058242</c:v>
                </c:pt>
                <c:pt idx="871">
                  <c:v>98.771552836677856</c:v>
                </c:pt>
                <c:pt idx="872">
                  <c:v>98.771637277941224</c:v>
                </c:pt>
                <c:pt idx="873">
                  <c:v>98.771721716848404</c:v>
                </c:pt>
                <c:pt idx="874">
                  <c:v>98.771806153399424</c:v>
                </c:pt>
                <c:pt idx="875">
                  <c:v>98.771890587594299</c:v>
                </c:pt>
                <c:pt idx="876">
                  <c:v>98.7719750194331</c:v>
                </c:pt>
                <c:pt idx="877">
                  <c:v>98.772059448915812</c:v>
                </c:pt>
                <c:pt idx="878">
                  <c:v>98.772143876042506</c:v>
                </c:pt>
                <c:pt idx="879">
                  <c:v>98.772228300813211</c:v>
                </c:pt>
                <c:pt idx="880">
                  <c:v>98.772312723227969</c:v>
                </c:pt>
                <c:pt idx="881">
                  <c:v>98.772397143286796</c:v>
                </c:pt>
                <c:pt idx="882">
                  <c:v>98.77248156098976</c:v>
                </c:pt>
                <c:pt idx="883">
                  <c:v>98.772565976336864</c:v>
                </c:pt>
                <c:pt idx="884">
                  <c:v>98.772650389328163</c:v>
                </c:pt>
                <c:pt idx="885">
                  <c:v>98.7727347999637</c:v>
                </c:pt>
                <c:pt idx="886">
                  <c:v>98.77281920824349</c:v>
                </c:pt>
                <c:pt idx="887">
                  <c:v>98.772903614167561</c:v>
                </c:pt>
                <c:pt idx="888">
                  <c:v>98.772988017735983</c:v>
                </c:pt>
                <c:pt idx="889">
                  <c:v>98.773072418948757</c:v>
                </c:pt>
                <c:pt idx="890">
                  <c:v>98.77315681780594</c:v>
                </c:pt>
                <c:pt idx="891">
                  <c:v>98.773241214307561</c:v>
                </c:pt>
                <c:pt idx="892">
                  <c:v>98.773325608453661</c:v>
                </c:pt>
                <c:pt idx="893">
                  <c:v>98.773410000244255</c:v>
                </c:pt>
                <c:pt idx="894">
                  <c:v>98.773494389679414</c:v>
                </c:pt>
                <c:pt idx="895">
                  <c:v>98.773578776759138</c:v>
                </c:pt>
                <c:pt idx="896">
                  <c:v>98.773663161483483</c:v>
                </c:pt>
                <c:pt idx="897">
                  <c:v>98.773747543852494</c:v>
                </c:pt>
                <c:pt idx="898">
                  <c:v>98.773831923866183</c:v>
                </c:pt>
                <c:pt idx="899">
                  <c:v>98.773916301524594</c:v>
                </c:pt>
                <c:pt idx="900">
                  <c:v>98.774000676827754</c:v>
                </c:pt>
                <c:pt idx="901">
                  <c:v>98.774085049775707</c:v>
                </c:pt>
                <c:pt idx="902">
                  <c:v>98.774169420368494</c:v>
                </c:pt>
                <c:pt idx="903">
                  <c:v>98.774253788606146</c:v>
                </c:pt>
                <c:pt idx="904">
                  <c:v>98.774338154488703</c:v>
                </c:pt>
                <c:pt idx="905">
                  <c:v>98.774422518016181</c:v>
                </c:pt>
                <c:pt idx="906">
                  <c:v>98.774506879188635</c:v>
                </c:pt>
                <c:pt idx="907">
                  <c:v>98.77459123800611</c:v>
                </c:pt>
                <c:pt idx="908">
                  <c:v>98.774675594468633</c:v>
                </c:pt>
                <c:pt idx="909">
                  <c:v>98.774759948576218</c:v>
                </c:pt>
                <c:pt idx="910">
                  <c:v>98.774844300328922</c:v>
                </c:pt>
                <c:pt idx="911">
                  <c:v>98.774928649726775</c:v>
                </c:pt>
                <c:pt idx="912">
                  <c:v>98.775012996769789</c:v>
                </c:pt>
                <c:pt idx="913">
                  <c:v>98.77509734145805</c:v>
                </c:pt>
                <c:pt idx="914">
                  <c:v>98.775181683791558</c:v>
                </c:pt>
                <c:pt idx="915">
                  <c:v>98.775266023770371</c:v>
                </c:pt>
                <c:pt idx="916">
                  <c:v>98.775350361394501</c:v>
                </c:pt>
                <c:pt idx="917">
                  <c:v>98.775434696663993</c:v>
                </c:pt>
                <c:pt idx="918">
                  <c:v>98.775519029578888</c:v>
                </c:pt>
                <c:pt idx="919">
                  <c:v>98.775603360139215</c:v>
                </c:pt>
                <c:pt idx="920">
                  <c:v>98.775687688345002</c:v>
                </c:pt>
                <c:pt idx="921">
                  <c:v>98.775772014196306</c:v>
                </c:pt>
                <c:pt idx="922">
                  <c:v>98.775856337693142</c:v>
                </c:pt>
                <c:pt idx="923">
                  <c:v>98.775940658835566</c:v>
                </c:pt>
                <c:pt idx="924">
                  <c:v>98.776024977623592</c:v>
                </c:pt>
                <c:pt idx="925">
                  <c:v>98.776109294057264</c:v>
                </c:pt>
                <c:pt idx="926">
                  <c:v>98.776193608136623</c:v>
                </c:pt>
                <c:pt idx="927">
                  <c:v>98.776277919861698</c:v>
                </c:pt>
                <c:pt idx="928">
                  <c:v>98.776362229232532</c:v>
                </c:pt>
                <c:pt idx="929">
                  <c:v>98.776446536249153</c:v>
                </c:pt>
                <c:pt idx="930">
                  <c:v>98.77653084091159</c:v>
                </c:pt>
                <c:pt idx="931">
                  <c:v>98.7766151432199</c:v>
                </c:pt>
                <c:pt idx="932">
                  <c:v>98.77669944317411</c:v>
                </c:pt>
                <c:pt idx="933">
                  <c:v>98.776783740774249</c:v>
                </c:pt>
                <c:pt idx="934">
                  <c:v>98.776868036020346</c:v>
                </c:pt>
                <c:pt idx="935">
                  <c:v>98.776952328912458</c:v>
                </c:pt>
                <c:pt idx="936">
                  <c:v>98.777036619450584</c:v>
                </c:pt>
                <c:pt idx="937">
                  <c:v>98.77712090763481</c:v>
                </c:pt>
                <c:pt idx="938">
                  <c:v>98.777205193465136</c:v>
                </c:pt>
                <c:pt idx="939">
                  <c:v>98.777289476941633</c:v>
                </c:pt>
                <c:pt idx="940">
                  <c:v>98.777373758064272</c:v>
                </c:pt>
                <c:pt idx="941">
                  <c:v>98.777458036833139</c:v>
                </c:pt>
                <c:pt idx="942">
                  <c:v>98.777542313248247</c:v>
                </c:pt>
                <c:pt idx="943">
                  <c:v>98.777626587309669</c:v>
                </c:pt>
                <c:pt idx="944">
                  <c:v>98.777710859017404</c:v>
                </c:pt>
                <c:pt idx="945">
                  <c:v>98.777795128371494</c:v>
                </c:pt>
                <c:pt idx="946">
                  <c:v>98.777879395371968</c:v>
                </c:pt>
                <c:pt idx="947">
                  <c:v>98.77796366001887</c:v>
                </c:pt>
                <c:pt idx="948">
                  <c:v>98.778047922312254</c:v>
                </c:pt>
                <c:pt idx="949">
                  <c:v>98.778132182252122</c:v>
                </c:pt>
                <c:pt idx="950">
                  <c:v>98.778216439838531</c:v>
                </c:pt>
                <c:pt idx="951">
                  <c:v>98.778300695071508</c:v>
                </c:pt>
                <c:pt idx="952">
                  <c:v>98.778384947951096</c:v>
                </c:pt>
                <c:pt idx="953">
                  <c:v>98.778469198477325</c:v>
                </c:pt>
                <c:pt idx="954">
                  <c:v>98.77855344665025</c:v>
                </c:pt>
                <c:pt idx="955">
                  <c:v>98.778637692469871</c:v>
                </c:pt>
                <c:pt idx="956">
                  <c:v>98.778721935936247</c:v>
                </c:pt>
                <c:pt idx="957">
                  <c:v>98.778806177049404</c:v>
                </c:pt>
                <c:pt idx="958">
                  <c:v>98.778890415809386</c:v>
                </c:pt>
                <c:pt idx="959">
                  <c:v>98.77897465221622</c:v>
                </c:pt>
                <c:pt idx="960">
                  <c:v>98.779058886269951</c:v>
                </c:pt>
                <c:pt idx="961">
                  <c:v>98.779143117970591</c:v>
                </c:pt>
                <c:pt idx="962">
                  <c:v>98.779227347318212</c:v>
                </c:pt>
                <c:pt idx="963">
                  <c:v>98.779311574312828</c:v>
                </c:pt>
                <c:pt idx="964">
                  <c:v>98.779395798954482</c:v>
                </c:pt>
                <c:pt idx="965">
                  <c:v>98.779480021243188</c:v>
                </c:pt>
                <c:pt idx="966">
                  <c:v>98.779564241179017</c:v>
                </c:pt>
                <c:pt idx="967">
                  <c:v>98.779648458761983</c:v>
                </c:pt>
                <c:pt idx="968">
                  <c:v>98.779732673992115</c:v>
                </c:pt>
                <c:pt idx="969">
                  <c:v>98.779816886869469</c:v>
                </c:pt>
                <c:pt idx="970">
                  <c:v>98.77990109739406</c:v>
                </c:pt>
                <c:pt idx="971">
                  <c:v>98.77998530556593</c:v>
                </c:pt>
                <c:pt idx="972">
                  <c:v>98.780069511385136</c:v>
                </c:pt>
                <c:pt idx="973">
                  <c:v>98.780153714851679</c:v>
                </c:pt>
                <c:pt idx="974">
                  <c:v>98.780237915965614</c:v>
                </c:pt>
                <c:pt idx="975">
                  <c:v>98.780322114726971</c:v>
                </c:pt>
                <c:pt idx="976">
                  <c:v>98.780406311135806</c:v>
                </c:pt>
                <c:pt idx="977">
                  <c:v>98.78049050519212</c:v>
                </c:pt>
                <c:pt idx="978">
                  <c:v>98.780574696895954</c:v>
                </c:pt>
                <c:pt idx="979">
                  <c:v>98.78065888624738</c:v>
                </c:pt>
                <c:pt idx="980">
                  <c:v>98.780743073246384</c:v>
                </c:pt>
                <c:pt idx="981">
                  <c:v>98.780827257893037</c:v>
                </c:pt>
                <c:pt idx="982">
                  <c:v>98.780911440187367</c:v>
                </c:pt>
                <c:pt idx="983">
                  <c:v>98.780995620129403</c:v>
                </c:pt>
                <c:pt idx="984">
                  <c:v>98.781079797719173</c:v>
                </c:pt>
                <c:pt idx="985">
                  <c:v>98.781163972956733</c:v>
                </c:pt>
                <c:pt idx="986">
                  <c:v>98.781248145842099</c:v>
                </c:pt>
                <c:pt idx="987">
                  <c:v>98.781332316375313</c:v>
                </c:pt>
                <c:pt idx="988">
                  <c:v>98.781416484556431</c:v>
                </c:pt>
                <c:pt idx="989">
                  <c:v>98.781500650385453</c:v>
                </c:pt>
                <c:pt idx="990">
                  <c:v>98.781584813862452</c:v>
                </c:pt>
                <c:pt idx="991">
                  <c:v>98.781668974987426</c:v>
                </c:pt>
                <c:pt idx="992">
                  <c:v>98.781753133760446</c:v>
                </c:pt>
                <c:pt idx="993">
                  <c:v>98.7818372901815</c:v>
                </c:pt>
                <c:pt idx="994">
                  <c:v>98.781921444250685</c:v>
                </c:pt>
                <c:pt idx="995">
                  <c:v>98.782005595968002</c:v>
                </c:pt>
                <c:pt idx="996">
                  <c:v>98.782089745333479</c:v>
                </c:pt>
                <c:pt idx="997">
                  <c:v>98.78217389234716</c:v>
                </c:pt>
                <c:pt idx="998">
                  <c:v>98.782258037009086</c:v>
                </c:pt>
                <c:pt idx="999">
                  <c:v>98.782342179319286</c:v>
                </c:pt>
                <c:pt idx="1000">
                  <c:v>98.782426319277803</c:v>
                </c:pt>
              </c:numCache>
            </c:numRef>
          </c:yVal>
          <c:smooth val="0"/>
          <c:extLst>
            <c:ext xmlns:c16="http://schemas.microsoft.com/office/drawing/2014/chart" uri="{C3380CC4-5D6E-409C-BE32-E72D297353CC}">
              <c16:uniqueId val="{00000000-011B-490F-A283-4EB42FA064EB}"/>
            </c:ext>
          </c:extLst>
        </c:ser>
        <c:dLbls>
          <c:showLegendKey val="0"/>
          <c:showVal val="0"/>
          <c:showCatName val="0"/>
          <c:showSerName val="0"/>
          <c:showPercent val="0"/>
          <c:showBubbleSize val="0"/>
        </c:dLbls>
        <c:axId val="149125760"/>
        <c:axId val="149132032"/>
      </c:scatterChart>
      <c:valAx>
        <c:axId val="149125760"/>
        <c:scaling>
          <c:orientation val="minMax"/>
        </c:scaling>
        <c:delete val="0"/>
        <c:axPos val="b"/>
        <c:majorGridlines>
          <c:spPr>
            <a:ln w="3175">
              <a:solidFill>
                <a:srgbClr val="000000"/>
              </a:solidFill>
              <a:prstDash val="sysDash"/>
            </a:ln>
          </c:spPr>
        </c:majorGridlines>
        <c:title>
          <c:tx>
            <c:strRef>
              <c:f>Courbes!$B$146</c:f>
              <c:strCache>
                <c:ptCount val="1"/>
                <c:pt idx="0">
                  <c:v>Temps [s]</c:v>
                </c:pt>
              </c:strCache>
            </c:strRef>
          </c:tx>
          <c:overlay val="0"/>
          <c:txPr>
            <a:bodyPr/>
            <a:lstStyle/>
            <a:p>
              <a:pPr>
                <a:defRPr sz="1000" b="0" i="0" u="none" strike="noStrike" baseline="0">
                  <a:solidFill>
                    <a:srgbClr val="000000"/>
                  </a:solidFill>
                  <a:latin typeface="Arial"/>
                  <a:ea typeface="Arial"/>
                  <a:cs typeface="Arial"/>
                </a:defRPr>
              </a:pPr>
              <a:endParaRPr lang="fr-FR"/>
            </a:p>
          </c:txPr>
        </c:title>
        <c:numFmt formatCode="0" sourceLinked="0"/>
        <c:majorTickMark val="out"/>
        <c:minorTickMark val="none"/>
        <c:tickLblPos val="nextTo"/>
        <c:spPr>
          <a:ln w="3175">
            <a:solidFill>
              <a:srgbClr val="000000"/>
            </a:solidFill>
            <a:prstDash val="solid"/>
          </a:ln>
        </c:spPr>
        <c:txPr>
          <a:bodyPr rot="0" vert="horz"/>
          <a:lstStyle/>
          <a:p>
            <a:pPr>
              <a:defRPr sz="1175" b="0" i="0" u="none" strike="noStrike" baseline="0">
                <a:solidFill>
                  <a:srgbClr val="000000"/>
                </a:solidFill>
                <a:latin typeface="Arial"/>
                <a:ea typeface="Arial"/>
                <a:cs typeface="Arial"/>
              </a:defRPr>
            </a:pPr>
            <a:endParaRPr lang="fr-FR"/>
          </a:p>
        </c:txPr>
        <c:crossAx val="149132032"/>
        <c:crosses val="autoZero"/>
        <c:crossBetween val="midCat"/>
      </c:valAx>
      <c:valAx>
        <c:axId val="149132032"/>
        <c:scaling>
          <c:orientation val="minMax"/>
        </c:scaling>
        <c:delete val="0"/>
        <c:axPos val="l"/>
        <c:majorGridlines>
          <c:spPr>
            <a:ln w="3175">
              <a:solidFill>
                <a:srgbClr val="000000"/>
              </a:solidFill>
              <a:prstDash val="sysDash"/>
            </a:ln>
          </c:spPr>
        </c:majorGridlines>
        <c:title>
          <c:tx>
            <c:strRef>
              <c:f>Courbes!$B$141</c:f>
              <c:strCache>
                <c:ptCount val="1"/>
                <c:pt idx="0">
                  <c:v>Vitesse [m/s]</c:v>
                </c:pt>
              </c:strCache>
            </c:strRef>
          </c:tx>
          <c:layout>
            <c:manualLayout>
              <c:xMode val="edge"/>
              <c:yMode val="edge"/>
              <c:x val="2.5943396226415099E-2"/>
              <c:y val="0.22875870516185479"/>
            </c:manualLayout>
          </c:layout>
          <c:overlay val="0"/>
          <c:spPr>
            <a:noFill/>
            <a:ln w="25400">
              <a:noFill/>
            </a:ln>
          </c:spPr>
          <c:txPr>
            <a:bodyPr/>
            <a:lstStyle/>
            <a:p>
              <a:pPr>
                <a:defRPr sz="1000" b="1" i="0" u="none" strike="noStrike" baseline="0">
                  <a:solidFill>
                    <a:srgbClr val="000000"/>
                  </a:solidFill>
                  <a:latin typeface="Arial"/>
                  <a:ea typeface="Arial"/>
                  <a:cs typeface="Arial"/>
                </a:defRPr>
              </a:pPr>
              <a:endParaRPr lang="fr-FR"/>
            </a:p>
          </c:txPr>
        </c:title>
        <c:numFmt formatCode="0" sourceLinked="0"/>
        <c:majorTickMark val="out"/>
        <c:minorTickMark val="none"/>
        <c:tickLblPos val="nextTo"/>
        <c:spPr>
          <a:ln w="3175">
            <a:solidFill>
              <a:srgbClr val="000000"/>
            </a:solidFill>
            <a:prstDash val="solid"/>
          </a:ln>
        </c:spPr>
        <c:txPr>
          <a:bodyPr rot="0" vert="horz"/>
          <a:lstStyle/>
          <a:p>
            <a:pPr>
              <a:defRPr sz="1175" b="0" i="0" u="none" strike="noStrike" baseline="0">
                <a:solidFill>
                  <a:srgbClr val="000000"/>
                </a:solidFill>
                <a:latin typeface="Arial"/>
                <a:ea typeface="Arial"/>
                <a:cs typeface="Arial"/>
              </a:defRPr>
            </a:pPr>
            <a:endParaRPr lang="fr-FR"/>
          </a:p>
        </c:txPr>
        <c:crossAx val="149125760"/>
        <c:crosses val="autoZero"/>
        <c:crossBetween val="midCat"/>
      </c:valAx>
      <c:spPr>
        <a:noFill/>
        <a:ln w="12700">
          <a:solidFill>
            <a:srgbClr val="808080"/>
          </a:solidFill>
          <a:prstDash val="solid"/>
        </a:ln>
      </c:spPr>
    </c:plotArea>
    <c:legend>
      <c:legendPos val="r"/>
      <c:layout>
        <c:manualLayout>
          <c:xMode val="edge"/>
          <c:yMode val="edge"/>
          <c:x val="0.81839684544148961"/>
          <c:y val="0.46444479440069991"/>
          <c:w val="0.13207559550339221"/>
          <c:h val="7.7777777777777779E-2"/>
        </c:manualLayout>
      </c:layout>
      <c:overlay val="0"/>
      <c:spPr>
        <a:solidFill>
          <a:srgbClr val="FFFFFF"/>
        </a:solidFill>
        <a:ln w="3175">
          <a:solidFill>
            <a:srgbClr val="000000"/>
          </a:solidFill>
          <a:prstDash val="solid"/>
        </a:ln>
      </c:spPr>
      <c:txPr>
        <a:bodyPr/>
        <a:lstStyle/>
        <a:p>
          <a:pPr>
            <a:defRPr sz="970" b="0" i="0" u="none" strike="noStrike" baseline="0">
              <a:solidFill>
                <a:srgbClr val="000000"/>
              </a:solidFill>
              <a:latin typeface="Arial"/>
              <a:ea typeface="Arial"/>
              <a:cs typeface="Arial"/>
            </a:defRPr>
          </a:pPr>
          <a:endParaRPr lang="fr-FR"/>
        </a:p>
      </c:txPr>
    </c:legend>
    <c:plotVisOnly val="0"/>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51180555555555562" footer="0.51180555555555562"/>
    <c:pageSetup firstPageNumber="0"/>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fr-FR"/>
              <a:t>Accélérations</a:t>
            </a:r>
          </a:p>
        </c:rich>
      </c:tx>
      <c:overlay val="1"/>
    </c:title>
    <c:autoTitleDeleted val="0"/>
    <c:plotArea>
      <c:layout>
        <c:manualLayout>
          <c:layoutTarget val="inner"/>
          <c:xMode val="edge"/>
          <c:yMode val="edge"/>
          <c:x val="9.4339622641509524E-2"/>
          <c:y val="9.4771241830065356E-2"/>
          <c:w val="0.88679245283019104"/>
          <c:h val="0.81699346405228768"/>
        </c:manualLayout>
      </c:layout>
      <c:scatterChart>
        <c:scatterStyle val="lineMarker"/>
        <c:varyColors val="0"/>
        <c:ser>
          <c:idx val="0"/>
          <c:order val="0"/>
          <c:tx>
            <c:strRef>
              <c:f>Courbes!$B$137</c:f>
              <c:strCache>
                <c:ptCount val="1"/>
                <c:pt idx="0">
                  <c:v>Accélération longitudinale</c:v>
                </c:pt>
              </c:strCache>
            </c:strRef>
          </c:tx>
          <c:spPr>
            <a:ln w="25400">
              <a:solidFill>
                <a:srgbClr val="800000"/>
              </a:solidFill>
              <a:prstDash val="solid"/>
            </a:ln>
          </c:spPr>
          <c:marker>
            <c:symbol val="none"/>
          </c:marker>
          <c:xVal>
            <c:numRef>
              <c:f>Calculs!$B$4:$B$1004</c:f>
              <c:numCache>
                <c:formatCode>0.00</c:formatCode>
                <c:ptCount val="1001"/>
                <c:pt idx="0">
                  <c:v>0</c:v>
                </c:pt>
                <c:pt idx="1">
                  <c:v>0.01</c:v>
                </c:pt>
                <c:pt idx="2">
                  <c:v>0.02</c:v>
                </c:pt>
                <c:pt idx="3">
                  <c:v>0.03</c:v>
                </c:pt>
                <c:pt idx="4">
                  <c:v>0.04</c:v>
                </c:pt>
                <c:pt idx="5">
                  <c:v>0.05</c:v>
                </c:pt>
                <c:pt idx="6">
                  <c:v>6.0000000000000005E-2</c:v>
                </c:pt>
                <c:pt idx="7">
                  <c:v>7.0000000000000007E-2</c:v>
                </c:pt>
                <c:pt idx="8">
                  <c:v>0.08</c:v>
                </c:pt>
                <c:pt idx="9">
                  <c:v>0.09</c:v>
                </c:pt>
                <c:pt idx="10">
                  <c:v>9.9999999999999992E-2</c:v>
                </c:pt>
                <c:pt idx="11">
                  <c:v>0.10999999999999999</c:v>
                </c:pt>
                <c:pt idx="12">
                  <c:v>0.11999999999999998</c:v>
                </c:pt>
                <c:pt idx="13">
                  <c:v>0.12999999999999998</c:v>
                </c:pt>
                <c:pt idx="14">
                  <c:v>0.13999999999999999</c:v>
                </c:pt>
                <c:pt idx="15">
                  <c:v>0.15</c:v>
                </c:pt>
                <c:pt idx="16">
                  <c:v>0.16</c:v>
                </c:pt>
                <c:pt idx="17">
                  <c:v>0.17</c:v>
                </c:pt>
                <c:pt idx="18">
                  <c:v>0.18000000000000002</c:v>
                </c:pt>
                <c:pt idx="19">
                  <c:v>0.19000000000000003</c:v>
                </c:pt>
                <c:pt idx="20">
                  <c:v>0.20000000000000004</c:v>
                </c:pt>
                <c:pt idx="21">
                  <c:v>0.21000000000000005</c:v>
                </c:pt>
                <c:pt idx="22">
                  <c:v>0.22000000000000006</c:v>
                </c:pt>
                <c:pt idx="23">
                  <c:v>0.23000000000000007</c:v>
                </c:pt>
                <c:pt idx="24">
                  <c:v>0.24000000000000007</c:v>
                </c:pt>
                <c:pt idx="25">
                  <c:v>0.25000000000000006</c:v>
                </c:pt>
                <c:pt idx="26">
                  <c:v>0.26000000000000006</c:v>
                </c:pt>
                <c:pt idx="27">
                  <c:v>0.27000000000000007</c:v>
                </c:pt>
                <c:pt idx="28">
                  <c:v>0.28000000000000008</c:v>
                </c:pt>
                <c:pt idx="29">
                  <c:v>0.29000000000000009</c:v>
                </c:pt>
                <c:pt idx="30">
                  <c:v>0.3000000000000001</c:v>
                </c:pt>
                <c:pt idx="31">
                  <c:v>0.31000000000000011</c:v>
                </c:pt>
                <c:pt idx="32">
                  <c:v>0.32000000000000012</c:v>
                </c:pt>
                <c:pt idx="33">
                  <c:v>0.33000000000000013</c:v>
                </c:pt>
                <c:pt idx="34">
                  <c:v>0.34000000000000014</c:v>
                </c:pt>
                <c:pt idx="35">
                  <c:v>0.35000000000000014</c:v>
                </c:pt>
                <c:pt idx="36">
                  <c:v>0.36000000000000015</c:v>
                </c:pt>
                <c:pt idx="37">
                  <c:v>0.37000000000000016</c:v>
                </c:pt>
                <c:pt idx="38">
                  <c:v>0.38000000000000017</c:v>
                </c:pt>
                <c:pt idx="39">
                  <c:v>0.39000000000000018</c:v>
                </c:pt>
                <c:pt idx="40">
                  <c:v>0.40000000000000019</c:v>
                </c:pt>
                <c:pt idx="41">
                  <c:v>0.4100000000000002</c:v>
                </c:pt>
                <c:pt idx="42">
                  <c:v>0.42000000000000021</c:v>
                </c:pt>
                <c:pt idx="43">
                  <c:v>0.43000000000000022</c:v>
                </c:pt>
                <c:pt idx="44">
                  <c:v>0.44000000000000022</c:v>
                </c:pt>
                <c:pt idx="45">
                  <c:v>0.45000000000000023</c:v>
                </c:pt>
                <c:pt idx="46">
                  <c:v>0.46000000000000024</c:v>
                </c:pt>
                <c:pt idx="47">
                  <c:v>0.47000000000000025</c:v>
                </c:pt>
                <c:pt idx="48">
                  <c:v>0.48000000000000026</c:v>
                </c:pt>
                <c:pt idx="49">
                  <c:v>0.49000000000000027</c:v>
                </c:pt>
                <c:pt idx="50">
                  <c:v>0.50000000000000022</c:v>
                </c:pt>
                <c:pt idx="51">
                  <c:v>0.51000000000000023</c:v>
                </c:pt>
                <c:pt idx="52">
                  <c:v>0.52000000000000024</c:v>
                </c:pt>
                <c:pt idx="53">
                  <c:v>0.53000000000000025</c:v>
                </c:pt>
                <c:pt idx="54">
                  <c:v>0.54000000000000026</c:v>
                </c:pt>
                <c:pt idx="55">
                  <c:v>0.55000000000000027</c:v>
                </c:pt>
                <c:pt idx="56">
                  <c:v>0.56000000000000028</c:v>
                </c:pt>
                <c:pt idx="57">
                  <c:v>0.57000000000000028</c:v>
                </c:pt>
                <c:pt idx="58">
                  <c:v>0.58000000000000029</c:v>
                </c:pt>
                <c:pt idx="59">
                  <c:v>0.5900000000000003</c:v>
                </c:pt>
                <c:pt idx="60">
                  <c:v>0.60000000000000031</c:v>
                </c:pt>
                <c:pt idx="61">
                  <c:v>0.61000000000000032</c:v>
                </c:pt>
                <c:pt idx="62">
                  <c:v>0.62000000000000033</c:v>
                </c:pt>
                <c:pt idx="63">
                  <c:v>0.63000000000000034</c:v>
                </c:pt>
                <c:pt idx="64">
                  <c:v>0.64000000000000035</c:v>
                </c:pt>
                <c:pt idx="65">
                  <c:v>0.65000000000000036</c:v>
                </c:pt>
                <c:pt idx="66">
                  <c:v>0.66000000000000036</c:v>
                </c:pt>
                <c:pt idx="67">
                  <c:v>0.67000000000000037</c:v>
                </c:pt>
                <c:pt idx="68">
                  <c:v>0.68000000000000038</c:v>
                </c:pt>
                <c:pt idx="69">
                  <c:v>0.69000000000000039</c:v>
                </c:pt>
                <c:pt idx="70">
                  <c:v>0.7000000000000004</c:v>
                </c:pt>
                <c:pt idx="71">
                  <c:v>0.71000000000000041</c:v>
                </c:pt>
                <c:pt idx="72">
                  <c:v>0.72000000000000042</c:v>
                </c:pt>
                <c:pt idx="73">
                  <c:v>0.73000000000000043</c:v>
                </c:pt>
                <c:pt idx="74">
                  <c:v>0.74000000000000044</c:v>
                </c:pt>
                <c:pt idx="75">
                  <c:v>0.75000000000000044</c:v>
                </c:pt>
                <c:pt idx="76">
                  <c:v>0.76000000000000045</c:v>
                </c:pt>
                <c:pt idx="77">
                  <c:v>0.77000000000000046</c:v>
                </c:pt>
                <c:pt idx="78">
                  <c:v>0.78000000000000047</c:v>
                </c:pt>
                <c:pt idx="79">
                  <c:v>0.79000000000000048</c:v>
                </c:pt>
                <c:pt idx="80">
                  <c:v>0.80000000000000049</c:v>
                </c:pt>
                <c:pt idx="81">
                  <c:v>0.8100000000000005</c:v>
                </c:pt>
                <c:pt idx="82">
                  <c:v>0.82000000000000051</c:v>
                </c:pt>
                <c:pt idx="83">
                  <c:v>0.83000000000000052</c:v>
                </c:pt>
                <c:pt idx="84">
                  <c:v>0.84000000000000052</c:v>
                </c:pt>
                <c:pt idx="85">
                  <c:v>0.85000000000000053</c:v>
                </c:pt>
                <c:pt idx="86">
                  <c:v>0.86000000000000054</c:v>
                </c:pt>
                <c:pt idx="87">
                  <c:v>0.87000000000000055</c:v>
                </c:pt>
                <c:pt idx="88">
                  <c:v>0.88000000000000056</c:v>
                </c:pt>
                <c:pt idx="89">
                  <c:v>0.89000000000000057</c:v>
                </c:pt>
                <c:pt idx="90">
                  <c:v>0.90000000000000058</c:v>
                </c:pt>
                <c:pt idx="91">
                  <c:v>0.91000000000000059</c:v>
                </c:pt>
                <c:pt idx="92">
                  <c:v>0.9200000000000006</c:v>
                </c:pt>
                <c:pt idx="93">
                  <c:v>0.9300000000000006</c:v>
                </c:pt>
                <c:pt idx="94">
                  <c:v>0.94000000000000061</c:v>
                </c:pt>
                <c:pt idx="95">
                  <c:v>0.95000000000000062</c:v>
                </c:pt>
                <c:pt idx="96">
                  <c:v>0.96000000000000063</c:v>
                </c:pt>
                <c:pt idx="97">
                  <c:v>0.97000000000000064</c:v>
                </c:pt>
                <c:pt idx="98">
                  <c:v>0.98000000000000065</c:v>
                </c:pt>
                <c:pt idx="99">
                  <c:v>0.99000000000000066</c:v>
                </c:pt>
                <c:pt idx="100">
                  <c:v>1.0000000000000007</c:v>
                </c:pt>
                <c:pt idx="101">
                  <c:v>1.1000000000000008</c:v>
                </c:pt>
                <c:pt idx="102">
                  <c:v>1.2000000000000008</c:v>
                </c:pt>
                <c:pt idx="103">
                  <c:v>1.3000000000000009</c:v>
                </c:pt>
                <c:pt idx="104">
                  <c:v>1.400000000000001</c:v>
                </c:pt>
                <c:pt idx="105">
                  <c:v>1.5000000000000011</c:v>
                </c:pt>
                <c:pt idx="106">
                  <c:v>1.6000000000000012</c:v>
                </c:pt>
                <c:pt idx="107">
                  <c:v>1.7000000000000013</c:v>
                </c:pt>
                <c:pt idx="108">
                  <c:v>1.8000000000000014</c:v>
                </c:pt>
                <c:pt idx="109">
                  <c:v>1.9000000000000015</c:v>
                </c:pt>
                <c:pt idx="110">
                  <c:v>2.0000000000000013</c:v>
                </c:pt>
                <c:pt idx="111">
                  <c:v>2.1000000000000014</c:v>
                </c:pt>
                <c:pt idx="112">
                  <c:v>2.2000000000000015</c:v>
                </c:pt>
                <c:pt idx="113">
                  <c:v>2.3000000000000016</c:v>
                </c:pt>
                <c:pt idx="114">
                  <c:v>2.4000000000000017</c:v>
                </c:pt>
                <c:pt idx="115">
                  <c:v>2.5000000000000018</c:v>
                </c:pt>
                <c:pt idx="116">
                  <c:v>2.6000000000000019</c:v>
                </c:pt>
                <c:pt idx="117">
                  <c:v>2.700000000000002</c:v>
                </c:pt>
                <c:pt idx="118">
                  <c:v>2.800000000000002</c:v>
                </c:pt>
                <c:pt idx="119">
                  <c:v>2.9000000000000021</c:v>
                </c:pt>
                <c:pt idx="120">
                  <c:v>3.0000000000000022</c:v>
                </c:pt>
                <c:pt idx="121">
                  <c:v>3.1000000000000023</c:v>
                </c:pt>
                <c:pt idx="122">
                  <c:v>3.2000000000000024</c:v>
                </c:pt>
                <c:pt idx="123">
                  <c:v>3.3000000000000025</c:v>
                </c:pt>
                <c:pt idx="124">
                  <c:v>3.4000000000000026</c:v>
                </c:pt>
                <c:pt idx="125">
                  <c:v>3.5000000000000027</c:v>
                </c:pt>
                <c:pt idx="126">
                  <c:v>3.6000000000000028</c:v>
                </c:pt>
                <c:pt idx="127">
                  <c:v>3.7000000000000028</c:v>
                </c:pt>
                <c:pt idx="128">
                  <c:v>3.8000000000000029</c:v>
                </c:pt>
                <c:pt idx="129">
                  <c:v>3.900000000000003</c:v>
                </c:pt>
                <c:pt idx="130">
                  <c:v>4.0000000000000027</c:v>
                </c:pt>
                <c:pt idx="131">
                  <c:v>4.1000000000000023</c:v>
                </c:pt>
                <c:pt idx="132">
                  <c:v>4.200000000000002</c:v>
                </c:pt>
                <c:pt idx="133">
                  <c:v>4.3000000000000016</c:v>
                </c:pt>
                <c:pt idx="134">
                  <c:v>4.4000000000000012</c:v>
                </c:pt>
                <c:pt idx="135">
                  <c:v>4.5000000000000009</c:v>
                </c:pt>
                <c:pt idx="136">
                  <c:v>4.6000000000000005</c:v>
                </c:pt>
                <c:pt idx="137">
                  <c:v>4.7</c:v>
                </c:pt>
                <c:pt idx="138">
                  <c:v>4.8</c:v>
                </c:pt>
                <c:pt idx="139">
                  <c:v>4.8999999999999995</c:v>
                </c:pt>
                <c:pt idx="140">
                  <c:v>4.9999999999999991</c:v>
                </c:pt>
                <c:pt idx="141">
                  <c:v>5.0999999999999988</c:v>
                </c:pt>
                <c:pt idx="142">
                  <c:v>5.1999999999999984</c:v>
                </c:pt>
                <c:pt idx="143">
                  <c:v>5.299999999999998</c:v>
                </c:pt>
                <c:pt idx="144">
                  <c:v>5.3999999999999977</c:v>
                </c:pt>
                <c:pt idx="145">
                  <c:v>5.4999999999999973</c:v>
                </c:pt>
                <c:pt idx="146">
                  <c:v>5.599999999999997</c:v>
                </c:pt>
                <c:pt idx="147">
                  <c:v>5.6999999999999966</c:v>
                </c:pt>
                <c:pt idx="148">
                  <c:v>5.7999999999999963</c:v>
                </c:pt>
                <c:pt idx="149">
                  <c:v>5.8999999999999959</c:v>
                </c:pt>
                <c:pt idx="150">
                  <c:v>5.9999999999999956</c:v>
                </c:pt>
                <c:pt idx="151">
                  <c:v>6.0999999999999952</c:v>
                </c:pt>
                <c:pt idx="152">
                  <c:v>6.1999999999999948</c:v>
                </c:pt>
                <c:pt idx="153">
                  <c:v>6.2999999999999945</c:v>
                </c:pt>
                <c:pt idx="154">
                  <c:v>6.3999999999999941</c:v>
                </c:pt>
                <c:pt idx="155">
                  <c:v>6.4999999999999938</c:v>
                </c:pt>
                <c:pt idx="156">
                  <c:v>6.5999999999999934</c:v>
                </c:pt>
                <c:pt idx="157">
                  <c:v>6.6999999999999931</c:v>
                </c:pt>
                <c:pt idx="158">
                  <c:v>6.7999999999999927</c:v>
                </c:pt>
                <c:pt idx="159">
                  <c:v>6.8999999999999924</c:v>
                </c:pt>
                <c:pt idx="160">
                  <c:v>6.999999999999992</c:v>
                </c:pt>
                <c:pt idx="161">
                  <c:v>7.0999999999999917</c:v>
                </c:pt>
                <c:pt idx="162">
                  <c:v>7.1999999999999913</c:v>
                </c:pt>
                <c:pt idx="163">
                  <c:v>7.2999999999999909</c:v>
                </c:pt>
                <c:pt idx="164">
                  <c:v>7.3999999999999906</c:v>
                </c:pt>
                <c:pt idx="165">
                  <c:v>7.4999999999999902</c:v>
                </c:pt>
                <c:pt idx="166">
                  <c:v>7.5999999999999899</c:v>
                </c:pt>
                <c:pt idx="167">
                  <c:v>7.6999999999999895</c:v>
                </c:pt>
                <c:pt idx="168">
                  <c:v>7.7999999999999892</c:v>
                </c:pt>
                <c:pt idx="169">
                  <c:v>7.8999999999999888</c:v>
                </c:pt>
                <c:pt idx="170">
                  <c:v>7.9999999999999885</c:v>
                </c:pt>
                <c:pt idx="171">
                  <c:v>8.099999999999989</c:v>
                </c:pt>
                <c:pt idx="172">
                  <c:v>8.1999999999999886</c:v>
                </c:pt>
                <c:pt idx="173">
                  <c:v>8.2999999999999883</c:v>
                </c:pt>
                <c:pt idx="174">
                  <c:v>8.3999999999999879</c:v>
                </c:pt>
                <c:pt idx="175">
                  <c:v>8.4999999999999876</c:v>
                </c:pt>
                <c:pt idx="176">
                  <c:v>8.5999999999999872</c:v>
                </c:pt>
                <c:pt idx="177">
                  <c:v>8.6999999999999869</c:v>
                </c:pt>
                <c:pt idx="178">
                  <c:v>8.7999999999999865</c:v>
                </c:pt>
                <c:pt idx="179">
                  <c:v>8.8999999999999861</c:v>
                </c:pt>
                <c:pt idx="180">
                  <c:v>8.9999999999999858</c:v>
                </c:pt>
                <c:pt idx="181">
                  <c:v>9.0999999999999854</c:v>
                </c:pt>
                <c:pt idx="182">
                  <c:v>9.1999999999999851</c:v>
                </c:pt>
                <c:pt idx="183">
                  <c:v>9.2999999999999847</c:v>
                </c:pt>
                <c:pt idx="184">
                  <c:v>9.3999999999999844</c:v>
                </c:pt>
                <c:pt idx="185">
                  <c:v>9.499999999999984</c:v>
                </c:pt>
                <c:pt idx="186">
                  <c:v>9.5999999999999837</c:v>
                </c:pt>
                <c:pt idx="187">
                  <c:v>9.6999999999999833</c:v>
                </c:pt>
                <c:pt idx="188">
                  <c:v>9.7999999999999829</c:v>
                </c:pt>
                <c:pt idx="189">
                  <c:v>9.8999999999999826</c:v>
                </c:pt>
                <c:pt idx="190">
                  <c:v>9.9999999999999822</c:v>
                </c:pt>
                <c:pt idx="191">
                  <c:v>10.099999999999982</c:v>
                </c:pt>
                <c:pt idx="192">
                  <c:v>10.199999999999982</c:v>
                </c:pt>
                <c:pt idx="193">
                  <c:v>10.299999999999981</c:v>
                </c:pt>
                <c:pt idx="194">
                  <c:v>10.399999999999981</c:v>
                </c:pt>
                <c:pt idx="195">
                  <c:v>10.49999999999998</c:v>
                </c:pt>
                <c:pt idx="196">
                  <c:v>10.59999999999998</c:v>
                </c:pt>
                <c:pt idx="197">
                  <c:v>10.69999999999998</c:v>
                </c:pt>
                <c:pt idx="198">
                  <c:v>10.799999999999979</c:v>
                </c:pt>
                <c:pt idx="199">
                  <c:v>10.899999999999979</c:v>
                </c:pt>
                <c:pt idx="200">
                  <c:v>10.999999999999979</c:v>
                </c:pt>
                <c:pt idx="201">
                  <c:v>11.099999999999978</c:v>
                </c:pt>
                <c:pt idx="202">
                  <c:v>11.199999999999978</c:v>
                </c:pt>
                <c:pt idx="203">
                  <c:v>11.299999999999978</c:v>
                </c:pt>
                <c:pt idx="204">
                  <c:v>11.399999999999977</c:v>
                </c:pt>
                <c:pt idx="205">
                  <c:v>11.499999999999977</c:v>
                </c:pt>
                <c:pt idx="206">
                  <c:v>11.599999999999977</c:v>
                </c:pt>
                <c:pt idx="207">
                  <c:v>11.699999999999976</c:v>
                </c:pt>
                <c:pt idx="208">
                  <c:v>11.799999999999976</c:v>
                </c:pt>
                <c:pt idx="209">
                  <c:v>11.899999999999975</c:v>
                </c:pt>
                <c:pt idx="210">
                  <c:v>11.999999999999975</c:v>
                </c:pt>
                <c:pt idx="211">
                  <c:v>12.099999999999975</c:v>
                </c:pt>
                <c:pt idx="212">
                  <c:v>12.199999999999974</c:v>
                </c:pt>
                <c:pt idx="213">
                  <c:v>12.299999999999974</c:v>
                </c:pt>
                <c:pt idx="214">
                  <c:v>12.399999999999974</c:v>
                </c:pt>
                <c:pt idx="215">
                  <c:v>12.499999999999973</c:v>
                </c:pt>
                <c:pt idx="216">
                  <c:v>12.599999999999973</c:v>
                </c:pt>
                <c:pt idx="217">
                  <c:v>12.699999999999973</c:v>
                </c:pt>
                <c:pt idx="218">
                  <c:v>12.799999999999972</c:v>
                </c:pt>
                <c:pt idx="219">
                  <c:v>12.899999999999972</c:v>
                </c:pt>
                <c:pt idx="220">
                  <c:v>12.999999999999972</c:v>
                </c:pt>
                <c:pt idx="221">
                  <c:v>13.099999999999971</c:v>
                </c:pt>
                <c:pt idx="222">
                  <c:v>13.199999999999971</c:v>
                </c:pt>
                <c:pt idx="223">
                  <c:v>13.299999999999971</c:v>
                </c:pt>
                <c:pt idx="224">
                  <c:v>13.39999999999997</c:v>
                </c:pt>
                <c:pt idx="225">
                  <c:v>13.49999999999997</c:v>
                </c:pt>
                <c:pt idx="226">
                  <c:v>13.599999999999969</c:v>
                </c:pt>
                <c:pt idx="227">
                  <c:v>13.699999999999969</c:v>
                </c:pt>
                <c:pt idx="228">
                  <c:v>13.799999999999969</c:v>
                </c:pt>
                <c:pt idx="229">
                  <c:v>13.899999999999968</c:v>
                </c:pt>
                <c:pt idx="230">
                  <c:v>13.999999999999968</c:v>
                </c:pt>
                <c:pt idx="231">
                  <c:v>14.099999999999968</c:v>
                </c:pt>
                <c:pt idx="232">
                  <c:v>14.199999999999967</c:v>
                </c:pt>
                <c:pt idx="233">
                  <c:v>14.299999999999967</c:v>
                </c:pt>
                <c:pt idx="234">
                  <c:v>14.399999999999967</c:v>
                </c:pt>
                <c:pt idx="235">
                  <c:v>14.499999999999966</c:v>
                </c:pt>
                <c:pt idx="236">
                  <c:v>14.599999999999966</c:v>
                </c:pt>
                <c:pt idx="237">
                  <c:v>14.699999999999966</c:v>
                </c:pt>
                <c:pt idx="238">
                  <c:v>14.799999999999965</c:v>
                </c:pt>
                <c:pt idx="239">
                  <c:v>14.899999999999965</c:v>
                </c:pt>
                <c:pt idx="240">
                  <c:v>14.999999999999964</c:v>
                </c:pt>
                <c:pt idx="241">
                  <c:v>15.099999999999964</c:v>
                </c:pt>
                <c:pt idx="242">
                  <c:v>15.199999999999964</c:v>
                </c:pt>
                <c:pt idx="243">
                  <c:v>15.299999999999963</c:v>
                </c:pt>
                <c:pt idx="244">
                  <c:v>15.399999999999963</c:v>
                </c:pt>
                <c:pt idx="245">
                  <c:v>15.499999999999963</c:v>
                </c:pt>
                <c:pt idx="246">
                  <c:v>15.599999999999962</c:v>
                </c:pt>
                <c:pt idx="247">
                  <c:v>15.699999999999962</c:v>
                </c:pt>
                <c:pt idx="248">
                  <c:v>15.799999999999962</c:v>
                </c:pt>
                <c:pt idx="249">
                  <c:v>15.899999999999961</c:v>
                </c:pt>
                <c:pt idx="250">
                  <c:v>15.999999999999961</c:v>
                </c:pt>
                <c:pt idx="251">
                  <c:v>16.099999999999962</c:v>
                </c:pt>
                <c:pt idx="252">
                  <c:v>16.199999999999964</c:v>
                </c:pt>
                <c:pt idx="253">
                  <c:v>16.299999999999965</c:v>
                </c:pt>
                <c:pt idx="254">
                  <c:v>16.399999999999967</c:v>
                </c:pt>
                <c:pt idx="255">
                  <c:v>16.499999999999968</c:v>
                </c:pt>
                <c:pt idx="256">
                  <c:v>16.599999999999969</c:v>
                </c:pt>
                <c:pt idx="257">
                  <c:v>16.699999999999971</c:v>
                </c:pt>
                <c:pt idx="258">
                  <c:v>16.799999999999972</c:v>
                </c:pt>
                <c:pt idx="259">
                  <c:v>16.899999999999974</c:v>
                </c:pt>
                <c:pt idx="260">
                  <c:v>16.999999999999975</c:v>
                </c:pt>
                <c:pt idx="261">
                  <c:v>17.099999999999977</c:v>
                </c:pt>
                <c:pt idx="262">
                  <c:v>17.199999999999978</c:v>
                </c:pt>
                <c:pt idx="263">
                  <c:v>17.299999999999979</c:v>
                </c:pt>
                <c:pt idx="264">
                  <c:v>17.399999999999981</c:v>
                </c:pt>
                <c:pt idx="265">
                  <c:v>17.499999999999982</c:v>
                </c:pt>
                <c:pt idx="266">
                  <c:v>17.599999999999984</c:v>
                </c:pt>
                <c:pt idx="267">
                  <c:v>17.699999999999985</c:v>
                </c:pt>
                <c:pt idx="268">
                  <c:v>17.799999999999986</c:v>
                </c:pt>
                <c:pt idx="269">
                  <c:v>17.899999999999988</c:v>
                </c:pt>
                <c:pt idx="270">
                  <c:v>17.999999999999989</c:v>
                </c:pt>
                <c:pt idx="271">
                  <c:v>18.099999999999991</c:v>
                </c:pt>
                <c:pt idx="272">
                  <c:v>18.199999999999992</c:v>
                </c:pt>
                <c:pt idx="273">
                  <c:v>18.299999999999994</c:v>
                </c:pt>
                <c:pt idx="274">
                  <c:v>18.399999999999995</c:v>
                </c:pt>
                <c:pt idx="275">
                  <c:v>18.499999999999996</c:v>
                </c:pt>
                <c:pt idx="276">
                  <c:v>18.599999999999998</c:v>
                </c:pt>
                <c:pt idx="277">
                  <c:v>18.7</c:v>
                </c:pt>
                <c:pt idx="278">
                  <c:v>18.8</c:v>
                </c:pt>
                <c:pt idx="279">
                  <c:v>18.900000000000002</c:v>
                </c:pt>
                <c:pt idx="280">
                  <c:v>19.000000000000004</c:v>
                </c:pt>
                <c:pt idx="281">
                  <c:v>19.100000000000005</c:v>
                </c:pt>
                <c:pt idx="282">
                  <c:v>19.200000000000006</c:v>
                </c:pt>
                <c:pt idx="283">
                  <c:v>19.300000000000008</c:v>
                </c:pt>
                <c:pt idx="284">
                  <c:v>19.400000000000009</c:v>
                </c:pt>
                <c:pt idx="285">
                  <c:v>19.500000000000011</c:v>
                </c:pt>
                <c:pt idx="286">
                  <c:v>19.600000000000012</c:v>
                </c:pt>
                <c:pt idx="287">
                  <c:v>19.700000000000014</c:v>
                </c:pt>
                <c:pt idx="288">
                  <c:v>19.800000000000015</c:v>
                </c:pt>
                <c:pt idx="289">
                  <c:v>19.900000000000016</c:v>
                </c:pt>
                <c:pt idx="290">
                  <c:v>20.000000000000018</c:v>
                </c:pt>
                <c:pt idx="291">
                  <c:v>20.100000000000019</c:v>
                </c:pt>
                <c:pt idx="292">
                  <c:v>20.200000000000021</c:v>
                </c:pt>
                <c:pt idx="293">
                  <c:v>20.300000000000022</c:v>
                </c:pt>
                <c:pt idx="294">
                  <c:v>20.400000000000023</c:v>
                </c:pt>
                <c:pt idx="295">
                  <c:v>20.500000000000025</c:v>
                </c:pt>
                <c:pt idx="296">
                  <c:v>20.600000000000026</c:v>
                </c:pt>
                <c:pt idx="297">
                  <c:v>20.700000000000028</c:v>
                </c:pt>
                <c:pt idx="298">
                  <c:v>20.800000000000029</c:v>
                </c:pt>
                <c:pt idx="299">
                  <c:v>20.900000000000031</c:v>
                </c:pt>
                <c:pt idx="300">
                  <c:v>21.000000000000032</c:v>
                </c:pt>
                <c:pt idx="301">
                  <c:v>21.100000000000033</c:v>
                </c:pt>
                <c:pt idx="302">
                  <c:v>21.200000000000035</c:v>
                </c:pt>
                <c:pt idx="303">
                  <c:v>21.300000000000036</c:v>
                </c:pt>
                <c:pt idx="304">
                  <c:v>21.400000000000038</c:v>
                </c:pt>
                <c:pt idx="305">
                  <c:v>21.500000000000039</c:v>
                </c:pt>
                <c:pt idx="306">
                  <c:v>21.600000000000041</c:v>
                </c:pt>
                <c:pt idx="307">
                  <c:v>21.700000000000042</c:v>
                </c:pt>
                <c:pt idx="308">
                  <c:v>21.800000000000043</c:v>
                </c:pt>
                <c:pt idx="309">
                  <c:v>21.900000000000045</c:v>
                </c:pt>
                <c:pt idx="310">
                  <c:v>22.000000000000046</c:v>
                </c:pt>
                <c:pt idx="311">
                  <c:v>22.100000000000048</c:v>
                </c:pt>
                <c:pt idx="312">
                  <c:v>22.200000000000049</c:v>
                </c:pt>
                <c:pt idx="313">
                  <c:v>22.30000000000005</c:v>
                </c:pt>
                <c:pt idx="314">
                  <c:v>22.400000000000052</c:v>
                </c:pt>
                <c:pt idx="315">
                  <c:v>22.500000000000053</c:v>
                </c:pt>
                <c:pt idx="316">
                  <c:v>22.600000000000055</c:v>
                </c:pt>
                <c:pt idx="317">
                  <c:v>22.700000000000056</c:v>
                </c:pt>
                <c:pt idx="318">
                  <c:v>22.800000000000058</c:v>
                </c:pt>
                <c:pt idx="319">
                  <c:v>22.900000000000059</c:v>
                </c:pt>
                <c:pt idx="320">
                  <c:v>23.00000000000006</c:v>
                </c:pt>
                <c:pt idx="321">
                  <c:v>23.100000000000062</c:v>
                </c:pt>
                <c:pt idx="322">
                  <c:v>23.200000000000063</c:v>
                </c:pt>
                <c:pt idx="323">
                  <c:v>23.300000000000065</c:v>
                </c:pt>
                <c:pt idx="324">
                  <c:v>23.400000000000066</c:v>
                </c:pt>
                <c:pt idx="325">
                  <c:v>23.500000000000068</c:v>
                </c:pt>
                <c:pt idx="326">
                  <c:v>23.600000000000069</c:v>
                </c:pt>
                <c:pt idx="327">
                  <c:v>23.70000000000007</c:v>
                </c:pt>
                <c:pt idx="328">
                  <c:v>23.800000000000072</c:v>
                </c:pt>
                <c:pt idx="329">
                  <c:v>23.900000000000073</c:v>
                </c:pt>
                <c:pt idx="330">
                  <c:v>24.000000000000075</c:v>
                </c:pt>
                <c:pt idx="331">
                  <c:v>24.100000000000076</c:v>
                </c:pt>
                <c:pt idx="332">
                  <c:v>24.200000000000077</c:v>
                </c:pt>
                <c:pt idx="333">
                  <c:v>24.300000000000079</c:v>
                </c:pt>
                <c:pt idx="334">
                  <c:v>24.40000000000008</c:v>
                </c:pt>
                <c:pt idx="335">
                  <c:v>24.500000000000082</c:v>
                </c:pt>
                <c:pt idx="336">
                  <c:v>24.600000000000083</c:v>
                </c:pt>
                <c:pt idx="337">
                  <c:v>24.700000000000085</c:v>
                </c:pt>
                <c:pt idx="338">
                  <c:v>24.800000000000086</c:v>
                </c:pt>
                <c:pt idx="339">
                  <c:v>24.900000000000087</c:v>
                </c:pt>
                <c:pt idx="340">
                  <c:v>25.000000000000089</c:v>
                </c:pt>
                <c:pt idx="341">
                  <c:v>25.10000000000009</c:v>
                </c:pt>
                <c:pt idx="342">
                  <c:v>25.200000000000092</c:v>
                </c:pt>
                <c:pt idx="343">
                  <c:v>25.300000000000093</c:v>
                </c:pt>
                <c:pt idx="344">
                  <c:v>25.400000000000095</c:v>
                </c:pt>
                <c:pt idx="345">
                  <c:v>25.500000000000096</c:v>
                </c:pt>
                <c:pt idx="346">
                  <c:v>25.600000000000097</c:v>
                </c:pt>
                <c:pt idx="347">
                  <c:v>25.700000000000099</c:v>
                </c:pt>
                <c:pt idx="348">
                  <c:v>25.8000000000001</c:v>
                </c:pt>
                <c:pt idx="349">
                  <c:v>25.900000000000102</c:v>
                </c:pt>
                <c:pt idx="350">
                  <c:v>26.000000000000103</c:v>
                </c:pt>
                <c:pt idx="351">
                  <c:v>26.100000000000104</c:v>
                </c:pt>
                <c:pt idx="352">
                  <c:v>26.200000000000106</c:v>
                </c:pt>
                <c:pt idx="353">
                  <c:v>26.300000000000107</c:v>
                </c:pt>
                <c:pt idx="354">
                  <c:v>26.400000000000109</c:v>
                </c:pt>
                <c:pt idx="355">
                  <c:v>26.50000000000011</c:v>
                </c:pt>
                <c:pt idx="356">
                  <c:v>26.600000000000112</c:v>
                </c:pt>
                <c:pt idx="357">
                  <c:v>26.700000000000113</c:v>
                </c:pt>
                <c:pt idx="358">
                  <c:v>26.800000000000114</c:v>
                </c:pt>
                <c:pt idx="359">
                  <c:v>26.900000000000116</c:v>
                </c:pt>
                <c:pt idx="360">
                  <c:v>27.000000000000117</c:v>
                </c:pt>
                <c:pt idx="361">
                  <c:v>27.100000000000119</c:v>
                </c:pt>
                <c:pt idx="362">
                  <c:v>27.20000000000012</c:v>
                </c:pt>
                <c:pt idx="363">
                  <c:v>27.300000000000122</c:v>
                </c:pt>
                <c:pt idx="364">
                  <c:v>27.400000000000123</c:v>
                </c:pt>
                <c:pt idx="365">
                  <c:v>27.500000000000124</c:v>
                </c:pt>
                <c:pt idx="366">
                  <c:v>27.600000000000126</c:v>
                </c:pt>
                <c:pt idx="367">
                  <c:v>27.700000000000127</c:v>
                </c:pt>
                <c:pt idx="368">
                  <c:v>27.800000000000129</c:v>
                </c:pt>
                <c:pt idx="369">
                  <c:v>27.90000000000013</c:v>
                </c:pt>
                <c:pt idx="370">
                  <c:v>28.000000000000131</c:v>
                </c:pt>
                <c:pt idx="371">
                  <c:v>28.100000000000133</c:v>
                </c:pt>
                <c:pt idx="372">
                  <c:v>28.200000000000134</c:v>
                </c:pt>
                <c:pt idx="373">
                  <c:v>28.300000000000136</c:v>
                </c:pt>
                <c:pt idx="374">
                  <c:v>28.400000000000137</c:v>
                </c:pt>
                <c:pt idx="375">
                  <c:v>28.500000000000139</c:v>
                </c:pt>
                <c:pt idx="376">
                  <c:v>28.60000000000014</c:v>
                </c:pt>
                <c:pt idx="377">
                  <c:v>28.60010000000014</c:v>
                </c:pt>
                <c:pt idx="378">
                  <c:v>28.60020000000014</c:v>
                </c:pt>
                <c:pt idx="379">
                  <c:v>28.600300000000139</c:v>
                </c:pt>
                <c:pt idx="380">
                  <c:v>28.600400000000139</c:v>
                </c:pt>
                <c:pt idx="381">
                  <c:v>28.600500000000139</c:v>
                </c:pt>
                <c:pt idx="382">
                  <c:v>28.600600000000139</c:v>
                </c:pt>
                <c:pt idx="383">
                  <c:v>28.600700000000138</c:v>
                </c:pt>
                <c:pt idx="384">
                  <c:v>28.600800000000138</c:v>
                </c:pt>
                <c:pt idx="385">
                  <c:v>28.600900000000138</c:v>
                </c:pt>
                <c:pt idx="386">
                  <c:v>28.601000000000138</c:v>
                </c:pt>
                <c:pt idx="387">
                  <c:v>28.601100000000137</c:v>
                </c:pt>
                <c:pt idx="388">
                  <c:v>28.601200000000137</c:v>
                </c:pt>
                <c:pt idx="389">
                  <c:v>28.601300000000137</c:v>
                </c:pt>
                <c:pt idx="390">
                  <c:v>28.601400000000137</c:v>
                </c:pt>
                <c:pt idx="391">
                  <c:v>28.601500000000136</c:v>
                </c:pt>
                <c:pt idx="392">
                  <c:v>28.601600000000136</c:v>
                </c:pt>
                <c:pt idx="393">
                  <c:v>28.601700000000136</c:v>
                </c:pt>
                <c:pt idx="394">
                  <c:v>28.601800000000136</c:v>
                </c:pt>
                <c:pt idx="395">
                  <c:v>28.601900000000136</c:v>
                </c:pt>
                <c:pt idx="396">
                  <c:v>28.602000000000135</c:v>
                </c:pt>
                <c:pt idx="397">
                  <c:v>28.602100000000135</c:v>
                </c:pt>
                <c:pt idx="398">
                  <c:v>28.602200000000135</c:v>
                </c:pt>
                <c:pt idx="399">
                  <c:v>28.602300000000135</c:v>
                </c:pt>
                <c:pt idx="400">
                  <c:v>28.602400000000134</c:v>
                </c:pt>
                <c:pt idx="401">
                  <c:v>28.602500000000134</c:v>
                </c:pt>
                <c:pt idx="402">
                  <c:v>28.602600000000134</c:v>
                </c:pt>
                <c:pt idx="403">
                  <c:v>28.602700000000134</c:v>
                </c:pt>
                <c:pt idx="404">
                  <c:v>28.602800000000133</c:v>
                </c:pt>
                <c:pt idx="405">
                  <c:v>28.602900000000133</c:v>
                </c:pt>
                <c:pt idx="406">
                  <c:v>28.603000000000133</c:v>
                </c:pt>
                <c:pt idx="407">
                  <c:v>28.603100000000133</c:v>
                </c:pt>
                <c:pt idx="408">
                  <c:v>28.603200000000133</c:v>
                </c:pt>
                <c:pt idx="409">
                  <c:v>28.603300000000132</c:v>
                </c:pt>
                <c:pt idx="410">
                  <c:v>28.603400000000132</c:v>
                </c:pt>
                <c:pt idx="411">
                  <c:v>28.603500000000132</c:v>
                </c:pt>
                <c:pt idx="412">
                  <c:v>28.603600000000132</c:v>
                </c:pt>
                <c:pt idx="413">
                  <c:v>28.603700000000131</c:v>
                </c:pt>
                <c:pt idx="414">
                  <c:v>28.603800000000131</c:v>
                </c:pt>
                <c:pt idx="415">
                  <c:v>28.603900000000131</c:v>
                </c:pt>
                <c:pt idx="416">
                  <c:v>28.604000000000131</c:v>
                </c:pt>
                <c:pt idx="417">
                  <c:v>28.60410000000013</c:v>
                </c:pt>
                <c:pt idx="418">
                  <c:v>28.60420000000013</c:v>
                </c:pt>
                <c:pt idx="419">
                  <c:v>28.60430000000013</c:v>
                </c:pt>
                <c:pt idx="420">
                  <c:v>28.60440000000013</c:v>
                </c:pt>
                <c:pt idx="421">
                  <c:v>28.604500000000129</c:v>
                </c:pt>
                <c:pt idx="422">
                  <c:v>28.604600000000129</c:v>
                </c:pt>
                <c:pt idx="423">
                  <c:v>28.604700000000129</c:v>
                </c:pt>
                <c:pt idx="424">
                  <c:v>28.604800000000129</c:v>
                </c:pt>
                <c:pt idx="425">
                  <c:v>28.604900000000129</c:v>
                </c:pt>
                <c:pt idx="426">
                  <c:v>28.605000000000128</c:v>
                </c:pt>
                <c:pt idx="427">
                  <c:v>28.605100000000128</c:v>
                </c:pt>
                <c:pt idx="428">
                  <c:v>28.605200000000128</c:v>
                </c:pt>
                <c:pt idx="429">
                  <c:v>28.605300000000128</c:v>
                </c:pt>
                <c:pt idx="430">
                  <c:v>28.605400000000127</c:v>
                </c:pt>
                <c:pt idx="431">
                  <c:v>28.605500000000127</c:v>
                </c:pt>
                <c:pt idx="432">
                  <c:v>28.605600000000127</c:v>
                </c:pt>
                <c:pt idx="433">
                  <c:v>28.605700000000127</c:v>
                </c:pt>
                <c:pt idx="434">
                  <c:v>28.605800000000126</c:v>
                </c:pt>
                <c:pt idx="435">
                  <c:v>28.605900000000126</c:v>
                </c:pt>
                <c:pt idx="436">
                  <c:v>28.606000000000126</c:v>
                </c:pt>
                <c:pt idx="437">
                  <c:v>28.606100000000126</c:v>
                </c:pt>
                <c:pt idx="438">
                  <c:v>28.606200000000126</c:v>
                </c:pt>
                <c:pt idx="439">
                  <c:v>28.606300000000125</c:v>
                </c:pt>
                <c:pt idx="440">
                  <c:v>28.606400000000125</c:v>
                </c:pt>
                <c:pt idx="441">
                  <c:v>28.606500000000125</c:v>
                </c:pt>
                <c:pt idx="442">
                  <c:v>28.606600000000125</c:v>
                </c:pt>
                <c:pt idx="443">
                  <c:v>28.606700000000124</c:v>
                </c:pt>
                <c:pt idx="444">
                  <c:v>28.606800000000124</c:v>
                </c:pt>
                <c:pt idx="445">
                  <c:v>28.606900000000124</c:v>
                </c:pt>
                <c:pt idx="446">
                  <c:v>28.607000000000124</c:v>
                </c:pt>
                <c:pt idx="447">
                  <c:v>28.607100000000123</c:v>
                </c:pt>
                <c:pt idx="448">
                  <c:v>28.607200000000123</c:v>
                </c:pt>
                <c:pt idx="449">
                  <c:v>28.607300000000123</c:v>
                </c:pt>
                <c:pt idx="450">
                  <c:v>28.607400000000123</c:v>
                </c:pt>
                <c:pt idx="451">
                  <c:v>28.607500000000122</c:v>
                </c:pt>
                <c:pt idx="452">
                  <c:v>28.607600000000122</c:v>
                </c:pt>
                <c:pt idx="453">
                  <c:v>28.607700000000122</c:v>
                </c:pt>
                <c:pt idx="454">
                  <c:v>28.607800000000122</c:v>
                </c:pt>
                <c:pt idx="455">
                  <c:v>28.607900000000122</c:v>
                </c:pt>
                <c:pt idx="456">
                  <c:v>28.608000000000121</c:v>
                </c:pt>
                <c:pt idx="457">
                  <c:v>28.608100000000121</c:v>
                </c:pt>
                <c:pt idx="458">
                  <c:v>28.608200000000121</c:v>
                </c:pt>
                <c:pt idx="459">
                  <c:v>28.608300000000121</c:v>
                </c:pt>
                <c:pt idx="460">
                  <c:v>28.60840000000012</c:v>
                </c:pt>
                <c:pt idx="461">
                  <c:v>28.60850000000012</c:v>
                </c:pt>
                <c:pt idx="462">
                  <c:v>28.60860000000012</c:v>
                </c:pt>
                <c:pt idx="463">
                  <c:v>28.60870000000012</c:v>
                </c:pt>
                <c:pt idx="464">
                  <c:v>28.608800000000119</c:v>
                </c:pt>
                <c:pt idx="465">
                  <c:v>28.608900000000119</c:v>
                </c:pt>
                <c:pt idx="466">
                  <c:v>28.609000000000119</c:v>
                </c:pt>
                <c:pt idx="467">
                  <c:v>28.609100000000119</c:v>
                </c:pt>
                <c:pt idx="468">
                  <c:v>28.609200000000119</c:v>
                </c:pt>
                <c:pt idx="469">
                  <c:v>28.609300000000118</c:v>
                </c:pt>
                <c:pt idx="470">
                  <c:v>28.609400000000118</c:v>
                </c:pt>
                <c:pt idx="471">
                  <c:v>28.609500000000118</c:v>
                </c:pt>
                <c:pt idx="472">
                  <c:v>28.609600000000118</c:v>
                </c:pt>
                <c:pt idx="473">
                  <c:v>28.609700000000117</c:v>
                </c:pt>
                <c:pt idx="474">
                  <c:v>28.609800000000117</c:v>
                </c:pt>
                <c:pt idx="475">
                  <c:v>28.609900000000117</c:v>
                </c:pt>
                <c:pt idx="476">
                  <c:v>28.610000000000117</c:v>
                </c:pt>
                <c:pt idx="477">
                  <c:v>28.610100000000116</c:v>
                </c:pt>
                <c:pt idx="478">
                  <c:v>28.610200000000116</c:v>
                </c:pt>
                <c:pt idx="479">
                  <c:v>28.610300000000116</c:v>
                </c:pt>
                <c:pt idx="480">
                  <c:v>28.610400000000116</c:v>
                </c:pt>
                <c:pt idx="481">
                  <c:v>28.610500000000116</c:v>
                </c:pt>
                <c:pt idx="482">
                  <c:v>28.610600000000115</c:v>
                </c:pt>
                <c:pt idx="483">
                  <c:v>28.610700000000115</c:v>
                </c:pt>
                <c:pt idx="484">
                  <c:v>28.610800000000115</c:v>
                </c:pt>
                <c:pt idx="485">
                  <c:v>28.610900000000115</c:v>
                </c:pt>
                <c:pt idx="486">
                  <c:v>28.611000000000114</c:v>
                </c:pt>
                <c:pt idx="487">
                  <c:v>28.611100000000114</c:v>
                </c:pt>
                <c:pt idx="488">
                  <c:v>28.611200000000114</c:v>
                </c:pt>
                <c:pt idx="489">
                  <c:v>28.611300000000114</c:v>
                </c:pt>
                <c:pt idx="490">
                  <c:v>28.611400000000113</c:v>
                </c:pt>
                <c:pt idx="491">
                  <c:v>28.611500000000113</c:v>
                </c:pt>
                <c:pt idx="492">
                  <c:v>28.611600000000113</c:v>
                </c:pt>
                <c:pt idx="493">
                  <c:v>28.611700000000113</c:v>
                </c:pt>
                <c:pt idx="494">
                  <c:v>28.611800000000112</c:v>
                </c:pt>
                <c:pt idx="495">
                  <c:v>28.611900000000112</c:v>
                </c:pt>
                <c:pt idx="496">
                  <c:v>28.612000000000112</c:v>
                </c:pt>
                <c:pt idx="497">
                  <c:v>28.612100000000112</c:v>
                </c:pt>
                <c:pt idx="498">
                  <c:v>28.612200000000112</c:v>
                </c:pt>
                <c:pt idx="499">
                  <c:v>28.612300000000111</c:v>
                </c:pt>
                <c:pt idx="500">
                  <c:v>28.612400000000111</c:v>
                </c:pt>
                <c:pt idx="501">
                  <c:v>28.612500000000111</c:v>
                </c:pt>
                <c:pt idx="502">
                  <c:v>28.612600000000111</c:v>
                </c:pt>
                <c:pt idx="503">
                  <c:v>28.61270000000011</c:v>
                </c:pt>
                <c:pt idx="504">
                  <c:v>28.61280000000011</c:v>
                </c:pt>
                <c:pt idx="505">
                  <c:v>28.61290000000011</c:v>
                </c:pt>
                <c:pt idx="506">
                  <c:v>28.61300000000011</c:v>
                </c:pt>
                <c:pt idx="507">
                  <c:v>28.613100000000109</c:v>
                </c:pt>
                <c:pt idx="508">
                  <c:v>28.613200000000109</c:v>
                </c:pt>
                <c:pt idx="509">
                  <c:v>28.613300000000109</c:v>
                </c:pt>
                <c:pt idx="510">
                  <c:v>28.613400000000109</c:v>
                </c:pt>
                <c:pt idx="511">
                  <c:v>28.613500000000109</c:v>
                </c:pt>
                <c:pt idx="512">
                  <c:v>28.613600000000108</c:v>
                </c:pt>
                <c:pt idx="513">
                  <c:v>28.613700000000108</c:v>
                </c:pt>
                <c:pt idx="514">
                  <c:v>28.613800000000108</c:v>
                </c:pt>
                <c:pt idx="515">
                  <c:v>28.613900000000108</c:v>
                </c:pt>
                <c:pt idx="516">
                  <c:v>28.614000000000107</c:v>
                </c:pt>
                <c:pt idx="517">
                  <c:v>28.614100000000107</c:v>
                </c:pt>
                <c:pt idx="518">
                  <c:v>28.614200000000107</c:v>
                </c:pt>
                <c:pt idx="519">
                  <c:v>28.614300000000107</c:v>
                </c:pt>
                <c:pt idx="520">
                  <c:v>28.614400000000106</c:v>
                </c:pt>
                <c:pt idx="521">
                  <c:v>28.614500000000106</c:v>
                </c:pt>
                <c:pt idx="522">
                  <c:v>28.614600000000106</c:v>
                </c:pt>
                <c:pt idx="523">
                  <c:v>28.614700000000106</c:v>
                </c:pt>
                <c:pt idx="524">
                  <c:v>28.614800000000105</c:v>
                </c:pt>
                <c:pt idx="525">
                  <c:v>28.614900000000105</c:v>
                </c:pt>
                <c:pt idx="526">
                  <c:v>28.615000000000105</c:v>
                </c:pt>
                <c:pt idx="527">
                  <c:v>28.615100000000105</c:v>
                </c:pt>
                <c:pt idx="528">
                  <c:v>28.615200000000105</c:v>
                </c:pt>
                <c:pt idx="529">
                  <c:v>28.615300000000104</c:v>
                </c:pt>
                <c:pt idx="530">
                  <c:v>28.615400000000104</c:v>
                </c:pt>
                <c:pt idx="531">
                  <c:v>28.615500000000104</c:v>
                </c:pt>
                <c:pt idx="532">
                  <c:v>28.615600000000104</c:v>
                </c:pt>
                <c:pt idx="533">
                  <c:v>28.615700000000103</c:v>
                </c:pt>
                <c:pt idx="534">
                  <c:v>28.615800000000103</c:v>
                </c:pt>
                <c:pt idx="535">
                  <c:v>28.615900000000103</c:v>
                </c:pt>
                <c:pt idx="536">
                  <c:v>28.616000000000103</c:v>
                </c:pt>
                <c:pt idx="537">
                  <c:v>28.616100000000102</c:v>
                </c:pt>
                <c:pt idx="538">
                  <c:v>28.616200000000102</c:v>
                </c:pt>
                <c:pt idx="539">
                  <c:v>28.616300000000102</c:v>
                </c:pt>
                <c:pt idx="540">
                  <c:v>28.616400000000102</c:v>
                </c:pt>
                <c:pt idx="541">
                  <c:v>28.616500000000102</c:v>
                </c:pt>
                <c:pt idx="542">
                  <c:v>28.616600000000101</c:v>
                </c:pt>
                <c:pt idx="543">
                  <c:v>28.616700000000101</c:v>
                </c:pt>
                <c:pt idx="544">
                  <c:v>28.616800000000101</c:v>
                </c:pt>
                <c:pt idx="545">
                  <c:v>28.616900000000101</c:v>
                </c:pt>
                <c:pt idx="546">
                  <c:v>28.6170000000001</c:v>
                </c:pt>
                <c:pt idx="547">
                  <c:v>28.6171000000001</c:v>
                </c:pt>
                <c:pt idx="548">
                  <c:v>28.6172000000001</c:v>
                </c:pt>
                <c:pt idx="549">
                  <c:v>28.6173000000001</c:v>
                </c:pt>
                <c:pt idx="550">
                  <c:v>28.617400000000099</c:v>
                </c:pt>
                <c:pt idx="551">
                  <c:v>28.617500000000099</c:v>
                </c:pt>
                <c:pt idx="552">
                  <c:v>28.617600000000099</c:v>
                </c:pt>
                <c:pt idx="553">
                  <c:v>28.617700000000099</c:v>
                </c:pt>
                <c:pt idx="554">
                  <c:v>28.617800000000098</c:v>
                </c:pt>
                <c:pt idx="555">
                  <c:v>28.617900000000098</c:v>
                </c:pt>
                <c:pt idx="556">
                  <c:v>28.618000000000098</c:v>
                </c:pt>
                <c:pt idx="557">
                  <c:v>28.618100000000098</c:v>
                </c:pt>
                <c:pt idx="558">
                  <c:v>28.618200000000098</c:v>
                </c:pt>
                <c:pt idx="559">
                  <c:v>28.618300000000097</c:v>
                </c:pt>
                <c:pt idx="560">
                  <c:v>28.618400000000097</c:v>
                </c:pt>
                <c:pt idx="561">
                  <c:v>28.618500000000097</c:v>
                </c:pt>
                <c:pt idx="562">
                  <c:v>28.618600000000097</c:v>
                </c:pt>
                <c:pt idx="563">
                  <c:v>28.618700000000096</c:v>
                </c:pt>
                <c:pt idx="564">
                  <c:v>28.618800000000096</c:v>
                </c:pt>
                <c:pt idx="565">
                  <c:v>28.618900000000096</c:v>
                </c:pt>
                <c:pt idx="566">
                  <c:v>28.619000000000096</c:v>
                </c:pt>
                <c:pt idx="567">
                  <c:v>28.619100000000095</c:v>
                </c:pt>
                <c:pt idx="568">
                  <c:v>28.619200000000095</c:v>
                </c:pt>
                <c:pt idx="569">
                  <c:v>28.619300000000095</c:v>
                </c:pt>
                <c:pt idx="570">
                  <c:v>28.619400000000095</c:v>
                </c:pt>
                <c:pt idx="571">
                  <c:v>28.619500000000095</c:v>
                </c:pt>
                <c:pt idx="572">
                  <c:v>28.619600000000094</c:v>
                </c:pt>
                <c:pt idx="573">
                  <c:v>28.619700000000094</c:v>
                </c:pt>
                <c:pt idx="574">
                  <c:v>28.619800000000094</c:v>
                </c:pt>
                <c:pt idx="575">
                  <c:v>28.619900000000094</c:v>
                </c:pt>
                <c:pt idx="576">
                  <c:v>28.620000000000093</c:v>
                </c:pt>
                <c:pt idx="577">
                  <c:v>28.620100000000093</c:v>
                </c:pt>
                <c:pt idx="578">
                  <c:v>28.620200000000093</c:v>
                </c:pt>
                <c:pt idx="579">
                  <c:v>28.620300000000093</c:v>
                </c:pt>
                <c:pt idx="580">
                  <c:v>28.620400000000092</c:v>
                </c:pt>
                <c:pt idx="581">
                  <c:v>28.620500000000092</c:v>
                </c:pt>
                <c:pt idx="582">
                  <c:v>28.620600000000092</c:v>
                </c:pt>
                <c:pt idx="583">
                  <c:v>28.620700000000092</c:v>
                </c:pt>
                <c:pt idx="584">
                  <c:v>28.620800000000092</c:v>
                </c:pt>
                <c:pt idx="585">
                  <c:v>28.620900000000091</c:v>
                </c:pt>
                <c:pt idx="586">
                  <c:v>28.621000000000091</c:v>
                </c:pt>
                <c:pt idx="587">
                  <c:v>28.621100000000091</c:v>
                </c:pt>
                <c:pt idx="588">
                  <c:v>28.621200000000091</c:v>
                </c:pt>
                <c:pt idx="589">
                  <c:v>28.62130000000009</c:v>
                </c:pt>
                <c:pt idx="590">
                  <c:v>28.62140000000009</c:v>
                </c:pt>
                <c:pt idx="591">
                  <c:v>28.62150000000009</c:v>
                </c:pt>
                <c:pt idx="592">
                  <c:v>28.62160000000009</c:v>
                </c:pt>
                <c:pt idx="593">
                  <c:v>28.621700000000089</c:v>
                </c:pt>
                <c:pt idx="594">
                  <c:v>28.621800000000089</c:v>
                </c:pt>
                <c:pt idx="595">
                  <c:v>28.621900000000089</c:v>
                </c:pt>
                <c:pt idx="596">
                  <c:v>28.622000000000089</c:v>
                </c:pt>
                <c:pt idx="597">
                  <c:v>28.622100000000088</c:v>
                </c:pt>
                <c:pt idx="598">
                  <c:v>28.622200000000088</c:v>
                </c:pt>
                <c:pt idx="599">
                  <c:v>28.622300000000088</c:v>
                </c:pt>
                <c:pt idx="600">
                  <c:v>28.622400000000088</c:v>
                </c:pt>
                <c:pt idx="601">
                  <c:v>28.622500000000088</c:v>
                </c:pt>
                <c:pt idx="602">
                  <c:v>28.622600000000087</c:v>
                </c:pt>
                <c:pt idx="603">
                  <c:v>28.622700000000087</c:v>
                </c:pt>
                <c:pt idx="604">
                  <c:v>28.622800000000087</c:v>
                </c:pt>
                <c:pt idx="605">
                  <c:v>28.622900000000087</c:v>
                </c:pt>
                <c:pt idx="606">
                  <c:v>28.623000000000086</c:v>
                </c:pt>
                <c:pt idx="607">
                  <c:v>28.623100000000086</c:v>
                </c:pt>
                <c:pt idx="608">
                  <c:v>28.623200000000086</c:v>
                </c:pt>
                <c:pt idx="609">
                  <c:v>28.623300000000086</c:v>
                </c:pt>
                <c:pt idx="610">
                  <c:v>28.623400000000085</c:v>
                </c:pt>
                <c:pt idx="611">
                  <c:v>28.623500000000085</c:v>
                </c:pt>
                <c:pt idx="612">
                  <c:v>28.623600000000085</c:v>
                </c:pt>
                <c:pt idx="613">
                  <c:v>28.623700000000085</c:v>
                </c:pt>
                <c:pt idx="614">
                  <c:v>28.623800000000085</c:v>
                </c:pt>
                <c:pt idx="615">
                  <c:v>28.623900000000084</c:v>
                </c:pt>
                <c:pt idx="616">
                  <c:v>28.624000000000084</c:v>
                </c:pt>
                <c:pt idx="617">
                  <c:v>28.624100000000084</c:v>
                </c:pt>
                <c:pt idx="618">
                  <c:v>28.624200000000084</c:v>
                </c:pt>
                <c:pt idx="619">
                  <c:v>28.624300000000083</c:v>
                </c:pt>
                <c:pt idx="620">
                  <c:v>28.624400000000083</c:v>
                </c:pt>
                <c:pt idx="621">
                  <c:v>28.624500000000083</c:v>
                </c:pt>
                <c:pt idx="622">
                  <c:v>28.624600000000083</c:v>
                </c:pt>
                <c:pt idx="623">
                  <c:v>28.624700000000082</c:v>
                </c:pt>
                <c:pt idx="624">
                  <c:v>28.624800000000082</c:v>
                </c:pt>
                <c:pt idx="625">
                  <c:v>28.624900000000082</c:v>
                </c:pt>
                <c:pt idx="626">
                  <c:v>28.625000000000082</c:v>
                </c:pt>
                <c:pt idx="627">
                  <c:v>28.625100000000081</c:v>
                </c:pt>
                <c:pt idx="628">
                  <c:v>28.625200000000081</c:v>
                </c:pt>
                <c:pt idx="629">
                  <c:v>28.625300000000081</c:v>
                </c:pt>
                <c:pt idx="630">
                  <c:v>28.625400000000081</c:v>
                </c:pt>
                <c:pt idx="631">
                  <c:v>28.625500000000081</c:v>
                </c:pt>
                <c:pt idx="632">
                  <c:v>28.62560000000008</c:v>
                </c:pt>
                <c:pt idx="633">
                  <c:v>28.62570000000008</c:v>
                </c:pt>
                <c:pt idx="634">
                  <c:v>28.62580000000008</c:v>
                </c:pt>
                <c:pt idx="635">
                  <c:v>28.62590000000008</c:v>
                </c:pt>
                <c:pt idx="636">
                  <c:v>28.626000000000079</c:v>
                </c:pt>
                <c:pt idx="637">
                  <c:v>28.626100000000079</c:v>
                </c:pt>
                <c:pt idx="638">
                  <c:v>28.626200000000079</c:v>
                </c:pt>
                <c:pt idx="639">
                  <c:v>28.626300000000079</c:v>
                </c:pt>
                <c:pt idx="640">
                  <c:v>28.626400000000078</c:v>
                </c:pt>
                <c:pt idx="641">
                  <c:v>28.626500000000078</c:v>
                </c:pt>
                <c:pt idx="642">
                  <c:v>28.626600000000078</c:v>
                </c:pt>
                <c:pt idx="643">
                  <c:v>28.626700000000078</c:v>
                </c:pt>
                <c:pt idx="644">
                  <c:v>28.626800000000078</c:v>
                </c:pt>
                <c:pt idx="645">
                  <c:v>28.626900000000077</c:v>
                </c:pt>
                <c:pt idx="646">
                  <c:v>28.627000000000077</c:v>
                </c:pt>
                <c:pt idx="647">
                  <c:v>28.627100000000077</c:v>
                </c:pt>
                <c:pt idx="648">
                  <c:v>28.627200000000077</c:v>
                </c:pt>
                <c:pt idx="649">
                  <c:v>28.627300000000076</c:v>
                </c:pt>
                <c:pt idx="650">
                  <c:v>28.627400000000076</c:v>
                </c:pt>
                <c:pt idx="651">
                  <c:v>28.627500000000076</c:v>
                </c:pt>
                <c:pt idx="652">
                  <c:v>28.627600000000076</c:v>
                </c:pt>
                <c:pt idx="653">
                  <c:v>28.627700000000075</c:v>
                </c:pt>
                <c:pt idx="654">
                  <c:v>28.627800000000075</c:v>
                </c:pt>
                <c:pt idx="655">
                  <c:v>28.627900000000075</c:v>
                </c:pt>
                <c:pt idx="656">
                  <c:v>28.628000000000075</c:v>
                </c:pt>
                <c:pt idx="657">
                  <c:v>28.628100000000074</c:v>
                </c:pt>
                <c:pt idx="658">
                  <c:v>28.628200000000074</c:v>
                </c:pt>
                <c:pt idx="659">
                  <c:v>28.628300000000074</c:v>
                </c:pt>
                <c:pt idx="660">
                  <c:v>28.628400000000074</c:v>
                </c:pt>
                <c:pt idx="661">
                  <c:v>28.628500000000074</c:v>
                </c:pt>
                <c:pt idx="662">
                  <c:v>28.628600000000073</c:v>
                </c:pt>
                <c:pt idx="663">
                  <c:v>28.628700000000073</c:v>
                </c:pt>
                <c:pt idx="664">
                  <c:v>28.628800000000073</c:v>
                </c:pt>
                <c:pt idx="665">
                  <c:v>28.628900000000073</c:v>
                </c:pt>
                <c:pt idx="666">
                  <c:v>28.629000000000072</c:v>
                </c:pt>
                <c:pt idx="667">
                  <c:v>28.629100000000072</c:v>
                </c:pt>
                <c:pt idx="668">
                  <c:v>28.629200000000072</c:v>
                </c:pt>
                <c:pt idx="669">
                  <c:v>28.629300000000072</c:v>
                </c:pt>
                <c:pt idx="670">
                  <c:v>28.629400000000071</c:v>
                </c:pt>
                <c:pt idx="671">
                  <c:v>28.629500000000071</c:v>
                </c:pt>
                <c:pt idx="672">
                  <c:v>28.629600000000071</c:v>
                </c:pt>
                <c:pt idx="673">
                  <c:v>28.629700000000071</c:v>
                </c:pt>
                <c:pt idx="674">
                  <c:v>28.629800000000071</c:v>
                </c:pt>
                <c:pt idx="675">
                  <c:v>28.62990000000007</c:v>
                </c:pt>
                <c:pt idx="676">
                  <c:v>28.63000000000007</c:v>
                </c:pt>
                <c:pt idx="677">
                  <c:v>28.63010000000007</c:v>
                </c:pt>
                <c:pt idx="678">
                  <c:v>28.63020000000007</c:v>
                </c:pt>
                <c:pt idx="679">
                  <c:v>28.630300000000069</c:v>
                </c:pt>
                <c:pt idx="680">
                  <c:v>28.630400000000069</c:v>
                </c:pt>
                <c:pt idx="681">
                  <c:v>28.630500000000069</c:v>
                </c:pt>
                <c:pt idx="682">
                  <c:v>28.630600000000069</c:v>
                </c:pt>
                <c:pt idx="683">
                  <c:v>28.630700000000068</c:v>
                </c:pt>
                <c:pt idx="684">
                  <c:v>28.630800000000068</c:v>
                </c:pt>
                <c:pt idx="685">
                  <c:v>28.630900000000068</c:v>
                </c:pt>
                <c:pt idx="686">
                  <c:v>28.631000000000068</c:v>
                </c:pt>
                <c:pt idx="687">
                  <c:v>28.631100000000067</c:v>
                </c:pt>
                <c:pt idx="688">
                  <c:v>28.631200000000067</c:v>
                </c:pt>
                <c:pt idx="689">
                  <c:v>28.631300000000067</c:v>
                </c:pt>
                <c:pt idx="690">
                  <c:v>28.631400000000067</c:v>
                </c:pt>
                <c:pt idx="691">
                  <c:v>28.631500000000067</c:v>
                </c:pt>
                <c:pt idx="692">
                  <c:v>28.631600000000066</c:v>
                </c:pt>
                <c:pt idx="693">
                  <c:v>28.631700000000066</c:v>
                </c:pt>
                <c:pt idx="694">
                  <c:v>28.631800000000066</c:v>
                </c:pt>
                <c:pt idx="695">
                  <c:v>28.631900000000066</c:v>
                </c:pt>
                <c:pt idx="696">
                  <c:v>28.632000000000065</c:v>
                </c:pt>
                <c:pt idx="697">
                  <c:v>28.632100000000065</c:v>
                </c:pt>
                <c:pt idx="698">
                  <c:v>28.632200000000065</c:v>
                </c:pt>
                <c:pt idx="699">
                  <c:v>28.632300000000065</c:v>
                </c:pt>
                <c:pt idx="700">
                  <c:v>28.632400000000064</c:v>
                </c:pt>
                <c:pt idx="701">
                  <c:v>28.632500000000064</c:v>
                </c:pt>
                <c:pt idx="702">
                  <c:v>28.632600000000064</c:v>
                </c:pt>
                <c:pt idx="703">
                  <c:v>28.632700000000064</c:v>
                </c:pt>
                <c:pt idx="704">
                  <c:v>28.632800000000064</c:v>
                </c:pt>
                <c:pt idx="705">
                  <c:v>28.632900000000063</c:v>
                </c:pt>
                <c:pt idx="706">
                  <c:v>28.633000000000063</c:v>
                </c:pt>
                <c:pt idx="707">
                  <c:v>28.633100000000063</c:v>
                </c:pt>
                <c:pt idx="708">
                  <c:v>28.633200000000063</c:v>
                </c:pt>
                <c:pt idx="709">
                  <c:v>28.633300000000062</c:v>
                </c:pt>
                <c:pt idx="710">
                  <c:v>28.633400000000062</c:v>
                </c:pt>
                <c:pt idx="711">
                  <c:v>28.633500000000062</c:v>
                </c:pt>
                <c:pt idx="712">
                  <c:v>28.633600000000062</c:v>
                </c:pt>
                <c:pt idx="713">
                  <c:v>28.633700000000061</c:v>
                </c:pt>
                <c:pt idx="714">
                  <c:v>28.633800000000061</c:v>
                </c:pt>
                <c:pt idx="715">
                  <c:v>28.633900000000061</c:v>
                </c:pt>
                <c:pt idx="716">
                  <c:v>28.634000000000061</c:v>
                </c:pt>
                <c:pt idx="717">
                  <c:v>28.634100000000061</c:v>
                </c:pt>
                <c:pt idx="718">
                  <c:v>28.63420000000006</c:v>
                </c:pt>
                <c:pt idx="719">
                  <c:v>28.63430000000006</c:v>
                </c:pt>
                <c:pt idx="720">
                  <c:v>28.63440000000006</c:v>
                </c:pt>
                <c:pt idx="721">
                  <c:v>28.63450000000006</c:v>
                </c:pt>
                <c:pt idx="722">
                  <c:v>28.634600000000059</c:v>
                </c:pt>
                <c:pt idx="723">
                  <c:v>28.634700000000059</c:v>
                </c:pt>
                <c:pt idx="724">
                  <c:v>28.634800000000059</c:v>
                </c:pt>
                <c:pt idx="725">
                  <c:v>28.634900000000059</c:v>
                </c:pt>
                <c:pt idx="726">
                  <c:v>28.635000000000058</c:v>
                </c:pt>
                <c:pt idx="727">
                  <c:v>28.635100000000058</c:v>
                </c:pt>
                <c:pt idx="728">
                  <c:v>28.635200000000058</c:v>
                </c:pt>
                <c:pt idx="729">
                  <c:v>28.635300000000058</c:v>
                </c:pt>
                <c:pt idx="730">
                  <c:v>28.635400000000057</c:v>
                </c:pt>
                <c:pt idx="731">
                  <c:v>28.635500000000057</c:v>
                </c:pt>
                <c:pt idx="732">
                  <c:v>28.635600000000057</c:v>
                </c:pt>
                <c:pt idx="733">
                  <c:v>28.635700000000057</c:v>
                </c:pt>
                <c:pt idx="734">
                  <c:v>28.635800000000057</c:v>
                </c:pt>
                <c:pt idx="735">
                  <c:v>28.635900000000056</c:v>
                </c:pt>
                <c:pt idx="736">
                  <c:v>28.636000000000056</c:v>
                </c:pt>
                <c:pt idx="737">
                  <c:v>28.636100000000056</c:v>
                </c:pt>
                <c:pt idx="738">
                  <c:v>28.636200000000056</c:v>
                </c:pt>
                <c:pt idx="739">
                  <c:v>28.636300000000055</c:v>
                </c:pt>
                <c:pt idx="740">
                  <c:v>28.636400000000055</c:v>
                </c:pt>
                <c:pt idx="741">
                  <c:v>28.636500000000055</c:v>
                </c:pt>
                <c:pt idx="742">
                  <c:v>28.636600000000055</c:v>
                </c:pt>
                <c:pt idx="743">
                  <c:v>28.636700000000054</c:v>
                </c:pt>
                <c:pt idx="744">
                  <c:v>28.636800000000054</c:v>
                </c:pt>
                <c:pt idx="745">
                  <c:v>28.636900000000054</c:v>
                </c:pt>
                <c:pt idx="746">
                  <c:v>28.637000000000054</c:v>
                </c:pt>
                <c:pt idx="747">
                  <c:v>28.637100000000054</c:v>
                </c:pt>
                <c:pt idx="748">
                  <c:v>28.637200000000053</c:v>
                </c:pt>
                <c:pt idx="749">
                  <c:v>28.637300000000053</c:v>
                </c:pt>
                <c:pt idx="750">
                  <c:v>28.637400000000053</c:v>
                </c:pt>
                <c:pt idx="751">
                  <c:v>28.637500000000053</c:v>
                </c:pt>
                <c:pt idx="752">
                  <c:v>28.637600000000052</c:v>
                </c:pt>
                <c:pt idx="753">
                  <c:v>28.637700000000052</c:v>
                </c:pt>
                <c:pt idx="754">
                  <c:v>28.637800000000052</c:v>
                </c:pt>
                <c:pt idx="755">
                  <c:v>28.637900000000052</c:v>
                </c:pt>
                <c:pt idx="756">
                  <c:v>28.638000000000051</c:v>
                </c:pt>
                <c:pt idx="757">
                  <c:v>28.638100000000051</c:v>
                </c:pt>
                <c:pt idx="758">
                  <c:v>28.638200000000051</c:v>
                </c:pt>
                <c:pt idx="759">
                  <c:v>28.638300000000051</c:v>
                </c:pt>
                <c:pt idx="760">
                  <c:v>28.63840000000005</c:v>
                </c:pt>
                <c:pt idx="761">
                  <c:v>28.63850000000005</c:v>
                </c:pt>
                <c:pt idx="762">
                  <c:v>28.63860000000005</c:v>
                </c:pt>
                <c:pt idx="763">
                  <c:v>28.63870000000005</c:v>
                </c:pt>
                <c:pt idx="764">
                  <c:v>28.63880000000005</c:v>
                </c:pt>
                <c:pt idx="765">
                  <c:v>28.638900000000049</c:v>
                </c:pt>
                <c:pt idx="766">
                  <c:v>28.639000000000049</c:v>
                </c:pt>
                <c:pt idx="767">
                  <c:v>28.639100000000049</c:v>
                </c:pt>
                <c:pt idx="768">
                  <c:v>28.639200000000049</c:v>
                </c:pt>
                <c:pt idx="769">
                  <c:v>28.639300000000048</c:v>
                </c:pt>
                <c:pt idx="770">
                  <c:v>28.639400000000048</c:v>
                </c:pt>
                <c:pt idx="771">
                  <c:v>28.639500000000048</c:v>
                </c:pt>
                <c:pt idx="772">
                  <c:v>28.639600000000048</c:v>
                </c:pt>
                <c:pt idx="773">
                  <c:v>28.639700000000047</c:v>
                </c:pt>
                <c:pt idx="774">
                  <c:v>28.639800000000047</c:v>
                </c:pt>
                <c:pt idx="775">
                  <c:v>28.639900000000047</c:v>
                </c:pt>
                <c:pt idx="776">
                  <c:v>28.640000000000047</c:v>
                </c:pt>
                <c:pt idx="777">
                  <c:v>28.640100000000047</c:v>
                </c:pt>
                <c:pt idx="778">
                  <c:v>28.640200000000046</c:v>
                </c:pt>
                <c:pt idx="779">
                  <c:v>28.640300000000046</c:v>
                </c:pt>
                <c:pt idx="780">
                  <c:v>28.640400000000046</c:v>
                </c:pt>
                <c:pt idx="781">
                  <c:v>28.640500000000046</c:v>
                </c:pt>
                <c:pt idx="782">
                  <c:v>28.640600000000045</c:v>
                </c:pt>
                <c:pt idx="783">
                  <c:v>28.640700000000045</c:v>
                </c:pt>
                <c:pt idx="784">
                  <c:v>28.640800000000045</c:v>
                </c:pt>
                <c:pt idx="785">
                  <c:v>28.640900000000045</c:v>
                </c:pt>
                <c:pt idx="786">
                  <c:v>28.641000000000044</c:v>
                </c:pt>
                <c:pt idx="787">
                  <c:v>28.641100000000044</c:v>
                </c:pt>
                <c:pt idx="788">
                  <c:v>28.641200000000044</c:v>
                </c:pt>
                <c:pt idx="789">
                  <c:v>28.641300000000044</c:v>
                </c:pt>
                <c:pt idx="790">
                  <c:v>28.641400000000043</c:v>
                </c:pt>
                <c:pt idx="791">
                  <c:v>28.641500000000043</c:v>
                </c:pt>
                <c:pt idx="792">
                  <c:v>28.641600000000043</c:v>
                </c:pt>
                <c:pt idx="793">
                  <c:v>28.641700000000043</c:v>
                </c:pt>
                <c:pt idx="794">
                  <c:v>28.641800000000043</c:v>
                </c:pt>
                <c:pt idx="795">
                  <c:v>28.641900000000042</c:v>
                </c:pt>
                <c:pt idx="796">
                  <c:v>28.642000000000042</c:v>
                </c:pt>
                <c:pt idx="797">
                  <c:v>28.642100000000042</c:v>
                </c:pt>
                <c:pt idx="798">
                  <c:v>28.642200000000042</c:v>
                </c:pt>
                <c:pt idx="799">
                  <c:v>28.642300000000041</c:v>
                </c:pt>
                <c:pt idx="800">
                  <c:v>28.642400000000041</c:v>
                </c:pt>
                <c:pt idx="801">
                  <c:v>28.642500000000041</c:v>
                </c:pt>
                <c:pt idx="802">
                  <c:v>28.642600000000041</c:v>
                </c:pt>
                <c:pt idx="803">
                  <c:v>28.64270000000004</c:v>
                </c:pt>
                <c:pt idx="804">
                  <c:v>28.64280000000004</c:v>
                </c:pt>
                <c:pt idx="805">
                  <c:v>28.64290000000004</c:v>
                </c:pt>
                <c:pt idx="806">
                  <c:v>28.64300000000004</c:v>
                </c:pt>
                <c:pt idx="807">
                  <c:v>28.64310000000004</c:v>
                </c:pt>
                <c:pt idx="808">
                  <c:v>28.643200000000039</c:v>
                </c:pt>
                <c:pt idx="809">
                  <c:v>28.643300000000039</c:v>
                </c:pt>
                <c:pt idx="810">
                  <c:v>28.643400000000039</c:v>
                </c:pt>
                <c:pt idx="811">
                  <c:v>28.643500000000039</c:v>
                </c:pt>
                <c:pt idx="812">
                  <c:v>28.643600000000038</c:v>
                </c:pt>
                <c:pt idx="813">
                  <c:v>28.643700000000038</c:v>
                </c:pt>
                <c:pt idx="814">
                  <c:v>28.643800000000038</c:v>
                </c:pt>
                <c:pt idx="815">
                  <c:v>28.643900000000038</c:v>
                </c:pt>
                <c:pt idx="816">
                  <c:v>28.644000000000037</c:v>
                </c:pt>
                <c:pt idx="817">
                  <c:v>28.644100000000037</c:v>
                </c:pt>
                <c:pt idx="818">
                  <c:v>28.644200000000037</c:v>
                </c:pt>
                <c:pt idx="819">
                  <c:v>28.644300000000037</c:v>
                </c:pt>
                <c:pt idx="820">
                  <c:v>28.644400000000036</c:v>
                </c:pt>
                <c:pt idx="821">
                  <c:v>28.644500000000036</c:v>
                </c:pt>
                <c:pt idx="822">
                  <c:v>28.644600000000036</c:v>
                </c:pt>
                <c:pt idx="823">
                  <c:v>28.644700000000036</c:v>
                </c:pt>
                <c:pt idx="824">
                  <c:v>28.644800000000036</c:v>
                </c:pt>
                <c:pt idx="825">
                  <c:v>28.644900000000035</c:v>
                </c:pt>
                <c:pt idx="826">
                  <c:v>28.645000000000035</c:v>
                </c:pt>
                <c:pt idx="827">
                  <c:v>28.645100000000035</c:v>
                </c:pt>
                <c:pt idx="828">
                  <c:v>28.645200000000035</c:v>
                </c:pt>
                <c:pt idx="829">
                  <c:v>28.645300000000034</c:v>
                </c:pt>
                <c:pt idx="830">
                  <c:v>28.645400000000034</c:v>
                </c:pt>
                <c:pt idx="831">
                  <c:v>28.645500000000034</c:v>
                </c:pt>
                <c:pt idx="832">
                  <c:v>28.645600000000034</c:v>
                </c:pt>
                <c:pt idx="833">
                  <c:v>28.645700000000033</c:v>
                </c:pt>
                <c:pt idx="834">
                  <c:v>28.645800000000033</c:v>
                </c:pt>
                <c:pt idx="835">
                  <c:v>28.645900000000033</c:v>
                </c:pt>
                <c:pt idx="836">
                  <c:v>28.646000000000033</c:v>
                </c:pt>
                <c:pt idx="837">
                  <c:v>28.646100000000033</c:v>
                </c:pt>
                <c:pt idx="838">
                  <c:v>28.646200000000032</c:v>
                </c:pt>
                <c:pt idx="839">
                  <c:v>28.646300000000032</c:v>
                </c:pt>
                <c:pt idx="840">
                  <c:v>28.646400000000032</c:v>
                </c:pt>
                <c:pt idx="841">
                  <c:v>28.646500000000032</c:v>
                </c:pt>
                <c:pt idx="842">
                  <c:v>28.646600000000031</c:v>
                </c:pt>
                <c:pt idx="843">
                  <c:v>28.646700000000031</c:v>
                </c:pt>
                <c:pt idx="844">
                  <c:v>28.646800000000031</c:v>
                </c:pt>
                <c:pt idx="845">
                  <c:v>28.646900000000031</c:v>
                </c:pt>
                <c:pt idx="846">
                  <c:v>28.64700000000003</c:v>
                </c:pt>
                <c:pt idx="847">
                  <c:v>28.64710000000003</c:v>
                </c:pt>
                <c:pt idx="848">
                  <c:v>28.64720000000003</c:v>
                </c:pt>
                <c:pt idx="849">
                  <c:v>28.64730000000003</c:v>
                </c:pt>
                <c:pt idx="850">
                  <c:v>28.64740000000003</c:v>
                </c:pt>
                <c:pt idx="851">
                  <c:v>28.647500000000029</c:v>
                </c:pt>
                <c:pt idx="852">
                  <c:v>28.647600000000029</c:v>
                </c:pt>
                <c:pt idx="853">
                  <c:v>28.647700000000029</c:v>
                </c:pt>
                <c:pt idx="854">
                  <c:v>28.647800000000029</c:v>
                </c:pt>
                <c:pt idx="855">
                  <c:v>28.647900000000028</c:v>
                </c:pt>
                <c:pt idx="856">
                  <c:v>28.648000000000028</c:v>
                </c:pt>
                <c:pt idx="857">
                  <c:v>28.648100000000028</c:v>
                </c:pt>
                <c:pt idx="858">
                  <c:v>28.648200000000028</c:v>
                </c:pt>
                <c:pt idx="859">
                  <c:v>28.648300000000027</c:v>
                </c:pt>
                <c:pt idx="860">
                  <c:v>28.648400000000027</c:v>
                </c:pt>
                <c:pt idx="861">
                  <c:v>28.648500000000027</c:v>
                </c:pt>
                <c:pt idx="862">
                  <c:v>28.648600000000027</c:v>
                </c:pt>
                <c:pt idx="863">
                  <c:v>28.648700000000026</c:v>
                </c:pt>
                <c:pt idx="864">
                  <c:v>28.648800000000026</c:v>
                </c:pt>
                <c:pt idx="865">
                  <c:v>28.648900000000026</c:v>
                </c:pt>
                <c:pt idx="866">
                  <c:v>28.649000000000026</c:v>
                </c:pt>
                <c:pt idx="867">
                  <c:v>28.649100000000026</c:v>
                </c:pt>
                <c:pt idx="868">
                  <c:v>28.649200000000025</c:v>
                </c:pt>
                <c:pt idx="869">
                  <c:v>28.649300000000025</c:v>
                </c:pt>
                <c:pt idx="870">
                  <c:v>28.649400000000025</c:v>
                </c:pt>
                <c:pt idx="871">
                  <c:v>28.649500000000025</c:v>
                </c:pt>
                <c:pt idx="872">
                  <c:v>28.649600000000024</c:v>
                </c:pt>
                <c:pt idx="873">
                  <c:v>28.649700000000024</c:v>
                </c:pt>
                <c:pt idx="874">
                  <c:v>28.649800000000024</c:v>
                </c:pt>
                <c:pt idx="875">
                  <c:v>28.649900000000024</c:v>
                </c:pt>
                <c:pt idx="876">
                  <c:v>28.650000000000023</c:v>
                </c:pt>
                <c:pt idx="877">
                  <c:v>28.650100000000023</c:v>
                </c:pt>
                <c:pt idx="878">
                  <c:v>28.650200000000023</c:v>
                </c:pt>
                <c:pt idx="879">
                  <c:v>28.650300000000023</c:v>
                </c:pt>
                <c:pt idx="880">
                  <c:v>28.650400000000023</c:v>
                </c:pt>
                <c:pt idx="881">
                  <c:v>28.650500000000022</c:v>
                </c:pt>
                <c:pt idx="882">
                  <c:v>28.650600000000022</c:v>
                </c:pt>
                <c:pt idx="883">
                  <c:v>28.650700000000022</c:v>
                </c:pt>
                <c:pt idx="884">
                  <c:v>28.650800000000022</c:v>
                </c:pt>
                <c:pt idx="885">
                  <c:v>28.650900000000021</c:v>
                </c:pt>
                <c:pt idx="886">
                  <c:v>28.651000000000021</c:v>
                </c:pt>
                <c:pt idx="887">
                  <c:v>28.651100000000021</c:v>
                </c:pt>
                <c:pt idx="888">
                  <c:v>28.651200000000021</c:v>
                </c:pt>
                <c:pt idx="889">
                  <c:v>28.65130000000002</c:v>
                </c:pt>
                <c:pt idx="890">
                  <c:v>28.65140000000002</c:v>
                </c:pt>
                <c:pt idx="891">
                  <c:v>28.65150000000002</c:v>
                </c:pt>
                <c:pt idx="892">
                  <c:v>28.65160000000002</c:v>
                </c:pt>
                <c:pt idx="893">
                  <c:v>28.651700000000019</c:v>
                </c:pt>
                <c:pt idx="894">
                  <c:v>28.651800000000019</c:v>
                </c:pt>
                <c:pt idx="895">
                  <c:v>28.651900000000019</c:v>
                </c:pt>
                <c:pt idx="896">
                  <c:v>28.652000000000019</c:v>
                </c:pt>
                <c:pt idx="897">
                  <c:v>28.652100000000019</c:v>
                </c:pt>
                <c:pt idx="898">
                  <c:v>28.652200000000018</c:v>
                </c:pt>
                <c:pt idx="899">
                  <c:v>28.652300000000018</c:v>
                </c:pt>
                <c:pt idx="900">
                  <c:v>28.652400000000018</c:v>
                </c:pt>
                <c:pt idx="901">
                  <c:v>28.652500000000018</c:v>
                </c:pt>
                <c:pt idx="902">
                  <c:v>28.652600000000017</c:v>
                </c:pt>
                <c:pt idx="903">
                  <c:v>28.652700000000017</c:v>
                </c:pt>
                <c:pt idx="904">
                  <c:v>28.652800000000017</c:v>
                </c:pt>
                <c:pt idx="905">
                  <c:v>28.652900000000017</c:v>
                </c:pt>
                <c:pt idx="906">
                  <c:v>28.653000000000016</c:v>
                </c:pt>
                <c:pt idx="907">
                  <c:v>28.653100000000016</c:v>
                </c:pt>
                <c:pt idx="908">
                  <c:v>28.653200000000016</c:v>
                </c:pt>
                <c:pt idx="909">
                  <c:v>28.653300000000016</c:v>
                </c:pt>
                <c:pt idx="910">
                  <c:v>28.653400000000016</c:v>
                </c:pt>
                <c:pt idx="911">
                  <c:v>28.653500000000015</c:v>
                </c:pt>
                <c:pt idx="912">
                  <c:v>28.653600000000015</c:v>
                </c:pt>
                <c:pt idx="913">
                  <c:v>28.653700000000015</c:v>
                </c:pt>
                <c:pt idx="914">
                  <c:v>28.653800000000015</c:v>
                </c:pt>
                <c:pt idx="915">
                  <c:v>28.653900000000014</c:v>
                </c:pt>
                <c:pt idx="916">
                  <c:v>28.654000000000014</c:v>
                </c:pt>
                <c:pt idx="917">
                  <c:v>28.654100000000014</c:v>
                </c:pt>
                <c:pt idx="918">
                  <c:v>28.654200000000014</c:v>
                </c:pt>
                <c:pt idx="919">
                  <c:v>28.654300000000013</c:v>
                </c:pt>
                <c:pt idx="920">
                  <c:v>28.654400000000013</c:v>
                </c:pt>
                <c:pt idx="921">
                  <c:v>28.654500000000013</c:v>
                </c:pt>
                <c:pt idx="922">
                  <c:v>28.654600000000013</c:v>
                </c:pt>
                <c:pt idx="923">
                  <c:v>28.654700000000012</c:v>
                </c:pt>
                <c:pt idx="924">
                  <c:v>28.654800000000012</c:v>
                </c:pt>
                <c:pt idx="925">
                  <c:v>28.654900000000012</c:v>
                </c:pt>
                <c:pt idx="926">
                  <c:v>28.655000000000012</c:v>
                </c:pt>
                <c:pt idx="927">
                  <c:v>28.655100000000012</c:v>
                </c:pt>
                <c:pt idx="928">
                  <c:v>28.655200000000011</c:v>
                </c:pt>
                <c:pt idx="929">
                  <c:v>28.655300000000011</c:v>
                </c:pt>
                <c:pt idx="930">
                  <c:v>28.655400000000011</c:v>
                </c:pt>
                <c:pt idx="931">
                  <c:v>28.655500000000011</c:v>
                </c:pt>
                <c:pt idx="932">
                  <c:v>28.65560000000001</c:v>
                </c:pt>
                <c:pt idx="933">
                  <c:v>28.65570000000001</c:v>
                </c:pt>
                <c:pt idx="934">
                  <c:v>28.65580000000001</c:v>
                </c:pt>
                <c:pt idx="935">
                  <c:v>28.65590000000001</c:v>
                </c:pt>
                <c:pt idx="936">
                  <c:v>28.656000000000009</c:v>
                </c:pt>
                <c:pt idx="937">
                  <c:v>28.656100000000009</c:v>
                </c:pt>
                <c:pt idx="938">
                  <c:v>28.656200000000009</c:v>
                </c:pt>
                <c:pt idx="939">
                  <c:v>28.656300000000009</c:v>
                </c:pt>
                <c:pt idx="940">
                  <c:v>28.656400000000009</c:v>
                </c:pt>
                <c:pt idx="941">
                  <c:v>28.656500000000008</c:v>
                </c:pt>
                <c:pt idx="942">
                  <c:v>28.656600000000008</c:v>
                </c:pt>
                <c:pt idx="943">
                  <c:v>28.656700000000008</c:v>
                </c:pt>
                <c:pt idx="944">
                  <c:v>28.656800000000008</c:v>
                </c:pt>
                <c:pt idx="945">
                  <c:v>28.656900000000007</c:v>
                </c:pt>
                <c:pt idx="946">
                  <c:v>28.657000000000007</c:v>
                </c:pt>
                <c:pt idx="947">
                  <c:v>28.657100000000007</c:v>
                </c:pt>
                <c:pt idx="948">
                  <c:v>28.657200000000007</c:v>
                </c:pt>
                <c:pt idx="949">
                  <c:v>28.657300000000006</c:v>
                </c:pt>
                <c:pt idx="950">
                  <c:v>28.657400000000006</c:v>
                </c:pt>
                <c:pt idx="951">
                  <c:v>28.657500000000006</c:v>
                </c:pt>
                <c:pt idx="952">
                  <c:v>28.657600000000006</c:v>
                </c:pt>
                <c:pt idx="953">
                  <c:v>28.657700000000006</c:v>
                </c:pt>
                <c:pt idx="954">
                  <c:v>28.657800000000005</c:v>
                </c:pt>
                <c:pt idx="955">
                  <c:v>28.657900000000005</c:v>
                </c:pt>
                <c:pt idx="956">
                  <c:v>28.658000000000005</c:v>
                </c:pt>
                <c:pt idx="957">
                  <c:v>28.658100000000005</c:v>
                </c:pt>
                <c:pt idx="958">
                  <c:v>28.658200000000004</c:v>
                </c:pt>
                <c:pt idx="959">
                  <c:v>28.658300000000004</c:v>
                </c:pt>
                <c:pt idx="960">
                  <c:v>28.658400000000004</c:v>
                </c:pt>
                <c:pt idx="961">
                  <c:v>28.658500000000004</c:v>
                </c:pt>
                <c:pt idx="962">
                  <c:v>28.658600000000003</c:v>
                </c:pt>
                <c:pt idx="963">
                  <c:v>28.658700000000003</c:v>
                </c:pt>
                <c:pt idx="964">
                  <c:v>28.658800000000003</c:v>
                </c:pt>
                <c:pt idx="965">
                  <c:v>28.658900000000003</c:v>
                </c:pt>
                <c:pt idx="966">
                  <c:v>28.659000000000002</c:v>
                </c:pt>
                <c:pt idx="967">
                  <c:v>28.659100000000002</c:v>
                </c:pt>
                <c:pt idx="968">
                  <c:v>28.659200000000002</c:v>
                </c:pt>
                <c:pt idx="969">
                  <c:v>28.659300000000002</c:v>
                </c:pt>
                <c:pt idx="970">
                  <c:v>28.659400000000002</c:v>
                </c:pt>
                <c:pt idx="971">
                  <c:v>28.659500000000001</c:v>
                </c:pt>
                <c:pt idx="972">
                  <c:v>28.659600000000001</c:v>
                </c:pt>
                <c:pt idx="973">
                  <c:v>28.659700000000001</c:v>
                </c:pt>
                <c:pt idx="974">
                  <c:v>28.659800000000001</c:v>
                </c:pt>
                <c:pt idx="975">
                  <c:v>28.6599</c:v>
                </c:pt>
                <c:pt idx="976">
                  <c:v>28.66</c:v>
                </c:pt>
                <c:pt idx="977">
                  <c:v>28.6601</c:v>
                </c:pt>
                <c:pt idx="978">
                  <c:v>28.6602</c:v>
                </c:pt>
                <c:pt idx="979">
                  <c:v>28.660299999999999</c:v>
                </c:pt>
                <c:pt idx="980">
                  <c:v>28.660399999999999</c:v>
                </c:pt>
                <c:pt idx="981">
                  <c:v>28.660499999999999</c:v>
                </c:pt>
                <c:pt idx="982">
                  <c:v>28.660599999999999</c:v>
                </c:pt>
                <c:pt idx="983">
                  <c:v>28.660699999999999</c:v>
                </c:pt>
                <c:pt idx="984">
                  <c:v>28.660799999999998</c:v>
                </c:pt>
                <c:pt idx="985">
                  <c:v>28.660899999999998</c:v>
                </c:pt>
                <c:pt idx="986">
                  <c:v>28.660999999999998</c:v>
                </c:pt>
                <c:pt idx="987">
                  <c:v>28.661099999999998</c:v>
                </c:pt>
                <c:pt idx="988">
                  <c:v>28.661199999999997</c:v>
                </c:pt>
                <c:pt idx="989">
                  <c:v>28.661299999999997</c:v>
                </c:pt>
                <c:pt idx="990">
                  <c:v>28.661399999999997</c:v>
                </c:pt>
                <c:pt idx="991">
                  <c:v>28.661499999999997</c:v>
                </c:pt>
                <c:pt idx="992">
                  <c:v>28.661599999999996</c:v>
                </c:pt>
                <c:pt idx="993">
                  <c:v>28.661699999999996</c:v>
                </c:pt>
                <c:pt idx="994">
                  <c:v>28.661799999999996</c:v>
                </c:pt>
                <c:pt idx="995">
                  <c:v>28.661899999999996</c:v>
                </c:pt>
                <c:pt idx="996">
                  <c:v>28.661999999999995</c:v>
                </c:pt>
                <c:pt idx="997">
                  <c:v>28.662099999999995</c:v>
                </c:pt>
                <c:pt idx="998">
                  <c:v>28.662199999999995</c:v>
                </c:pt>
                <c:pt idx="999">
                  <c:v>28.662299999999995</c:v>
                </c:pt>
                <c:pt idx="1000">
                  <c:v>28.662399999999995</c:v>
                </c:pt>
              </c:numCache>
            </c:numRef>
          </c:xVal>
          <c:yVal>
            <c:numRef>
              <c:f>Calculs!$AG$4:$AG$1004</c:f>
              <c:numCache>
                <c:formatCode>0.00</c:formatCode>
                <c:ptCount val="1001"/>
                <c:pt idx="0">
                  <c:v>0</c:v>
                </c:pt>
                <c:pt idx="1">
                  <c:v>-30.211280512052873</c:v>
                </c:pt>
                <c:pt idx="2">
                  <c:v>-30.126782440205606</c:v>
                </c:pt>
                <c:pt idx="3">
                  <c:v>-30.042701631573429</c:v>
                </c:pt>
                <c:pt idx="4">
                  <c:v>-29.959035325969197</c:v>
                </c:pt>
                <c:pt idx="5">
                  <c:v>-29.875780786012122</c:v>
                </c:pt>
                <c:pt idx="6">
                  <c:v>-29.792935296900815</c:v>
                </c:pt>
                <c:pt idx="7">
                  <c:v>-29.710496166188811</c:v>
                </c:pt>
                <c:pt idx="8">
                  <c:v>-29.62846072356276</c:v>
                </c:pt>
                <c:pt idx="9">
                  <c:v>-29.546826320623175</c:v>
                </c:pt>
                <c:pt idx="10">
                  <c:v>-29.465590330667673</c:v>
                </c:pt>
                <c:pt idx="11">
                  <c:v>-29.384975925608828</c:v>
                </c:pt>
                <c:pt idx="12">
                  <c:v>-29.304975423577034</c:v>
                </c:pt>
                <c:pt idx="13">
                  <c:v>-29.22535543977753</c:v>
                </c:pt>
                <c:pt idx="14">
                  <c:v>-29.146113574320477</c:v>
                </c:pt>
                <c:pt idx="15">
                  <c:v>-29.067247446283531</c:v>
                </c:pt>
                <c:pt idx="16">
                  <c:v>-28.988754693530929</c:v>
                </c:pt>
                <c:pt idx="17">
                  <c:v>-28.910632972534597</c:v>
                </c:pt>
                <c:pt idx="18">
                  <c:v>-28.832879958197253</c:v>
                </c:pt>
                <c:pt idx="19">
                  <c:v>-28.755493343677529</c:v>
                </c:pt>
                <c:pt idx="20">
                  <c:v>-28.678470840216882</c:v>
                </c:pt>
                <c:pt idx="21">
                  <c:v>-28.601697197642636</c:v>
                </c:pt>
                <c:pt idx="22">
                  <c:v>-28.525172618871636</c:v>
                </c:pt>
                <c:pt idx="23">
                  <c:v>-28.449010277927147</c:v>
                </c:pt>
                <c:pt idx="24">
                  <c:v>-28.373207889080945</c:v>
                </c:pt>
                <c:pt idx="25">
                  <c:v>-28.297763184634192</c:v>
                </c:pt>
                <c:pt idx="26">
                  <c:v>-28.222673914745844</c:v>
                </c:pt>
                <c:pt idx="27">
                  <c:v>-28.147937847262966</c:v>
                </c:pt>
                <c:pt idx="28">
                  <c:v>-28.073552767552833</c:v>
                </c:pt>
                <c:pt idx="29">
                  <c:v>-27.999516478337064</c:v>
                </c:pt>
                <c:pt idx="30">
                  <c:v>-27.925826799527428</c:v>
                </c:pt>
                <c:pt idx="31">
                  <c:v>-27.852481568063524</c:v>
                </c:pt>
                <c:pt idx="32">
                  <c:v>-27.779478637752213</c:v>
                </c:pt>
                <c:pt idx="33">
                  <c:v>-27.706815879108895</c:v>
                </c:pt>
                <c:pt idx="34">
                  <c:v>-27.634491179200374</c:v>
                </c:pt>
                <c:pt idx="35">
                  <c:v>-27.56250244148962</c:v>
                </c:pt>
                <c:pt idx="36">
                  <c:v>-27.490847585682076</c:v>
                </c:pt>
                <c:pt idx="37">
                  <c:v>-27.419524547573715</c:v>
                </c:pt>
                <c:pt idx="38">
                  <c:v>-27.348531278900754</c:v>
                </c:pt>
                <c:pt idx="39">
                  <c:v>-27.277865747190987</c:v>
                </c:pt>
                <c:pt idx="40">
                  <c:v>-27.207525935616687</c:v>
                </c:pt>
                <c:pt idx="41">
                  <c:v>-27.137509842849184</c:v>
                </c:pt>
                <c:pt idx="42">
                  <c:v>-27.067815482914984</c:v>
                </c:pt>
                <c:pt idx="43">
                  <c:v>-26.998440885053412</c:v>
                </c:pt>
                <c:pt idx="44">
                  <c:v>-26.92938409357577</c:v>
                </c:pt>
                <c:pt idx="45">
                  <c:v>-26.86064316772617</c:v>
                </c:pt>
                <c:pt idx="46">
                  <c:v>-26.792216181543623</c:v>
                </c:pt>
                <c:pt idx="47">
                  <c:v>-26.724101223725775</c:v>
                </c:pt>
                <c:pt idx="48">
                  <c:v>-26.656296397494096</c:v>
                </c:pt>
                <c:pt idx="49">
                  <c:v>-26.588799820460373</c:v>
                </c:pt>
                <c:pt idx="50">
                  <c:v>-26.521609624494886</c:v>
                </c:pt>
                <c:pt idx="51">
                  <c:v>-26.454723955595675</c:v>
                </c:pt>
                <c:pt idx="52">
                  <c:v>-26.38814097375943</c:v>
                </c:pt>
                <c:pt idx="53">
                  <c:v>-26.321858852853687</c:v>
                </c:pt>
                <c:pt idx="54">
                  <c:v>-26.255875780490342</c:v>
                </c:pt>
                <c:pt idx="55">
                  <c:v>-26.190189957900575</c:v>
                </c:pt>
                <c:pt idx="56">
                  <c:v>-26.124799599811006</c:v>
                </c:pt>
                <c:pt idx="57">
                  <c:v>-26.059702934321237</c:v>
                </c:pt>
                <c:pt idx="58">
                  <c:v>-25.994898202782682</c:v>
                </c:pt>
                <c:pt idx="59">
                  <c:v>-25.930383659678636</c:v>
                </c:pt>
                <c:pt idx="60">
                  <c:v>-25.866157572505585</c:v>
                </c:pt>
                <c:pt idx="61">
                  <c:v>-25.80221822165586</c:v>
                </c:pt>
                <c:pt idx="62">
                  <c:v>-25.738563900301408</c:v>
                </c:pt>
                <c:pt idx="63">
                  <c:v>-25.675192914278838</c:v>
                </c:pt>
                <c:pt idx="64">
                  <c:v>-25.612103581975688</c:v>
                </c:pt>
                <c:pt idx="65">
                  <c:v>-25.549294234217797</c:v>
                </c:pt>
                <c:pt idx="66">
                  <c:v>-25.486763214157968</c:v>
                </c:pt>
                <c:pt idx="67">
                  <c:v>-25.424508877165671</c:v>
                </c:pt>
                <c:pt idx="68">
                  <c:v>-25.362529590717958</c:v>
                </c:pt>
                <c:pt idx="69">
                  <c:v>-25.300823734291498</c:v>
                </c:pt>
                <c:pt idx="70">
                  <c:v>-25.239389699255739</c:v>
                </c:pt>
                <c:pt idx="71">
                  <c:v>-25.178225888767123</c:v>
                </c:pt>
                <c:pt idx="72">
                  <c:v>-25.117330717664512</c:v>
                </c:pt>
                <c:pt idx="73">
                  <c:v>-25.056702612365484</c:v>
                </c:pt>
                <c:pt idx="74">
                  <c:v>-24.996340010763959</c:v>
                </c:pt>
                <c:pt idx="75">
                  <c:v>-24.936241362128609</c:v>
                </c:pt>
                <c:pt idx="76">
                  <c:v>-24.876405127002574</c:v>
                </c:pt>
                <c:pt idx="77">
                  <c:v>-24.816829777103965</c:v>
                </c:pt>
                <c:pt idx="78">
                  <c:v>-24.75751379522756</c:v>
                </c:pt>
                <c:pt idx="79">
                  <c:v>-24.698455675147379</c:v>
                </c:pt>
                <c:pt idx="80">
                  <c:v>-24.63965392152037</c:v>
                </c:pt>
                <c:pt idx="81">
                  <c:v>-24.581107049790951</c:v>
                </c:pt>
                <c:pt idx="82">
                  <c:v>-24.522813586096632</c:v>
                </c:pt>
                <c:pt idx="83">
                  <c:v>-24.464772067174529</c:v>
                </c:pt>
                <c:pt idx="84">
                  <c:v>-24.406981040268846</c:v>
                </c:pt>
                <c:pt idx="85">
                  <c:v>-24.349439063039277</c:v>
                </c:pt>
                <c:pt idx="86">
                  <c:v>-24.292144703470385</c:v>
                </c:pt>
                <c:pt idx="87">
                  <c:v>-24.235096539781793</c:v>
                </c:pt>
                <c:pt idx="88">
                  <c:v>-24.178293160339436</c:v>
                </c:pt>
                <c:pt idx="89">
                  <c:v>-24.121733163567491</c:v>
                </c:pt>
                <c:pt idx="90">
                  <c:v>-24.065415157861445</c:v>
                </c:pt>
                <c:pt idx="91">
                  <c:v>-24.00933776150179</c:v>
                </c:pt>
                <c:pt idx="92">
                  <c:v>-23.953499602568776</c:v>
                </c:pt>
                <c:pt idx="93">
                  <c:v>-23.897899318857874</c:v>
                </c:pt>
                <c:pt idx="94">
                  <c:v>-23.842535557796165</c:v>
                </c:pt>
                <c:pt idx="95">
                  <c:v>-23.787406976359563</c:v>
                </c:pt>
                <c:pt idx="96">
                  <c:v>-23.732512240990818</c:v>
                </c:pt>
                <c:pt idx="97">
                  <c:v>-23.677850027518332</c:v>
                </c:pt>
                <c:pt idx="98">
                  <c:v>-23.623419021075847</c:v>
                </c:pt>
                <c:pt idx="99">
                  <c:v>-23.569217916022836</c:v>
                </c:pt>
                <c:pt idx="100">
                  <c:v>-23.515245415865778</c:v>
                </c:pt>
                <c:pt idx="101">
                  <c:v>-23.461500233180132</c:v>
                </c:pt>
                <c:pt idx="102">
                  <c:v>-22.931193567411952</c:v>
                </c:pt>
                <c:pt idx="103">
                  <c:v>-22.422776081039448</c:v>
                </c:pt>
                <c:pt idx="104">
                  <c:v>-21.935051657151583</c:v>
                </c:pt>
                <c:pt idx="105">
                  <c:v>-21.466904180132609</c:v>
                </c:pt>
                <c:pt idx="106">
                  <c:v>-21.01729106238016</c:v>
                </c:pt>
                <c:pt idx="107">
                  <c:v>-20.585237367455676</c:v>
                </c:pt>
                <c:pt idx="108">
                  <c:v>-20.169830466789577</c:v>
                </c:pt>
                <c:pt idx="109">
                  <c:v>-19.770215174374677</c:v>
                </c:pt>
                <c:pt idx="110">
                  <c:v>-19.385589310251255</c:v>
                </c:pt>
                <c:pt idx="111">
                  <c:v>-19.015199649148414</c:v>
                </c:pt>
                <c:pt idx="112">
                  <c:v>-18.658338215507694</c:v>
                </c:pt>
                <c:pt idx="113">
                  <c:v>-18.314338890373783</c:v>
                </c:pt>
                <c:pt idx="114">
                  <c:v>-17.982574299371962</c:v>
                </c:pt>
                <c:pt idx="115">
                  <c:v>-17.662452954273054</c:v>
                </c:pt>
                <c:pt idx="116">
                  <c:v>-17.353416623532542</c:v>
                </c:pt>
                <c:pt idx="117">
                  <c:v>-17.054937909732132</c:v>
                </c:pt>
                <c:pt idx="118">
                  <c:v>-16.766518014092433</c:v>
                </c:pt>
                <c:pt idx="119">
                  <c:v>-16.4876846702027</c:v>
                </c:pt>
                <c:pt idx="120">
                  <c:v>-16.217990230859264</c:v>
                </c:pt>
                <c:pt idx="121">
                  <c:v>-15.957009893446889</c:v>
                </c:pt>
                <c:pt idx="122">
                  <c:v>-15.704340050660075</c:v>
                </c:pt>
                <c:pt idx="123">
                  <c:v>-15.459596754566032</c:v>
                </c:pt>
                <c:pt idx="124">
                  <c:v>-15.222414283074604</c:v>
                </c:pt>
                <c:pt idx="125">
                  <c:v>-14.99244379881908</c:v>
                </c:pt>
                <c:pt idx="126">
                  <c:v>-14.769352091279018</c:v>
                </c:pt>
                <c:pt idx="127">
                  <c:v>-14.552820393702827</c:v>
                </c:pt>
                <c:pt idx="128">
                  <c:v>-14.342543267025007</c:v>
                </c:pt>
                <c:pt idx="129">
                  <c:v>-14.138227543528586</c:v>
                </c:pt>
                <c:pt idx="130">
                  <c:v>-13.939591323484967</c:v>
                </c:pt>
                <c:pt idx="131">
                  <c:v>-13.746363018417881</c:v>
                </c:pt>
                <c:pt idx="132">
                  <c:v>-13.558280434990712</c:v>
                </c:pt>
                <c:pt idx="133">
                  <c:v>-13.375089893811714</c:v>
                </c:pt>
                <c:pt idx="134">
                  <c:v>-13.196545377694104</c:v>
                </c:pt>
                <c:pt idx="135">
                  <c:v>-13.022407704100564</c:v>
                </c:pt>
                <c:pt idx="136">
                  <c:v>-12.852443716647892</c:v>
                </c:pt>
                <c:pt idx="137">
                  <c:v>-12.686425490649569</c:v>
                </c:pt>
                <c:pt idx="138">
                  <c:v>-12.524129547734507</c:v>
                </c:pt>
                <c:pt idx="139">
                  <c:v>-12.365336074601338</c:v>
                </c:pt>
                <c:pt idx="140">
                  <c:v>-12.209828140951299</c:v>
                </c:pt>
                <c:pt idx="141">
                  <c:v>-12.057390911591831</c:v>
                </c:pt>
                <c:pt idx="142">
                  <c:v>-11.907810847619524</c:v>
                </c:pt>
                <c:pt idx="143">
                  <c:v>-11.760874891478871</c:v>
                </c:pt>
                <c:pt idx="144">
                  <c:v>-11.61636963055607</c:v>
                </c:pt>
                <c:pt idx="145">
                  <c:v>-11.474080433810672</c:v>
                </c:pt>
                <c:pt idx="146">
                  <c:v>-11.333790555778981</c:v>
                </c:pt>
                <c:pt idx="147">
                  <c:v>-11.195280202111601</c:v>
                </c:pt>
                <c:pt idx="148">
                  <c:v>-11.058325550645778</c:v>
                </c:pt>
                <c:pt idx="149">
                  <c:v>-10.92269772187805</c:v>
                </c:pt>
                <c:pt idx="150">
                  <c:v>-10.788161692615887</c:v>
                </c:pt>
                <c:pt idx="151">
                  <c:v>-10.654475146577614</c:v>
                </c:pt>
                <c:pt idx="152">
                  <c:v>-10.521387255814737</c:v>
                </c:pt>
                <c:pt idx="153">
                  <c:v>-10.388637387098667</c:v>
                </c:pt>
                <c:pt idx="154">
                  <c:v>-10.255953727906228</c:v>
                </c:pt>
                <c:pt idx="155">
                  <c:v>-10.123051827434773</c:v>
                </c:pt>
                <c:pt idx="156">
                  <c:v>-9.9896330492780052</c:v>
                </c:pt>
                <c:pt idx="157">
                  <c:v>-9.8553829341243162</c:v>
                </c:pt>
                <c:pt idx="158">
                  <c:v>-9.7199694732578461</c:v>
                </c:pt>
                <c:pt idx="159">
                  <c:v>-9.5830412969437138</c:v>
                </c:pt>
                <c:pt idx="160">
                  <c:v>-9.4442257862022334</c:v>
                </c:pt>
                <c:pt idx="161">
                  <c:v>-9.3031271223120804</c:v>
                </c:pt>
                <c:pt idx="162">
                  <c:v>-9.1593242959758321</c:v>
                </c:pt>
                <c:pt idx="163">
                  <c:v>-9.0123691078399109</c:v>
                </c:pt>
                <c:pt idx="164">
                  <c:v>-8.8617842044526203</c:v>
                </c:pt>
                <c:pt idx="165">
                  <c:v>-8.707061209290206</c:v>
                </c:pt>
                <c:pt idx="166">
                  <c:v>-8.5476590277417372</c:v>
                </c:pt>
                <c:pt idx="167">
                  <c:v>-8.3830024284814542</c:v>
                </c:pt>
                <c:pt idx="168">
                  <c:v>-8.2124810319825183</c:v>
                </c:pt>
                <c:pt idx="169">
                  <c:v>-8.0354488704038136</c:v>
                </c:pt>
                <c:pt idx="170">
                  <c:v>-7.8512247217963642</c:v>
                </c:pt>
                <c:pt idx="171">
                  <c:v>-7.6590934651361389</c:v>
                </c:pt>
                <c:pt idx="172">
                  <c:v>-7.4583087499618692</c:v>
                </c:pt>
                <c:pt idx="173">
                  <c:v>-7.248097323156613</c:v>
                </c:pt>
                <c:pt idx="174">
                  <c:v>-7.0276654019245717</c:v>
                </c:pt>
                <c:pt idx="175">
                  <c:v>-6.796207520551051</c:v>
                </c:pt>
                <c:pt idx="176">
                  <c:v>-6.5529183008924843</c:v>
                </c:pt>
                <c:pt idx="177">
                  <c:v>-6.2970075916803641</c:v>
                </c:pt>
                <c:pt idx="178">
                  <c:v>-6.0277193756618495</c:v>
                </c:pt>
                <c:pt idx="179">
                  <c:v>-5.7443547398889709</c:v>
                </c:pt>
                <c:pt idx="180">
                  <c:v>-5.4462990255058576</c:v>
                </c:pt>
                <c:pt idx="181">
                  <c:v>-5.1330530029782269</c:v>
                </c:pt>
                <c:pt idx="182">
                  <c:v>-4.8042675461631941</c:v>
                </c:pt>
                <c:pt idx="183">
                  <c:v>-4.4597808043651828</c:v>
                </c:pt>
                <c:pt idx="184">
                  <c:v>-4.0996563138689215</c:v>
                </c:pt>
                <c:pt idx="185">
                  <c:v>-3.7242198921540126</c:v>
                </c:pt>
                <c:pt idx="186">
                  <c:v>-3.3340925906138033</c:v>
                </c:pt>
                <c:pt idx="187">
                  <c:v>-2.9302165444790678</c:v>
                </c:pt>
                <c:pt idx="188">
                  <c:v>-2.5138703696859479</c:v>
                </c:pt>
                <c:pt idx="189">
                  <c:v>-2.086670932560891</c:v>
                </c:pt>
                <c:pt idx="190">
                  <c:v>-1.6505589465363273</c:v>
                </c:pt>
                <c:pt idx="191">
                  <c:v>-1.2077669549414656</c:v>
                </c:pt>
                <c:pt idx="192">
                  <c:v>-0.76076977406134483</c:v>
                </c:pt>
                <c:pt idx="193">
                  <c:v>-0.31221922908462313</c:v>
                </c:pt>
                <c:pt idx="194">
                  <c:v>0.13513323421513496</c:v>
                </c:pt>
                <c:pt idx="195">
                  <c:v>0.5785210277267776</c:v>
                </c:pt>
                <c:pt idx="196">
                  <c:v>1.0152480661361931</c:v>
                </c:pt>
                <c:pt idx="197">
                  <c:v>1.442769500672195</c:v>
                </c:pt>
                <c:pt idx="198">
                  <c:v>1.8587620726389538</c:v>
                </c:pt>
                <c:pt idx="199">
                  <c:v>2.2611798750218886</c:v>
                </c:pt>
                <c:pt idx="200">
                  <c:v>2.6482929817400258</c:v>
                </c:pt>
                <c:pt idx="201">
                  <c:v>3.0187082005016457</c:v>
                </c:pt>
                <c:pt idx="202">
                  <c:v>3.3713728510350474</c:v>
                </c:pt>
                <c:pt idx="203">
                  <c:v>3.7055637592657233</c:v>
                </c:pt>
                <c:pt idx="204">
                  <c:v>4.0208644816154999</c:v>
                </c:pt>
                <c:pt idx="205">
                  <c:v>4.3171341220326136</c:v>
                </c:pt>
                <c:pt idx="206">
                  <c:v>4.5944710437930407</c:v>
                </c:pt>
                <c:pt idx="207">
                  <c:v>4.8531744184242633</c:v>
                </c:pt>
                <c:pt idx="208">
                  <c:v>5.0937060170984925</c:v>
                </c:pt>
                <c:pt idx="209">
                  <c:v>5.3166540452929896</c:v>
                </c:pt>
                <c:pt idx="210">
                  <c:v>5.5227002336287248</c:v>
                </c:pt>
                <c:pt idx="211">
                  <c:v>5.7125908811674169</c:v>
                </c:pt>
                <c:pt idx="212">
                  <c:v>5.8871121296435014</c:v>
                </c:pt>
                <c:pt idx="213">
                  <c:v>6.0470694347648957</c:v>
                </c:pt>
                <c:pt idx="214">
                  <c:v>6.1932709865290514</c:v>
                </c:pt>
                <c:pt idx="215">
                  <c:v>6.3265146995057115</c:v>
                </c:pt>
                <c:pt idx="216">
                  <c:v>6.4475783284222281</c:v>
                </c:pt>
                <c:pt idx="217">
                  <c:v>6.557212246682675</c:v>
                </c:pt>
                <c:pt idx="218">
                  <c:v>6.656134440335661</c:v>
                </c:pt>
                <c:pt idx="219">
                  <c:v>6.7450273050638243</c:v>
                </c:pt>
                <c:pt idx="220">
                  <c:v>6.8245358795819522</c:v>
                </c:pt>
                <c:pt idx="221">
                  <c:v>6.8952671986783187</c:v>
                </c:pt>
                <c:pt idx="222">
                  <c:v>6.9577904985234982</c:v>
                </c:pt>
                <c:pt idx="223">
                  <c:v>7.012638053036639</c:v>
                </c:pt>
                <c:pt idx="224">
                  <c:v>7.0603064615419182</c:v>
                </c:pt>
                <c:pt idx="225">
                  <c:v>7.1012582440459528</c:v>
                </c:pt>
                <c:pt idx="226">
                  <c:v>7.1359236311753413</c:v>
                </c:pt>
                <c:pt idx="227">
                  <c:v>7.1647024614359296</c:v>
                </c:pt>
                <c:pt idx="228">
                  <c:v>7.1879661194861635</c:v>
                </c:pt>
                <c:pt idx="229">
                  <c:v>7.2060594661300144</c:v>
                </c:pt>
                <c:pt idx="230">
                  <c:v>7.219302724317112</c:v>
                </c:pt>
                <c:pt idx="231">
                  <c:v>7.2279932961440654</c:v>
                </c:pt>
                <c:pt idx="232">
                  <c:v>7.232407494185054</c:v>
                </c:pt>
                <c:pt idx="233">
                  <c:v>7.2328021768818767</c:v>
                </c:pt>
                <c:pt idx="234">
                  <c:v>7.2294162825716697</c:v>
                </c:pt>
                <c:pt idx="235">
                  <c:v>7.2224722603403064</c:v>
                </c:pt>
                <c:pt idx="236">
                  <c:v>7.212177398523604</c:v>
                </c:pt>
                <c:pt idx="237">
                  <c:v>7.1987250535505813</c:v>
                </c:pt>
                <c:pt idx="238">
                  <c:v>7.1822957831061052</c:v>
                </c:pt>
                <c:pt idx="239">
                  <c:v>7.1630583884229972</c:v>
                </c:pt>
                <c:pt idx="240">
                  <c:v>7.1411708710057455</c:v>
                </c:pt>
                <c:pt idx="241">
                  <c:v>7.1167813093262886</c:v>
                </c:pt>
                <c:pt idx="242">
                  <c:v>7.0900286610845136</c:v>
                </c:pt>
                <c:pt idx="243">
                  <c:v>7.0610434965446336</c:v>
                </c:pt>
                <c:pt idx="244">
                  <c:v>7.0299486682840389</c:v>
                </c:pt>
                <c:pt idx="245">
                  <c:v>6.9968599224542594</c:v>
                </c:pt>
                <c:pt idx="246">
                  <c:v>6.9618864563778082</c:v>
                </c:pt>
                <c:pt idx="247">
                  <c:v>6.9251314270070115</c:v>
                </c:pt>
                <c:pt idx="248">
                  <c:v>6.8866924144644974</c:v>
                </c:pt>
                <c:pt idx="249">
                  <c:v>6.8466618445791347</c:v>
                </c:pt>
                <c:pt idx="250">
                  <c:v>6.8051273740318869</c:v>
                </c:pt>
                <c:pt idx="251">
                  <c:v>6.7621722414386216</c:v>
                </c:pt>
                <c:pt idx="252">
                  <c:v>6.7178755874232996</c:v>
                </c:pt>
                <c:pt idx="253">
                  <c:v>6.6723127464777026</c:v>
                </c:pt>
                <c:pt idx="254">
                  <c:v>6.6255555131632864</c:v>
                </c:pt>
                <c:pt idx="255">
                  <c:v>6.5776723849872418</c:v>
                </c:pt>
                <c:pt idx="256">
                  <c:v>6.5287287840783961</c:v>
                </c:pt>
                <c:pt idx="257">
                  <c:v>6.4787872595982829</c:v>
                </c:pt>
                <c:pt idx="258">
                  <c:v>6.4279076726480522</c:v>
                </c:pt>
                <c:pt idx="259">
                  <c:v>6.3761473652721241</c:v>
                </c:pt>
                <c:pt idx="260">
                  <c:v>6.3235613150133894</c:v>
                </c:pt>
                <c:pt idx="261">
                  <c:v>6.2702022763414753</c:v>
                </c:pt>
                <c:pt idx="262">
                  <c:v>6.216120910154368</c:v>
                </c:pt>
                <c:pt idx="263">
                  <c:v>6.1613659024433005</c:v>
                </c:pt>
                <c:pt idx="264">
                  <c:v>6.1059840731104833</c:v>
                </c:pt>
                <c:pt idx="265">
                  <c:v>6.050020475838064</c:v>
                </c:pt>
                <c:pt idx="266">
                  <c:v>5.9935184898242335</c:v>
                </c:pt>
                <c:pt idx="267">
                  <c:v>5.9365199041269978</c:v>
                </c:pt>
                <c:pt idx="268">
                  <c:v>5.879064995288342</c:v>
                </c:pt>
                <c:pt idx="269">
                  <c:v>5.8211925988495743</c:v>
                </c:pt>
                <c:pt idx="270">
                  <c:v>5.7629401753126519</c:v>
                </c:pt>
                <c:pt idx="271">
                  <c:v>5.7043438710514653</c:v>
                </c:pt>
                <c:pt idx="272">
                  <c:v>5.6454385746309894</c:v>
                </c:pt>
                <c:pt idx="273">
                  <c:v>5.5862579689503171</c:v>
                </c:pt>
                <c:pt idx="274">
                  <c:v>5.5268345795876499</c:v>
                </c:pt>
                <c:pt idx="275">
                  <c:v>5.4671998196909106</c:v>
                </c:pt>
                <c:pt idx="276">
                  <c:v>5.407384031726286</c:v>
                </c:pt>
                <c:pt idx="277">
                  <c:v>5.3474165263686375</c:v>
                </c:pt>
                <c:pt idx="278">
                  <c:v>5.2873256187919013</c:v>
                </c:pt>
                <c:pt idx="279">
                  <c:v>5.2271386625941112</c:v>
                </c:pt>
                <c:pt idx="280">
                  <c:v>5.1668820815704324</c:v>
                </c:pt>
                <c:pt idx="281">
                  <c:v>5.1065813995280553</c:v>
                </c:pt>
                <c:pt idx="282">
                  <c:v>5.0462612683193591</c:v>
                </c:pt>
                <c:pt idx="283">
                  <c:v>4.9859454942534942</c:v>
                </c:pt>
                <c:pt idx="284">
                  <c:v>4.925657063032074</c:v>
                </c:pt>
                <c:pt idx="285">
                  <c:v>4.8654181633413227</c:v>
                </c:pt>
                <c:pt idx="286">
                  <c:v>4.8052502092208549</c:v>
                </c:pt>
                <c:pt idx="287">
                  <c:v>4.7451738613182854</c:v>
                </c:pt>
                <c:pt idx="288">
                  <c:v>4.6852090471288044</c:v>
                </c:pt>
                <c:pt idx="289">
                  <c:v>4.6253749803096875</c:v>
                </c:pt>
                <c:pt idx="290">
                  <c:v>4.5656901791513071</c:v>
                </c:pt>
                <c:pt idx="291">
                  <c:v>4.5061724842786361</c:v>
                </c:pt>
                <c:pt idx="292">
                  <c:v>4.4468390756503755</c:v>
                </c:pt>
                <c:pt idx="293">
                  <c:v>4.3877064889162503</c:v>
                </c:pt>
                <c:pt idx="294">
                  <c:v>4.3287906311876077</c:v>
                </c:pt>
                <c:pt idx="295">
                  <c:v>4.2701067962708548</c:v>
                </c:pt>
                <c:pt idx="296">
                  <c:v>4.2116696794086437</c:v>
                </c:pt>
                <c:pt idx="297">
                  <c:v>4.1534933915693788</c:v>
                </c:pt>
                <c:pt idx="298">
                  <c:v>4.0955914733214724</c:v>
                </c:pt>
                <c:pt idx="299">
                  <c:v>4.0379769083253203</c:v>
                </c:pt>
                <c:pt idx="300">
                  <c:v>3.9806621364725112</c:v>
                </c:pt>
                <c:pt idx="301">
                  <c:v>3.9236590666988755</c:v>
                </c:pt>
                <c:pt idx="302">
                  <c:v>3.8669790894952207</c:v>
                </c:pt>
                <c:pt idx="303">
                  <c:v>3.8106330891370641</c:v>
                </c:pt>
                <c:pt idx="304">
                  <c:v>3.7546314556524631</c:v>
                </c:pt>
                <c:pt idx="305">
                  <c:v>3.6989840965449234</c:v>
                </c:pt>
                <c:pt idx="306">
                  <c:v>3.6437004482866042</c:v>
                </c:pt>
                <c:pt idx="307">
                  <c:v>3.5887894875952222</c:v>
                </c:pt>
                <c:pt idx="308">
                  <c:v>3.534259742506622</c:v>
                </c:pt>
                <c:pt idx="309">
                  <c:v>3.4801193032535318</c:v>
                </c:pt>
                <c:pt idx="310">
                  <c:v>3.4263758329598177</c:v>
                </c:pt>
                <c:pt idx="311">
                  <c:v>3.3730365781584197</c:v>
                </c:pt>
                <c:pt idx="312">
                  <c:v>3.3201083791400414</c:v>
                </c:pt>
                <c:pt idx="313">
                  <c:v>3.2675976801389286</c:v>
                </c:pt>
                <c:pt idx="314">
                  <c:v>3.2155105393610981</c:v>
                </c:pt>
                <c:pt idx="315">
                  <c:v>3.1638526388596802</c:v>
                </c:pt>
                <c:pt idx="316">
                  <c:v>3.1126292942614713</c:v>
                </c:pt>
                <c:pt idx="317">
                  <c:v>3.061845464348071</c:v>
                </c:pt>
                <c:pt idx="318">
                  <c:v>3.0115057604945781</c:v>
                </c:pt>
                <c:pt idx="319">
                  <c:v>2.9616144559683244</c:v>
                </c:pt>
                <c:pt idx="320">
                  <c:v>2.9121754950896754</c:v>
                </c:pt>
                <c:pt idx="321">
                  <c:v>2.8631925022566769</c:v>
                </c:pt>
                <c:pt idx="322">
                  <c:v>2.8146687908349053</c:v>
                </c:pt>
                <c:pt idx="323">
                  <c:v>2.7666073719137465</c:v>
                </c:pt>
                <c:pt idx="324">
                  <c:v>2.7190109629299259</c:v>
                </c:pt>
                <c:pt idx="325">
                  <c:v>2.6718819961591267</c:v>
                </c:pt>
                <c:pt idx="326">
                  <c:v>2.6252226270761971</c:v>
                </c:pt>
                <c:pt idx="327">
                  <c:v>2.5790347425844002</c:v>
                </c:pt>
                <c:pt idx="328">
                  <c:v>2.533319969114066</c:v>
                </c:pt>
                <c:pt idx="329">
                  <c:v>2.488079680590797</c:v>
                </c:pt>
                <c:pt idx="330">
                  <c:v>2.4433150062735294</c:v>
                </c:pt>
                <c:pt idx="331">
                  <c:v>2.3990268384624489</c:v>
                </c:pt>
                <c:pt idx="332">
                  <c:v>2.3552158400769523</c:v>
                </c:pt>
                <c:pt idx="333">
                  <c:v>2.3118824521036752</c:v>
                </c:pt>
                <c:pt idx="334">
                  <c:v>2.2690269009146862</c:v>
                </c:pt>
                <c:pt idx="335">
                  <c:v>2.2266492054559128</c:v>
                </c:pt>
                <c:pt idx="336">
                  <c:v>2.1847491843059279</c:v>
                </c:pt>
                <c:pt idx="337">
                  <c:v>2.1433264626051267</c:v>
                </c:pt>
                <c:pt idx="338">
                  <c:v>2.1023804788556388</c:v>
                </c:pt>
                <c:pt idx="339">
                  <c:v>2.0619104915919095</c:v>
                </c:pt>
                <c:pt idx="340">
                  <c:v>2.0219155859224376</c:v>
                </c:pt>
                <c:pt idx="341">
                  <c:v>1.9823946799427912</c:v>
                </c:pt>
                <c:pt idx="342">
                  <c:v>1.9433465310203095</c:v>
                </c:pt>
                <c:pt idx="343">
                  <c:v>1.9047697419508864</c:v>
                </c:pt>
                <c:pt idx="344">
                  <c:v>1.8666627669882825</c:v>
                </c:pt>
                <c:pt idx="345">
                  <c:v>1.829023917746464</c:v>
                </c:pt>
                <c:pt idx="346">
                  <c:v>1.7918513689755722</c:v>
                </c:pt>
                <c:pt idx="347">
                  <c:v>1.7551431642121003</c:v>
                </c:pt>
                <c:pt idx="348">
                  <c:v>1.7188972213041023</c:v>
                </c:pt>
                <c:pt idx="349">
                  <c:v>1.6831113378120151</c:v>
                </c:pt>
                <c:pt idx="350">
                  <c:v>1.6477831962860581</c:v>
                </c:pt>
                <c:pt idx="351">
                  <c:v>1.6129103694210247</c:v>
                </c:pt>
                <c:pt idx="352">
                  <c:v>1.5784903250894136</c:v>
                </c:pt>
                <c:pt idx="353">
                  <c:v>1.5445204312538774</c:v>
                </c:pt>
                <c:pt idx="354">
                  <c:v>1.510997960760097</c:v>
                </c:pt>
                <c:pt idx="355">
                  <c:v>1.4779200960111023</c:v>
                </c:pt>
                <c:pt idx="356">
                  <c:v>1.4452839335242427</c:v>
                </c:pt>
                <c:pt idx="357">
                  <c:v>1.4130864883720449</c:v>
                </c:pt>
                <c:pt idx="358">
                  <c:v>1.3813246985081467</c:v>
                </c:pt>
                <c:pt idx="359">
                  <c:v>1.3499954289795877</c:v>
                </c:pt>
                <c:pt idx="360">
                  <c:v>1.319095476026936</c:v>
                </c:pt>
                <c:pt idx="361">
                  <c:v>1.2886215710734685</c:v>
                </c:pt>
                <c:pt idx="362">
                  <c:v>1.2585703846049157</c:v>
                </c:pt>
                <c:pt idx="363">
                  <c:v>1.2289385299411908</c:v>
                </c:pt>
                <c:pt idx="364">
                  <c:v>1.1997225669016274</c:v>
                </c:pt>
                <c:pt idx="365">
                  <c:v>1.1709190053652136</c:v>
                </c:pt>
                <c:pt idx="366">
                  <c:v>1.1425243087273849</c:v>
                </c:pt>
                <c:pt idx="367">
                  <c:v>1.114534897254897</c:v>
                </c:pt>
                <c:pt idx="368">
                  <c:v>1.0869471513404996</c:v>
                </c:pt>
                <c:pt idx="369">
                  <c:v>1.0597574146588702</c:v>
                </c:pt>
                <c:pt idx="370">
                  <c:v>1.0329619972255717</c:v>
                </c:pt>
                <c:pt idx="371">
                  <c:v>1.0065571783605876</c:v>
                </c:pt>
                <c:pt idx="372">
                  <c:v>0.98053920955820217</c:v>
                </c:pt>
                <c:pt idx="373">
                  <c:v>0.95490431726478242</c:v>
                </c:pt>
                <c:pt idx="374">
                  <c:v>0.92964870556626877</c:v>
                </c:pt>
                <c:pt idx="375">
                  <c:v>0.9047685587869605</c:v>
                </c:pt>
                <c:pt idx="376">
                  <c:v>0.88026004400138724</c:v>
                </c:pt>
                <c:pt idx="377">
                  <c:v>0.85611931346087822</c:v>
                </c:pt>
                <c:pt idx="378">
                  <c:v>0.85609557489731003</c:v>
                </c:pt>
                <c:pt idx="379">
                  <c:v>0.85607183669133313</c:v>
                </c:pt>
                <c:pt idx="380">
                  <c:v>0.85604809884295285</c:v>
                </c:pt>
                <c:pt idx="381">
                  <c:v>0.85602436135216209</c:v>
                </c:pt>
                <c:pt idx="382">
                  <c:v>0.85600062421895551</c:v>
                </c:pt>
                <c:pt idx="383">
                  <c:v>0.85597688744332956</c:v>
                </c:pt>
                <c:pt idx="384">
                  <c:v>0.85595315102527891</c:v>
                </c:pt>
                <c:pt idx="385">
                  <c:v>0.85592941496480357</c:v>
                </c:pt>
                <c:pt idx="386">
                  <c:v>0.85590567926188754</c:v>
                </c:pt>
                <c:pt idx="387">
                  <c:v>0.85588194391654859</c:v>
                </c:pt>
                <c:pt idx="388">
                  <c:v>0.85585820892876718</c:v>
                </c:pt>
                <c:pt idx="389">
                  <c:v>0.85583447429854331</c:v>
                </c:pt>
                <c:pt idx="390">
                  <c:v>0.85581074002586988</c:v>
                </c:pt>
                <c:pt idx="391">
                  <c:v>0.85578700611075398</c:v>
                </c:pt>
                <c:pt idx="392">
                  <c:v>0.85576327255319029</c:v>
                </c:pt>
                <c:pt idx="393">
                  <c:v>0.85573953935315927</c:v>
                </c:pt>
                <c:pt idx="394">
                  <c:v>0.85571580651066803</c:v>
                </c:pt>
                <c:pt idx="395">
                  <c:v>0.85569207402571656</c:v>
                </c:pt>
                <c:pt idx="396">
                  <c:v>0.85566834189829422</c:v>
                </c:pt>
                <c:pt idx="397">
                  <c:v>0.85564461012840098</c:v>
                </c:pt>
                <c:pt idx="398">
                  <c:v>0.85562087871603154</c:v>
                </c:pt>
                <c:pt idx="399">
                  <c:v>0.85559714766118766</c:v>
                </c:pt>
                <c:pt idx="400">
                  <c:v>0.85557341696385159</c:v>
                </c:pt>
                <c:pt idx="401">
                  <c:v>0.85554968662403219</c:v>
                </c:pt>
                <c:pt idx="402">
                  <c:v>0.85552595664172415</c:v>
                </c:pt>
                <c:pt idx="403">
                  <c:v>0.85550222701691503</c:v>
                </c:pt>
                <c:pt idx="404">
                  <c:v>0.85547849774961193</c:v>
                </c:pt>
                <c:pt idx="405">
                  <c:v>0.85545476883980953</c:v>
                </c:pt>
                <c:pt idx="406">
                  <c:v>0.85543104028749539</c:v>
                </c:pt>
                <c:pt idx="407">
                  <c:v>0.85540731209267129</c:v>
                </c:pt>
                <c:pt idx="408">
                  <c:v>0.85538358425532834</c:v>
                </c:pt>
                <c:pt idx="409">
                  <c:v>0.85535985677547721</c:v>
                </c:pt>
                <c:pt idx="410">
                  <c:v>0.85533612965310191</c:v>
                </c:pt>
                <c:pt idx="411">
                  <c:v>0.85531240288820598</c:v>
                </c:pt>
                <c:pt idx="412">
                  <c:v>0.85528867648077522</c:v>
                </c:pt>
                <c:pt idx="413">
                  <c:v>0.85526495043081319</c:v>
                </c:pt>
                <c:pt idx="414">
                  <c:v>0.85524122473831454</c:v>
                </c:pt>
                <c:pt idx="415">
                  <c:v>0.85521749940327574</c:v>
                </c:pt>
                <c:pt idx="416">
                  <c:v>0.85519377442569677</c:v>
                </c:pt>
                <c:pt idx="417">
                  <c:v>0.85517004980556877</c:v>
                </c:pt>
                <c:pt idx="418">
                  <c:v>0.85514632554288283</c:v>
                </c:pt>
                <c:pt idx="419">
                  <c:v>0.85512260163764786</c:v>
                </c:pt>
                <c:pt idx="420">
                  <c:v>0.85509887808984786</c:v>
                </c:pt>
                <c:pt idx="421">
                  <c:v>0.85507515489949348</c:v>
                </c:pt>
                <c:pt idx="422">
                  <c:v>0.85505143206656875</c:v>
                </c:pt>
                <c:pt idx="423">
                  <c:v>0.85502770959107721</c:v>
                </c:pt>
                <c:pt idx="424">
                  <c:v>0.85500398747300643</c:v>
                </c:pt>
                <c:pt idx="425">
                  <c:v>0.85498026571235641</c:v>
                </c:pt>
                <c:pt idx="426">
                  <c:v>0.85495654430912715</c:v>
                </c:pt>
                <c:pt idx="427">
                  <c:v>0.85493282326331865</c:v>
                </c:pt>
                <c:pt idx="428">
                  <c:v>0.85490910257491137</c:v>
                </c:pt>
                <c:pt idx="429">
                  <c:v>0.85488538224391597</c:v>
                </c:pt>
                <c:pt idx="430">
                  <c:v>0.85486166227032001</c:v>
                </c:pt>
                <c:pt idx="431">
                  <c:v>0.85483794265412527</c:v>
                </c:pt>
                <c:pt idx="432">
                  <c:v>0.85481422339532998</c:v>
                </c:pt>
                <c:pt idx="433">
                  <c:v>0.85479050449392524</c:v>
                </c:pt>
                <c:pt idx="434">
                  <c:v>0.85476678594990574</c:v>
                </c:pt>
                <c:pt idx="435">
                  <c:v>0.85474306776327502</c:v>
                </c:pt>
                <c:pt idx="436">
                  <c:v>0.85471934993402421</c:v>
                </c:pt>
                <c:pt idx="437">
                  <c:v>0.85469563246214797</c:v>
                </c:pt>
                <c:pt idx="438">
                  <c:v>0.8546719153476463</c:v>
                </c:pt>
                <c:pt idx="439">
                  <c:v>0.85464819859051033</c:v>
                </c:pt>
                <c:pt idx="440">
                  <c:v>0.85462448219074183</c:v>
                </c:pt>
                <c:pt idx="441">
                  <c:v>0.85460076614833369</c:v>
                </c:pt>
                <c:pt idx="442">
                  <c:v>0.85457705046328947</c:v>
                </c:pt>
                <c:pt idx="443">
                  <c:v>0.85455333513559317</c:v>
                </c:pt>
                <c:pt idx="444">
                  <c:v>0.85452962016525191</c:v>
                </c:pt>
                <c:pt idx="445">
                  <c:v>0.85450590555225503</c:v>
                </c:pt>
                <c:pt idx="446">
                  <c:v>0.85448219129659542</c:v>
                </c:pt>
                <c:pt idx="447">
                  <c:v>0.85445847739828729</c:v>
                </c:pt>
                <c:pt idx="448">
                  <c:v>0.85443476385730222</c:v>
                </c:pt>
                <c:pt idx="449">
                  <c:v>0.85441105067365974</c:v>
                </c:pt>
                <c:pt idx="450">
                  <c:v>0.854387337847335</c:v>
                </c:pt>
                <c:pt idx="451">
                  <c:v>0.85436362537834043</c:v>
                </c:pt>
                <c:pt idx="452">
                  <c:v>0.85433991326666536</c:v>
                </c:pt>
                <c:pt idx="453">
                  <c:v>0.85431620151230447</c:v>
                </c:pt>
                <c:pt idx="454">
                  <c:v>0.85429249011525243</c:v>
                </c:pt>
                <c:pt idx="455">
                  <c:v>0.8542687790755128</c:v>
                </c:pt>
                <c:pt idx="456">
                  <c:v>0.85424506839308201</c:v>
                </c:pt>
                <c:pt idx="457">
                  <c:v>0.85422135806795119</c:v>
                </c:pt>
                <c:pt idx="458">
                  <c:v>0.85419764810011678</c:v>
                </c:pt>
                <c:pt idx="459">
                  <c:v>0.85417393848957346</c:v>
                </c:pt>
                <c:pt idx="460">
                  <c:v>0.85415022923632122</c:v>
                </c:pt>
                <c:pt idx="461">
                  <c:v>0.85412652034036007</c:v>
                </c:pt>
                <c:pt idx="462">
                  <c:v>0.85410281180167935</c:v>
                </c:pt>
                <c:pt idx="463">
                  <c:v>0.8540791036202684</c:v>
                </c:pt>
                <c:pt idx="464">
                  <c:v>0.85405539579614143</c:v>
                </c:pt>
                <c:pt idx="465">
                  <c:v>0.85403168832929133</c:v>
                </c:pt>
                <c:pt idx="466">
                  <c:v>0.85400798121969679</c:v>
                </c:pt>
                <c:pt idx="467">
                  <c:v>0.85398427446736846</c:v>
                </c:pt>
                <c:pt idx="468">
                  <c:v>0.85396056807230281</c:v>
                </c:pt>
                <c:pt idx="469">
                  <c:v>0.85393686203448738</c:v>
                </c:pt>
                <c:pt idx="470">
                  <c:v>0.85391315635393106</c:v>
                </c:pt>
                <c:pt idx="471">
                  <c:v>0.85388945103062142</c:v>
                </c:pt>
                <c:pt idx="472">
                  <c:v>0.85386574606455312</c:v>
                </c:pt>
                <c:pt idx="473">
                  <c:v>0.85384204145572973</c:v>
                </c:pt>
                <c:pt idx="474">
                  <c:v>0.85381833720414235</c:v>
                </c:pt>
                <c:pt idx="475">
                  <c:v>0.85379463330978567</c:v>
                </c:pt>
                <c:pt idx="476">
                  <c:v>0.85377092977266322</c:v>
                </c:pt>
                <c:pt idx="477">
                  <c:v>0.85374722659276259</c:v>
                </c:pt>
                <c:pt idx="478">
                  <c:v>0.85372352377008909</c:v>
                </c:pt>
                <c:pt idx="479">
                  <c:v>0.85369982130463029</c:v>
                </c:pt>
                <c:pt idx="480">
                  <c:v>0.8536761191963862</c:v>
                </c:pt>
                <c:pt idx="481">
                  <c:v>0.85365241744535325</c:v>
                </c:pt>
                <c:pt idx="482">
                  <c:v>0.85362871605152613</c:v>
                </c:pt>
                <c:pt idx="483">
                  <c:v>0.85360501501489949</c:v>
                </c:pt>
                <c:pt idx="484">
                  <c:v>0.85358131433547868</c:v>
                </c:pt>
                <c:pt idx="485">
                  <c:v>0.85355761401324592</c:v>
                </c:pt>
                <c:pt idx="486">
                  <c:v>0.85353391404821188</c:v>
                </c:pt>
                <c:pt idx="487">
                  <c:v>0.85351021444036235</c:v>
                </c:pt>
                <c:pt idx="488">
                  <c:v>0.85348651518970087</c:v>
                </c:pt>
                <c:pt idx="489">
                  <c:v>0.85346281629621146</c:v>
                </c:pt>
                <c:pt idx="490">
                  <c:v>0.853439117759903</c:v>
                </c:pt>
                <c:pt idx="491">
                  <c:v>0.85341541958077194</c:v>
                </c:pt>
                <c:pt idx="492">
                  <c:v>0.85339172175880229</c:v>
                </c:pt>
                <c:pt idx="493">
                  <c:v>0.85336802429400294</c:v>
                </c:pt>
                <c:pt idx="494">
                  <c:v>0.85334432718636499</c:v>
                </c:pt>
                <c:pt idx="495">
                  <c:v>0.85332063043588136</c:v>
                </c:pt>
                <c:pt idx="496">
                  <c:v>0.85329693404255735</c:v>
                </c:pt>
                <c:pt idx="497">
                  <c:v>0.85327323800638055</c:v>
                </c:pt>
                <c:pt idx="498">
                  <c:v>0.85324954232734918</c:v>
                </c:pt>
                <c:pt idx="499">
                  <c:v>0.85322584700546145</c:v>
                </c:pt>
                <c:pt idx="500">
                  <c:v>0.85320215204071381</c:v>
                </c:pt>
                <c:pt idx="501">
                  <c:v>0.85317845743310095</c:v>
                </c:pt>
                <c:pt idx="502">
                  <c:v>0.85315476318262107</c:v>
                </c:pt>
                <c:pt idx="503">
                  <c:v>0.85313106928925997</c:v>
                </c:pt>
                <c:pt idx="504">
                  <c:v>0.85310737575303008</c:v>
                </c:pt>
                <c:pt idx="505">
                  <c:v>0.85308368257392431</c:v>
                </c:pt>
                <c:pt idx="506">
                  <c:v>0.85305998975192843</c:v>
                </c:pt>
                <c:pt idx="507">
                  <c:v>0.85303629728704777</c:v>
                </c:pt>
                <c:pt idx="508">
                  <c:v>0.85301260517927524</c:v>
                </c:pt>
                <c:pt idx="509">
                  <c:v>0.8529889134286055</c:v>
                </c:pt>
                <c:pt idx="510">
                  <c:v>0.85296522203503855</c:v>
                </c:pt>
                <c:pt idx="511">
                  <c:v>0.85294153099856551</c:v>
                </c:pt>
                <c:pt idx="512">
                  <c:v>0.85291784031919349</c:v>
                </c:pt>
                <c:pt idx="513">
                  <c:v>0.85289414999690116</c:v>
                </c:pt>
                <c:pt idx="514">
                  <c:v>0.85287046003170097</c:v>
                </c:pt>
                <c:pt idx="515">
                  <c:v>0.85284677042358581</c:v>
                </c:pt>
                <c:pt idx="516">
                  <c:v>0.85282308117254502</c:v>
                </c:pt>
                <c:pt idx="517">
                  <c:v>0.85279939227858215</c:v>
                </c:pt>
                <c:pt idx="518">
                  <c:v>0.85277570374168832</c:v>
                </c:pt>
                <c:pt idx="519">
                  <c:v>0.85275201556186353</c:v>
                </c:pt>
                <c:pt idx="520">
                  <c:v>0.85272832773910068</c:v>
                </c:pt>
                <c:pt idx="521">
                  <c:v>0.85270464027339798</c:v>
                </c:pt>
                <c:pt idx="522">
                  <c:v>0.85268095316475367</c:v>
                </c:pt>
                <c:pt idx="523">
                  <c:v>0.85265726641314998</c:v>
                </c:pt>
                <c:pt idx="524">
                  <c:v>0.85263358001860823</c:v>
                </c:pt>
                <c:pt idx="525">
                  <c:v>0.85260989398110176</c:v>
                </c:pt>
                <c:pt idx="526">
                  <c:v>0.85258620830063592</c:v>
                </c:pt>
                <c:pt idx="527">
                  <c:v>0.85256252297721602</c:v>
                </c:pt>
                <c:pt idx="528">
                  <c:v>0.85253883801082431</c:v>
                </c:pt>
                <c:pt idx="529">
                  <c:v>0.852515153401459</c:v>
                </c:pt>
                <c:pt idx="530">
                  <c:v>0.85249146914912544</c:v>
                </c:pt>
                <c:pt idx="531">
                  <c:v>0.85246778525380407</c:v>
                </c:pt>
                <c:pt idx="532">
                  <c:v>0.85244410171551621</c:v>
                </c:pt>
                <c:pt idx="533">
                  <c:v>0.85242041853423167</c:v>
                </c:pt>
                <c:pt idx="534">
                  <c:v>0.85239673570995933</c:v>
                </c:pt>
                <c:pt idx="535">
                  <c:v>0.85237305324269208</c:v>
                </c:pt>
                <c:pt idx="536">
                  <c:v>0.85234937113243525</c:v>
                </c:pt>
                <c:pt idx="537">
                  <c:v>0.85232568937916753</c:v>
                </c:pt>
                <c:pt idx="538">
                  <c:v>0.85230200798290312</c:v>
                </c:pt>
                <c:pt idx="539">
                  <c:v>0.85227832694362426</c:v>
                </c:pt>
                <c:pt idx="540">
                  <c:v>0.85225464626133629</c:v>
                </c:pt>
                <c:pt idx="541">
                  <c:v>0.85223096593603387</c:v>
                </c:pt>
                <c:pt idx="542">
                  <c:v>0.85220728596770456</c:v>
                </c:pt>
                <c:pt idx="543">
                  <c:v>0.85218360635635548</c:v>
                </c:pt>
                <c:pt idx="544">
                  <c:v>0.85215992710198485</c:v>
                </c:pt>
                <c:pt idx="545">
                  <c:v>0.85213624820458023</c:v>
                </c:pt>
                <c:pt idx="546">
                  <c:v>0.85211256966413806</c:v>
                </c:pt>
                <c:pt idx="547">
                  <c:v>0.85208889148065836</c:v>
                </c:pt>
                <c:pt idx="548">
                  <c:v>0.85206521365413757</c:v>
                </c:pt>
                <c:pt idx="549">
                  <c:v>0.85204153618456679</c:v>
                </c:pt>
                <c:pt idx="550">
                  <c:v>0.85201785907195315</c:v>
                </c:pt>
                <c:pt idx="551">
                  <c:v>0.85199418231627888</c:v>
                </c:pt>
                <c:pt idx="552">
                  <c:v>0.85197050591755641</c:v>
                </c:pt>
                <c:pt idx="553">
                  <c:v>0.85194682987576265</c:v>
                </c:pt>
                <c:pt idx="554">
                  <c:v>0.85192315419090292</c:v>
                </c:pt>
                <c:pt idx="555">
                  <c:v>0.85189947886298611</c:v>
                </c:pt>
                <c:pt idx="556">
                  <c:v>0.85187580389198914</c:v>
                </c:pt>
                <c:pt idx="557">
                  <c:v>0.85185212927791554</c:v>
                </c:pt>
                <c:pt idx="558">
                  <c:v>0.85182845502076177</c:v>
                </c:pt>
                <c:pt idx="559">
                  <c:v>0.85180478112052072</c:v>
                </c:pt>
                <c:pt idx="560">
                  <c:v>0.85178110757719594</c:v>
                </c:pt>
                <c:pt idx="561">
                  <c:v>0.85175743439078389</c:v>
                </c:pt>
                <c:pt idx="562">
                  <c:v>0.85173376156127034</c:v>
                </c:pt>
                <c:pt idx="563">
                  <c:v>0.85171008908866064</c:v>
                </c:pt>
                <c:pt idx="564">
                  <c:v>0.85168641697295122</c:v>
                </c:pt>
                <c:pt idx="565">
                  <c:v>0.85166274521413321</c:v>
                </c:pt>
                <c:pt idx="566">
                  <c:v>0.85163907381220127</c:v>
                </c:pt>
                <c:pt idx="567">
                  <c:v>0.85161540276715719</c:v>
                </c:pt>
                <c:pt idx="568">
                  <c:v>0.85159173207899563</c:v>
                </c:pt>
                <c:pt idx="569">
                  <c:v>0.85156806174771305</c:v>
                </c:pt>
                <c:pt idx="570">
                  <c:v>0.85154439177330232</c:v>
                </c:pt>
                <c:pt idx="571">
                  <c:v>0.85152072215576524</c:v>
                </c:pt>
                <c:pt idx="572">
                  <c:v>0.8514970528950947</c:v>
                </c:pt>
                <c:pt idx="573">
                  <c:v>0.85147338399128891</c:v>
                </c:pt>
                <c:pt idx="574">
                  <c:v>0.85144971544434078</c:v>
                </c:pt>
                <c:pt idx="575">
                  <c:v>0.8514260472542432</c:v>
                </c:pt>
                <c:pt idx="576">
                  <c:v>0.85140237942100505</c:v>
                </c:pt>
                <c:pt idx="577">
                  <c:v>0.85137871194461034</c:v>
                </c:pt>
                <c:pt idx="578">
                  <c:v>0.85135504482506441</c:v>
                </c:pt>
                <c:pt idx="579">
                  <c:v>0.85133137806235659</c:v>
                </c:pt>
                <c:pt idx="580">
                  <c:v>0.85130771165648689</c:v>
                </c:pt>
                <c:pt idx="581">
                  <c:v>0.85128404560744464</c:v>
                </c:pt>
                <c:pt idx="582">
                  <c:v>0.85126037991523695</c:v>
                </c:pt>
                <c:pt idx="583">
                  <c:v>0.85123671457985495</c:v>
                </c:pt>
                <c:pt idx="584">
                  <c:v>0.85121304960128974</c:v>
                </c:pt>
                <c:pt idx="585">
                  <c:v>0.85118938497954844</c:v>
                </c:pt>
                <c:pt idx="586">
                  <c:v>0.85116572071461682</c:v>
                </c:pt>
                <c:pt idx="587">
                  <c:v>0.85114205680650024</c:v>
                </c:pt>
                <c:pt idx="588">
                  <c:v>0.85111839325518623</c:v>
                </c:pt>
                <c:pt idx="589">
                  <c:v>0.85109473006068015</c:v>
                </c:pt>
                <c:pt idx="590">
                  <c:v>0.85107106722296066</c:v>
                </c:pt>
                <c:pt idx="591">
                  <c:v>0.85104740474204732</c:v>
                </c:pt>
                <c:pt idx="592">
                  <c:v>0.85102374261792413</c:v>
                </c:pt>
                <c:pt idx="593">
                  <c:v>0.85100008085058576</c:v>
                </c:pt>
                <c:pt idx="594">
                  <c:v>0.85097641944003755</c:v>
                </c:pt>
                <c:pt idx="595">
                  <c:v>0.85095275838626527</c:v>
                </c:pt>
                <c:pt idx="596">
                  <c:v>0.85092909768926361</c:v>
                </c:pt>
                <c:pt idx="597">
                  <c:v>0.85090543734903612</c:v>
                </c:pt>
                <c:pt idx="598">
                  <c:v>0.85088177736558457</c:v>
                </c:pt>
                <c:pt idx="599">
                  <c:v>0.85085811773889297</c:v>
                </c:pt>
                <c:pt idx="600">
                  <c:v>0.85083445846896844</c:v>
                </c:pt>
                <c:pt idx="601">
                  <c:v>0.85081079955579852</c:v>
                </c:pt>
                <c:pt idx="602">
                  <c:v>0.85078714099937791</c:v>
                </c:pt>
                <c:pt idx="603">
                  <c:v>0.85076348279970659</c:v>
                </c:pt>
                <c:pt idx="604">
                  <c:v>0.8507398249567828</c:v>
                </c:pt>
                <c:pt idx="605">
                  <c:v>0.85071616747060652</c:v>
                </c:pt>
                <c:pt idx="606">
                  <c:v>0.85069251034116888</c:v>
                </c:pt>
                <c:pt idx="607">
                  <c:v>0.85066885356846456</c:v>
                </c:pt>
                <c:pt idx="608">
                  <c:v>0.85064519715248821</c:v>
                </c:pt>
                <c:pt idx="609">
                  <c:v>0.85062154109323806</c:v>
                </c:pt>
                <c:pt idx="610">
                  <c:v>0.8505978853907159</c:v>
                </c:pt>
                <c:pt idx="611">
                  <c:v>0.85057423004491106</c:v>
                </c:pt>
                <c:pt idx="612">
                  <c:v>0.85055057505581466</c:v>
                </c:pt>
                <c:pt idx="613">
                  <c:v>0.85052692042344269</c:v>
                </c:pt>
                <c:pt idx="614">
                  <c:v>0.85050326614777738</c:v>
                </c:pt>
                <c:pt idx="615">
                  <c:v>0.85047961222881341</c:v>
                </c:pt>
                <c:pt idx="616">
                  <c:v>0.85045595866655077</c:v>
                </c:pt>
                <c:pt idx="617">
                  <c:v>0.85043230546098592</c:v>
                </c:pt>
                <c:pt idx="618">
                  <c:v>0.85040865261211174</c:v>
                </c:pt>
                <c:pt idx="619">
                  <c:v>0.85038500011992468</c:v>
                </c:pt>
                <c:pt idx="620">
                  <c:v>0.85036134798443541</c:v>
                </c:pt>
                <c:pt idx="621">
                  <c:v>0.85033769620561728</c:v>
                </c:pt>
                <c:pt idx="622">
                  <c:v>0.85031404478347916</c:v>
                </c:pt>
                <c:pt idx="623">
                  <c:v>0.85029039371801751</c:v>
                </c:pt>
                <c:pt idx="624">
                  <c:v>0.85026674300922345</c:v>
                </c:pt>
                <c:pt idx="625">
                  <c:v>0.85024309265710052</c:v>
                </c:pt>
                <c:pt idx="626">
                  <c:v>0.85021944266163807</c:v>
                </c:pt>
                <c:pt idx="627">
                  <c:v>0.85019579302283255</c:v>
                </c:pt>
                <c:pt idx="628">
                  <c:v>0.85017214374068573</c:v>
                </c:pt>
                <c:pt idx="629">
                  <c:v>0.85014849481519583</c:v>
                </c:pt>
                <c:pt idx="630">
                  <c:v>0.8501248462463451</c:v>
                </c:pt>
                <c:pt idx="631">
                  <c:v>0.85010119803413886</c:v>
                </c:pt>
                <c:pt idx="632">
                  <c:v>0.85007755017857178</c:v>
                </c:pt>
                <c:pt idx="633">
                  <c:v>0.85005390267964209</c:v>
                </c:pt>
                <c:pt idx="634">
                  <c:v>0.85003025553735334</c:v>
                </c:pt>
                <c:pt idx="635">
                  <c:v>0.85000660875168954</c:v>
                </c:pt>
                <c:pt idx="636">
                  <c:v>0.84998296232264536</c:v>
                </c:pt>
                <c:pt idx="637">
                  <c:v>0.84995931625022791</c:v>
                </c:pt>
                <c:pt idx="638">
                  <c:v>0.84993567053442831</c:v>
                </c:pt>
                <c:pt idx="639">
                  <c:v>0.84991202517524123</c:v>
                </c:pt>
                <c:pt idx="640">
                  <c:v>0.8498883801726631</c:v>
                </c:pt>
                <c:pt idx="641">
                  <c:v>0.84986473552669395</c:v>
                </c:pt>
                <c:pt idx="642">
                  <c:v>0.84984109123732487</c:v>
                </c:pt>
                <c:pt idx="643">
                  <c:v>0.84981744730455233</c:v>
                </c:pt>
                <c:pt idx="644">
                  <c:v>0.84979380372838342</c:v>
                </c:pt>
                <c:pt idx="645">
                  <c:v>0.84977016050879683</c:v>
                </c:pt>
                <c:pt idx="646">
                  <c:v>0.849746517645805</c:v>
                </c:pt>
                <c:pt idx="647">
                  <c:v>0.84972287513939015</c:v>
                </c:pt>
                <c:pt idx="648">
                  <c:v>0.84969923298955408</c:v>
                </c:pt>
                <c:pt idx="649">
                  <c:v>0.84967559119630565</c:v>
                </c:pt>
                <c:pt idx="650">
                  <c:v>0.84965194975962</c:v>
                </c:pt>
                <c:pt idx="651">
                  <c:v>0.84962830867950245</c:v>
                </c:pt>
                <c:pt idx="652">
                  <c:v>0.84960466795595302</c:v>
                </c:pt>
                <c:pt idx="653">
                  <c:v>0.84958102758896636</c:v>
                </c:pt>
                <c:pt idx="654">
                  <c:v>0.84955738757853538</c:v>
                </c:pt>
                <c:pt idx="655">
                  <c:v>0.84953374792465652</c:v>
                </c:pt>
                <c:pt idx="656">
                  <c:v>0.84951010862732623</c:v>
                </c:pt>
                <c:pt idx="657">
                  <c:v>0.84948646968654096</c:v>
                </c:pt>
                <c:pt idx="658">
                  <c:v>0.84946283110229714</c:v>
                </c:pt>
                <c:pt idx="659">
                  <c:v>0.84943919287459657</c:v>
                </c:pt>
                <c:pt idx="660">
                  <c:v>0.84941555500343036</c:v>
                </c:pt>
                <c:pt idx="661">
                  <c:v>0.84939191748879317</c:v>
                </c:pt>
                <c:pt idx="662">
                  <c:v>0.84936828033068146</c:v>
                </c:pt>
                <c:pt idx="663">
                  <c:v>0.84934464352910055</c:v>
                </c:pt>
                <c:pt idx="664">
                  <c:v>0.84932100708402736</c:v>
                </c:pt>
                <c:pt idx="665">
                  <c:v>0.84929737099547609</c:v>
                </c:pt>
                <c:pt idx="666">
                  <c:v>0.84927373526344319</c:v>
                </c:pt>
                <c:pt idx="667">
                  <c:v>0.84925009988790556</c:v>
                </c:pt>
                <c:pt idx="668">
                  <c:v>0.84922646486887921</c:v>
                </c:pt>
                <c:pt idx="669">
                  <c:v>0.84920283020635345</c:v>
                </c:pt>
                <c:pt idx="670">
                  <c:v>0.84917919590032298</c:v>
                </c:pt>
                <c:pt idx="671">
                  <c:v>0.84915556195078423</c:v>
                </c:pt>
                <c:pt idx="672">
                  <c:v>0.84913192835773366</c:v>
                </c:pt>
                <c:pt idx="673">
                  <c:v>0.84910829512116948</c:v>
                </c:pt>
                <c:pt idx="674">
                  <c:v>0.84908466224109169</c:v>
                </c:pt>
                <c:pt idx="675">
                  <c:v>0.84906102971748965</c:v>
                </c:pt>
                <c:pt idx="676">
                  <c:v>0.84903739755036156</c:v>
                </c:pt>
                <c:pt idx="677">
                  <c:v>0.84901376573970921</c:v>
                </c:pt>
                <c:pt idx="678">
                  <c:v>0.84899013428551662</c:v>
                </c:pt>
                <c:pt idx="679">
                  <c:v>0.84896650318778555</c:v>
                </c:pt>
                <c:pt idx="680">
                  <c:v>0.84894287244651956</c:v>
                </c:pt>
                <c:pt idx="681">
                  <c:v>0.84891924206170444</c:v>
                </c:pt>
                <c:pt idx="682">
                  <c:v>0.84889561203334019</c:v>
                </c:pt>
                <c:pt idx="683">
                  <c:v>0.84887198236142503</c:v>
                </c:pt>
                <c:pt idx="684">
                  <c:v>0.84884835304595185</c:v>
                </c:pt>
                <c:pt idx="685">
                  <c:v>0.84882472408692244</c:v>
                </c:pt>
                <c:pt idx="686">
                  <c:v>0.84880109548432792</c:v>
                </c:pt>
                <c:pt idx="687">
                  <c:v>0.84877746723816649</c:v>
                </c:pt>
                <c:pt idx="688">
                  <c:v>0.84875383934843462</c:v>
                </c:pt>
                <c:pt idx="689">
                  <c:v>0.84873021181512698</c:v>
                </c:pt>
                <c:pt idx="690">
                  <c:v>0.84870658463823823</c:v>
                </c:pt>
                <c:pt idx="691">
                  <c:v>0.84868295781776482</c:v>
                </c:pt>
                <c:pt idx="692">
                  <c:v>0.84865933135371208</c:v>
                </c:pt>
                <c:pt idx="693">
                  <c:v>0.84863570524606047</c:v>
                </c:pt>
                <c:pt idx="694">
                  <c:v>0.84861207949482598</c:v>
                </c:pt>
                <c:pt idx="695">
                  <c:v>0.84858845409998906</c:v>
                </c:pt>
                <c:pt idx="696">
                  <c:v>0.84856482906154618</c:v>
                </c:pt>
                <c:pt idx="697">
                  <c:v>0.84854120437950797</c:v>
                </c:pt>
                <c:pt idx="698">
                  <c:v>0.84851758005385136</c:v>
                </c:pt>
                <c:pt idx="699">
                  <c:v>0.84849395608458877</c:v>
                </c:pt>
                <c:pt idx="700">
                  <c:v>0.848470332471706</c:v>
                </c:pt>
                <c:pt idx="701">
                  <c:v>0.84844670921519771</c:v>
                </c:pt>
                <c:pt idx="702">
                  <c:v>0.84842308631507102</c:v>
                </c:pt>
                <c:pt idx="703">
                  <c:v>0.84839946377131881</c:v>
                </c:pt>
                <c:pt idx="704">
                  <c:v>0.8483758415839322</c:v>
                </c:pt>
                <c:pt idx="705">
                  <c:v>0.84835221975290942</c:v>
                </c:pt>
                <c:pt idx="706">
                  <c:v>0.84832859827824514</c:v>
                </c:pt>
                <c:pt idx="707">
                  <c:v>0.84830497715994291</c:v>
                </c:pt>
                <c:pt idx="708">
                  <c:v>0.84828135639798674</c:v>
                </c:pt>
                <c:pt idx="709">
                  <c:v>0.84825773599238552</c:v>
                </c:pt>
                <c:pt idx="710">
                  <c:v>0.84823411594313214</c:v>
                </c:pt>
                <c:pt idx="711">
                  <c:v>0.84821049625022127</c:v>
                </c:pt>
                <c:pt idx="712">
                  <c:v>0.84818687691364048</c:v>
                </c:pt>
                <c:pt idx="713">
                  <c:v>0.84816325793340042</c:v>
                </c:pt>
                <c:pt idx="714">
                  <c:v>0.84813963930949043</c:v>
                </c:pt>
                <c:pt idx="715">
                  <c:v>0.8481160210419052</c:v>
                </c:pt>
                <c:pt idx="716">
                  <c:v>0.84809240313064294</c:v>
                </c:pt>
                <c:pt idx="717">
                  <c:v>0.84806878557570187</c:v>
                </c:pt>
                <c:pt idx="718">
                  <c:v>0.84804516837707844</c:v>
                </c:pt>
                <c:pt idx="719">
                  <c:v>0.848021551534762</c:v>
                </c:pt>
                <c:pt idx="720">
                  <c:v>0.84799793504875254</c:v>
                </c:pt>
                <c:pt idx="721">
                  <c:v>0.84797431891905006</c:v>
                </c:pt>
                <c:pt idx="722">
                  <c:v>0.84795070314564569</c:v>
                </c:pt>
                <c:pt idx="723">
                  <c:v>0.8479270877285412</c:v>
                </c:pt>
                <c:pt idx="724">
                  <c:v>0.84790347266772415</c:v>
                </c:pt>
                <c:pt idx="725">
                  <c:v>0.84787985796320164</c:v>
                </c:pt>
                <c:pt idx="726">
                  <c:v>0.84785624361496303</c:v>
                </c:pt>
                <c:pt idx="727">
                  <c:v>0.84783262962300654</c:v>
                </c:pt>
                <c:pt idx="728">
                  <c:v>0.84780901598732328</c:v>
                </c:pt>
                <c:pt idx="729">
                  <c:v>0.84778540270792035</c:v>
                </c:pt>
                <c:pt idx="730">
                  <c:v>0.84776178978478356</c:v>
                </c:pt>
                <c:pt idx="731">
                  <c:v>0.84773817721791644</c:v>
                </c:pt>
                <c:pt idx="732">
                  <c:v>0.84771456500730835</c:v>
                </c:pt>
                <c:pt idx="733">
                  <c:v>0.8476909531529575</c:v>
                </c:pt>
                <c:pt idx="734">
                  <c:v>0.84766734165486746</c:v>
                </c:pt>
                <c:pt idx="735">
                  <c:v>0.84764373051302577</c:v>
                </c:pt>
                <c:pt idx="736">
                  <c:v>0.84762011972742357</c:v>
                </c:pt>
                <c:pt idx="737">
                  <c:v>0.84759650929807329</c:v>
                </c:pt>
                <c:pt idx="738">
                  <c:v>0.84757289922496248</c:v>
                </c:pt>
                <c:pt idx="739">
                  <c:v>0.84754928950808406</c:v>
                </c:pt>
                <c:pt idx="740">
                  <c:v>0.84752568014744867</c:v>
                </c:pt>
                <c:pt idx="741">
                  <c:v>0.84750207114302967</c:v>
                </c:pt>
                <c:pt idx="742">
                  <c:v>0.84747846249483949</c:v>
                </c:pt>
                <c:pt idx="743">
                  <c:v>0.84745485420286926</c:v>
                </c:pt>
                <c:pt idx="744">
                  <c:v>0.84743124626712252</c:v>
                </c:pt>
                <c:pt idx="745">
                  <c:v>0.84740763868757796</c:v>
                </c:pt>
                <c:pt idx="746">
                  <c:v>0.84738403146425512</c:v>
                </c:pt>
                <c:pt idx="747">
                  <c:v>0.84736042459713268</c:v>
                </c:pt>
                <c:pt idx="748">
                  <c:v>0.84733681808621064</c:v>
                </c:pt>
                <c:pt idx="749">
                  <c:v>0.84731321193148723</c:v>
                </c:pt>
                <c:pt idx="750">
                  <c:v>0.84728960613296067</c:v>
                </c:pt>
                <c:pt idx="751">
                  <c:v>0.84726600069061853</c:v>
                </c:pt>
                <c:pt idx="752">
                  <c:v>0.84724239560447145</c:v>
                </c:pt>
                <c:pt idx="753">
                  <c:v>0.84721879087450702</c:v>
                </c:pt>
                <c:pt idx="754">
                  <c:v>0.84719518650071635</c:v>
                </c:pt>
                <c:pt idx="755">
                  <c:v>0.84717158248310831</c:v>
                </c:pt>
                <c:pt idx="756">
                  <c:v>0.84714797882166515</c:v>
                </c:pt>
                <c:pt idx="757">
                  <c:v>0.84712437551639397</c:v>
                </c:pt>
                <c:pt idx="758">
                  <c:v>0.84710077256728589</c:v>
                </c:pt>
                <c:pt idx="759">
                  <c:v>0.84707716997434446</c:v>
                </c:pt>
                <c:pt idx="760">
                  <c:v>0.84705356773754481</c:v>
                </c:pt>
                <c:pt idx="761">
                  <c:v>0.84702996585691004</c:v>
                </c:pt>
                <c:pt idx="762">
                  <c:v>0.8470063643324206</c:v>
                </c:pt>
                <c:pt idx="763">
                  <c:v>0.84698276316407828</c:v>
                </c:pt>
                <c:pt idx="764">
                  <c:v>0.84695916235187951</c:v>
                </c:pt>
                <c:pt idx="765">
                  <c:v>0.84693556189581543</c:v>
                </c:pt>
                <c:pt idx="766">
                  <c:v>0.84691196179588779</c:v>
                </c:pt>
                <c:pt idx="767">
                  <c:v>0.84688836205209128</c:v>
                </c:pt>
                <c:pt idx="768">
                  <c:v>0.84686476266441524</c:v>
                </c:pt>
                <c:pt idx="769">
                  <c:v>0.84684116363286321</c:v>
                </c:pt>
                <c:pt idx="770">
                  <c:v>0.84681756495744054</c:v>
                </c:pt>
                <c:pt idx="771">
                  <c:v>0.84679396663812057</c:v>
                </c:pt>
                <c:pt idx="772">
                  <c:v>0.84677036867491928</c:v>
                </c:pt>
                <c:pt idx="773">
                  <c:v>0.8467467710678207</c:v>
                </c:pt>
                <c:pt idx="774">
                  <c:v>0.84672317381683015</c:v>
                </c:pt>
                <c:pt idx="775">
                  <c:v>0.84669957692193698</c:v>
                </c:pt>
                <c:pt idx="776">
                  <c:v>0.84667598038314118</c:v>
                </c:pt>
                <c:pt idx="777">
                  <c:v>0.84665238420043387</c:v>
                </c:pt>
                <c:pt idx="778">
                  <c:v>0.84662878837381328</c:v>
                </c:pt>
                <c:pt idx="779">
                  <c:v>0.84660519290328828</c:v>
                </c:pt>
                <c:pt idx="780">
                  <c:v>0.84658159778883935</c:v>
                </c:pt>
                <c:pt idx="781">
                  <c:v>0.84655800303046824</c:v>
                </c:pt>
                <c:pt idx="782">
                  <c:v>0.84653440862816609</c:v>
                </c:pt>
                <c:pt idx="783">
                  <c:v>0.84651081458193822</c:v>
                </c:pt>
                <c:pt idx="784">
                  <c:v>0.8464872208917793</c:v>
                </c:pt>
                <c:pt idx="785">
                  <c:v>0.8464636275576769</c:v>
                </c:pt>
                <c:pt idx="786">
                  <c:v>0.84644003457963635</c:v>
                </c:pt>
                <c:pt idx="787">
                  <c:v>0.84641644195765053</c:v>
                </c:pt>
                <c:pt idx="788">
                  <c:v>0.84639284969171236</c:v>
                </c:pt>
                <c:pt idx="789">
                  <c:v>0.84636925778182714</c:v>
                </c:pt>
                <c:pt idx="790">
                  <c:v>0.84634566622798246</c:v>
                </c:pt>
                <c:pt idx="791">
                  <c:v>0.84632207503018009</c:v>
                </c:pt>
                <c:pt idx="792">
                  <c:v>0.84629848418841114</c:v>
                </c:pt>
                <c:pt idx="793">
                  <c:v>0.84627489370267206</c:v>
                </c:pt>
                <c:pt idx="794">
                  <c:v>0.84625130357296108</c:v>
                </c:pt>
                <c:pt idx="795">
                  <c:v>0.84622771379927464</c:v>
                </c:pt>
                <c:pt idx="796">
                  <c:v>0.84620412438161097</c:v>
                </c:pt>
                <c:pt idx="797">
                  <c:v>0.84618053531996473</c:v>
                </c:pt>
                <c:pt idx="798">
                  <c:v>0.84615694661433061</c:v>
                </c:pt>
                <c:pt idx="799">
                  <c:v>0.84613335826470504</c:v>
                </c:pt>
                <c:pt idx="800">
                  <c:v>0.84610977027109158</c:v>
                </c:pt>
                <c:pt idx="801">
                  <c:v>0.84608618263347068</c:v>
                </c:pt>
                <c:pt idx="802">
                  <c:v>0.84606259535185302</c:v>
                </c:pt>
                <c:pt idx="803">
                  <c:v>0.8460390084262297</c:v>
                </c:pt>
                <c:pt idx="804">
                  <c:v>0.84601542185659007</c:v>
                </c:pt>
                <c:pt idx="805">
                  <c:v>0.84599183564294123</c:v>
                </c:pt>
                <c:pt idx="806">
                  <c:v>0.84596824978527785</c:v>
                </c:pt>
                <c:pt idx="807">
                  <c:v>0.84594466428359461</c:v>
                </c:pt>
                <c:pt idx="808">
                  <c:v>0.84592107913788439</c:v>
                </c:pt>
                <c:pt idx="809">
                  <c:v>0.84589749434814543</c:v>
                </c:pt>
                <c:pt idx="810">
                  <c:v>0.84587390991437417</c:v>
                </c:pt>
                <c:pt idx="811">
                  <c:v>0.84585032583656883</c:v>
                </c:pt>
                <c:pt idx="812">
                  <c:v>0.84582674211472408</c:v>
                </c:pt>
                <c:pt idx="813">
                  <c:v>0.8458031587488275</c:v>
                </c:pt>
                <c:pt idx="814">
                  <c:v>0.84577957573889506</c:v>
                </c:pt>
                <c:pt idx="815">
                  <c:v>0.84575599308490546</c:v>
                </c:pt>
                <c:pt idx="816">
                  <c:v>0.84573241078686223</c:v>
                </c:pt>
                <c:pt idx="817">
                  <c:v>0.84570882884475296</c:v>
                </c:pt>
                <c:pt idx="818">
                  <c:v>0.84568524725859007</c:v>
                </c:pt>
                <c:pt idx="819">
                  <c:v>0.84566166602835757</c:v>
                </c:pt>
                <c:pt idx="820">
                  <c:v>0.84563808515405547</c:v>
                </c:pt>
                <c:pt idx="821">
                  <c:v>0.845614504635682</c:v>
                </c:pt>
                <c:pt idx="822">
                  <c:v>0.84559092447323181</c:v>
                </c:pt>
                <c:pt idx="823">
                  <c:v>0.84556734466669425</c:v>
                </c:pt>
                <c:pt idx="824">
                  <c:v>0.84554376521607821</c:v>
                </c:pt>
                <c:pt idx="825">
                  <c:v>0.84552018612137125</c:v>
                </c:pt>
                <c:pt idx="826">
                  <c:v>0.84549660738256982</c:v>
                </c:pt>
                <c:pt idx="827">
                  <c:v>0.84547302899967036</c:v>
                </c:pt>
                <c:pt idx="828">
                  <c:v>0.84544945097267288</c:v>
                </c:pt>
                <c:pt idx="829">
                  <c:v>0.84542587330157382</c:v>
                </c:pt>
                <c:pt idx="830">
                  <c:v>0.84540229598636074</c:v>
                </c:pt>
                <c:pt idx="831">
                  <c:v>0.84537871902704431</c:v>
                </c:pt>
                <c:pt idx="832">
                  <c:v>0.84535514242361032</c:v>
                </c:pt>
                <c:pt idx="833">
                  <c:v>0.84533156617605698</c:v>
                </c:pt>
                <c:pt idx="834">
                  <c:v>0.84530799028437542</c:v>
                </c:pt>
                <c:pt idx="835">
                  <c:v>0.84528441474856741</c:v>
                </c:pt>
                <c:pt idx="836">
                  <c:v>0.84526083956863474</c:v>
                </c:pt>
                <c:pt idx="837">
                  <c:v>0.84523726474456318</c:v>
                </c:pt>
                <c:pt idx="838">
                  <c:v>0.84521369027635984</c:v>
                </c:pt>
                <c:pt idx="839">
                  <c:v>0.84519011616400874</c:v>
                </c:pt>
                <c:pt idx="840">
                  <c:v>0.84516654240751699</c:v>
                </c:pt>
                <c:pt idx="841">
                  <c:v>0.84514296900687036</c:v>
                </c:pt>
                <c:pt idx="842">
                  <c:v>0.84511939596207242</c:v>
                </c:pt>
                <c:pt idx="843">
                  <c:v>0.84509582327312138</c:v>
                </c:pt>
                <c:pt idx="844">
                  <c:v>0.84507225094000837</c:v>
                </c:pt>
                <c:pt idx="845">
                  <c:v>0.84504867896272806</c:v>
                </c:pt>
                <c:pt idx="846">
                  <c:v>0.84502510734127867</c:v>
                </c:pt>
                <c:pt idx="847">
                  <c:v>0.8450015360756602</c:v>
                </c:pt>
                <c:pt idx="848">
                  <c:v>0.84497796516586021</c:v>
                </c:pt>
                <c:pt idx="849">
                  <c:v>0.84495439461188226</c:v>
                </c:pt>
                <c:pt idx="850">
                  <c:v>0.84493082441372636</c:v>
                </c:pt>
                <c:pt idx="851">
                  <c:v>0.84490725457138183</c:v>
                </c:pt>
                <c:pt idx="852">
                  <c:v>0.84488368508484513</c:v>
                </c:pt>
                <c:pt idx="853">
                  <c:v>0.8448601159541127</c:v>
                </c:pt>
                <c:pt idx="854">
                  <c:v>0.84483654717917744</c:v>
                </c:pt>
                <c:pt idx="855">
                  <c:v>0.84481297876005002</c:v>
                </c:pt>
                <c:pt idx="856">
                  <c:v>0.84478941069671087</c:v>
                </c:pt>
                <c:pt idx="857">
                  <c:v>0.8447658429891618</c:v>
                </c:pt>
                <c:pt idx="858">
                  <c:v>0.84474227563740456</c:v>
                </c:pt>
                <c:pt idx="859">
                  <c:v>0.84471870864142851</c:v>
                </c:pt>
                <c:pt idx="860">
                  <c:v>0.84469514200122653</c:v>
                </c:pt>
                <c:pt idx="861">
                  <c:v>0.84467157571679863</c:v>
                </c:pt>
                <c:pt idx="862">
                  <c:v>0.8446480097881448</c:v>
                </c:pt>
                <c:pt idx="863">
                  <c:v>0.84462444421525973</c:v>
                </c:pt>
                <c:pt idx="864">
                  <c:v>0.84460087899813274</c:v>
                </c:pt>
                <c:pt idx="865">
                  <c:v>0.8445773141367745</c:v>
                </c:pt>
                <c:pt idx="866">
                  <c:v>0.84455374963116547</c:v>
                </c:pt>
                <c:pt idx="867">
                  <c:v>0.84453018548131098</c:v>
                </c:pt>
                <c:pt idx="868">
                  <c:v>0.84450662168720392</c:v>
                </c:pt>
                <c:pt idx="869">
                  <c:v>0.84448305824884251</c:v>
                </c:pt>
                <c:pt idx="870">
                  <c:v>0.84445949516622321</c:v>
                </c:pt>
                <c:pt idx="871">
                  <c:v>0.84443593243934068</c:v>
                </c:pt>
                <c:pt idx="872">
                  <c:v>0.84441237006818959</c:v>
                </c:pt>
                <c:pt idx="873">
                  <c:v>0.84438880805276995</c:v>
                </c:pt>
                <c:pt idx="874">
                  <c:v>0.84436524639307464</c:v>
                </c:pt>
                <c:pt idx="875">
                  <c:v>0.84434168508910545</c:v>
                </c:pt>
                <c:pt idx="876">
                  <c:v>0.8443181241408535</c:v>
                </c:pt>
                <c:pt idx="877">
                  <c:v>0.84429456354831345</c:v>
                </c:pt>
                <c:pt idx="878">
                  <c:v>0.84427100331148353</c:v>
                </c:pt>
                <c:pt idx="879">
                  <c:v>0.84424744343036195</c:v>
                </c:pt>
                <c:pt idx="880">
                  <c:v>0.84422388390494696</c:v>
                </c:pt>
                <c:pt idx="881">
                  <c:v>0.84420032473522966</c:v>
                </c:pt>
                <c:pt idx="882">
                  <c:v>0.84417676592121005</c:v>
                </c:pt>
                <c:pt idx="883">
                  <c:v>0.84415320746287748</c:v>
                </c:pt>
                <c:pt idx="884">
                  <c:v>0.84412964936023371</c:v>
                </c:pt>
                <c:pt idx="885">
                  <c:v>0.84410609161327876</c:v>
                </c:pt>
                <c:pt idx="886">
                  <c:v>0.84408253422200019</c:v>
                </c:pt>
                <c:pt idx="887">
                  <c:v>0.844058977186398</c:v>
                </c:pt>
                <c:pt idx="888">
                  <c:v>0.84403542050647218</c:v>
                </c:pt>
                <c:pt idx="889">
                  <c:v>0.84401186418221386</c:v>
                </c:pt>
                <c:pt idx="890">
                  <c:v>0.84398830821361948</c:v>
                </c:pt>
                <c:pt idx="891">
                  <c:v>0.84396475260068904</c:v>
                </c:pt>
                <c:pt idx="892">
                  <c:v>0.84394119734341544</c:v>
                </c:pt>
                <c:pt idx="893">
                  <c:v>0.84391764244179157</c:v>
                </c:pt>
                <c:pt idx="894">
                  <c:v>0.84389408789582454</c:v>
                </c:pt>
                <c:pt idx="895">
                  <c:v>0.84387053370550014</c:v>
                </c:pt>
                <c:pt idx="896">
                  <c:v>0.84384697987082546</c:v>
                </c:pt>
                <c:pt idx="897">
                  <c:v>0.84382342639177921</c:v>
                </c:pt>
                <c:pt idx="898">
                  <c:v>0.84379987326837558</c:v>
                </c:pt>
                <c:pt idx="899">
                  <c:v>0.84377632050060036</c:v>
                </c:pt>
                <c:pt idx="900">
                  <c:v>0.84375276808845179</c:v>
                </c:pt>
                <c:pt idx="901">
                  <c:v>0.84372921603192985</c:v>
                </c:pt>
                <c:pt idx="902">
                  <c:v>0.84370566433102567</c:v>
                </c:pt>
                <c:pt idx="903">
                  <c:v>0.84368211298573925</c:v>
                </c:pt>
                <c:pt idx="904">
                  <c:v>0.84365856199606704</c:v>
                </c:pt>
                <c:pt idx="905">
                  <c:v>0.84363501136200014</c:v>
                </c:pt>
                <c:pt idx="906">
                  <c:v>0.8436114610835439</c:v>
                </c:pt>
                <c:pt idx="907">
                  <c:v>0.84358791116068588</c:v>
                </c:pt>
                <c:pt idx="908">
                  <c:v>0.84356436159342252</c:v>
                </c:pt>
                <c:pt idx="909">
                  <c:v>0.84354081238175205</c:v>
                </c:pt>
                <c:pt idx="910">
                  <c:v>0.84351726352567624</c:v>
                </c:pt>
                <c:pt idx="911">
                  <c:v>0.84349371502517911</c:v>
                </c:pt>
                <c:pt idx="912">
                  <c:v>0.84347016688027132</c:v>
                </c:pt>
                <c:pt idx="913">
                  <c:v>0.84344661909094398</c:v>
                </c:pt>
                <c:pt idx="914">
                  <c:v>0.84342307165718644</c:v>
                </c:pt>
                <c:pt idx="915">
                  <c:v>0.84339952457900047</c:v>
                </c:pt>
                <c:pt idx="916">
                  <c:v>0.84337597785638074</c:v>
                </c:pt>
                <c:pt idx="917">
                  <c:v>0.84335243148932726</c:v>
                </c:pt>
                <c:pt idx="918">
                  <c:v>0.84332888547782936</c:v>
                </c:pt>
                <c:pt idx="919">
                  <c:v>0.84330533982188882</c:v>
                </c:pt>
                <c:pt idx="920">
                  <c:v>0.84328179452150387</c:v>
                </c:pt>
                <c:pt idx="921">
                  <c:v>0.84325824957666562</c:v>
                </c:pt>
                <c:pt idx="922">
                  <c:v>0.84323470498736874</c:v>
                </c:pt>
                <c:pt idx="923">
                  <c:v>0.84321116075361502</c:v>
                </c:pt>
                <c:pt idx="924">
                  <c:v>0.84318761687539734</c:v>
                </c:pt>
                <c:pt idx="925">
                  <c:v>0.84316407335271393</c:v>
                </c:pt>
                <c:pt idx="926">
                  <c:v>0.84314053018555768</c:v>
                </c:pt>
                <c:pt idx="927">
                  <c:v>0.84311698737392859</c:v>
                </c:pt>
                <c:pt idx="928">
                  <c:v>0.84309344491782312</c:v>
                </c:pt>
                <c:pt idx="929">
                  <c:v>0.8430699028172306</c:v>
                </c:pt>
                <c:pt idx="930">
                  <c:v>0.84304636107215636</c:v>
                </c:pt>
                <c:pt idx="931">
                  <c:v>0.84302281968259152</c:v>
                </c:pt>
                <c:pt idx="932">
                  <c:v>0.8429992786485343</c:v>
                </c:pt>
                <c:pt idx="933">
                  <c:v>0.8429757379699776</c:v>
                </c:pt>
                <c:pt idx="934">
                  <c:v>0.84295219764692142</c:v>
                </c:pt>
                <c:pt idx="935">
                  <c:v>0.84292865767935687</c:v>
                </c:pt>
                <c:pt idx="936">
                  <c:v>0.84290511806728929</c:v>
                </c:pt>
                <c:pt idx="937">
                  <c:v>0.84288157881071157</c:v>
                </c:pt>
                <c:pt idx="938">
                  <c:v>0.84285803990961305</c:v>
                </c:pt>
                <c:pt idx="939">
                  <c:v>0.84283450136399196</c:v>
                </c:pt>
                <c:pt idx="940">
                  <c:v>0.84281096317384652</c:v>
                </c:pt>
                <c:pt idx="941">
                  <c:v>0.84278742533918205</c:v>
                </c:pt>
                <c:pt idx="942">
                  <c:v>0.84276388785998435</c:v>
                </c:pt>
                <c:pt idx="943">
                  <c:v>0.84274035073624631</c:v>
                </c:pt>
                <c:pt idx="944">
                  <c:v>0.84271681396797327</c:v>
                </c:pt>
                <c:pt idx="945">
                  <c:v>0.84269327755515455</c:v>
                </c:pt>
                <c:pt idx="946">
                  <c:v>0.84266974149779195</c:v>
                </c:pt>
                <c:pt idx="947">
                  <c:v>0.84264620579588367</c:v>
                </c:pt>
                <c:pt idx="948">
                  <c:v>0.84262267044941552</c:v>
                </c:pt>
                <c:pt idx="949">
                  <c:v>0.84259913545839282</c:v>
                </c:pt>
                <c:pt idx="950">
                  <c:v>0.84257560082281202</c:v>
                </c:pt>
                <c:pt idx="951">
                  <c:v>0.84255206654265713</c:v>
                </c:pt>
                <c:pt idx="952">
                  <c:v>0.84252853261794236</c:v>
                </c:pt>
                <c:pt idx="953">
                  <c:v>0.84250499904864995</c:v>
                </c:pt>
                <c:pt idx="954">
                  <c:v>0.8424814658347799</c:v>
                </c:pt>
                <c:pt idx="955">
                  <c:v>0.84245793297633043</c:v>
                </c:pt>
                <c:pt idx="956">
                  <c:v>0.84243440047329443</c:v>
                </c:pt>
                <c:pt idx="957">
                  <c:v>0.84241086832567902</c:v>
                </c:pt>
                <c:pt idx="958">
                  <c:v>0.84238733653346465</c:v>
                </c:pt>
                <c:pt idx="959">
                  <c:v>0.84236380509665842</c:v>
                </c:pt>
                <c:pt idx="960">
                  <c:v>0.84234027401524969</c:v>
                </c:pt>
                <c:pt idx="961">
                  <c:v>0.84231674328924022</c:v>
                </c:pt>
                <c:pt idx="962">
                  <c:v>0.84229321291862291</c:v>
                </c:pt>
                <c:pt idx="963">
                  <c:v>0.84226968290339599</c:v>
                </c:pt>
                <c:pt idx="964">
                  <c:v>0.84224615324355234</c:v>
                </c:pt>
                <c:pt idx="965">
                  <c:v>0.84222262393909375</c:v>
                </c:pt>
                <c:pt idx="966">
                  <c:v>0.84219909499000956</c:v>
                </c:pt>
                <c:pt idx="967">
                  <c:v>0.84217556639630509</c:v>
                </c:pt>
                <c:pt idx="968">
                  <c:v>0.84215203815796968</c:v>
                </c:pt>
                <c:pt idx="969">
                  <c:v>0.84212851027499802</c:v>
                </c:pt>
                <c:pt idx="970">
                  <c:v>0.84210498274739365</c:v>
                </c:pt>
                <c:pt idx="971">
                  <c:v>0.84208145557514769</c:v>
                </c:pt>
                <c:pt idx="972">
                  <c:v>0.84205792875825303</c:v>
                </c:pt>
                <c:pt idx="973">
                  <c:v>0.842034402296715</c:v>
                </c:pt>
                <c:pt idx="974">
                  <c:v>0.8420108761905194</c:v>
                </c:pt>
                <c:pt idx="975">
                  <c:v>0.84198735043967332</c:v>
                </c:pt>
                <c:pt idx="976">
                  <c:v>0.84196382504416079</c:v>
                </c:pt>
                <c:pt idx="977">
                  <c:v>0.8419403000039889</c:v>
                </c:pt>
                <c:pt idx="978">
                  <c:v>0.84191677531915232</c:v>
                </c:pt>
                <c:pt idx="979">
                  <c:v>0.84189325098964396</c:v>
                </c:pt>
                <c:pt idx="980">
                  <c:v>0.84186972701546203</c:v>
                </c:pt>
                <c:pt idx="981">
                  <c:v>0.84184620339659766</c:v>
                </c:pt>
                <c:pt idx="982">
                  <c:v>0.84182268013304906</c:v>
                </c:pt>
                <c:pt idx="983">
                  <c:v>0.84179915722481979</c:v>
                </c:pt>
                <c:pt idx="984">
                  <c:v>0.84177563467189742</c:v>
                </c:pt>
                <c:pt idx="985">
                  <c:v>0.84175211247428372</c:v>
                </c:pt>
                <c:pt idx="986">
                  <c:v>0.84172859063196981</c:v>
                </c:pt>
                <c:pt idx="987">
                  <c:v>0.84170506914496102</c:v>
                </c:pt>
                <c:pt idx="988">
                  <c:v>0.84168154801324135</c:v>
                </c:pt>
                <c:pt idx="989">
                  <c:v>0.84165802723681615</c:v>
                </c:pt>
                <c:pt idx="990">
                  <c:v>0.84163450681567475</c:v>
                </c:pt>
                <c:pt idx="991">
                  <c:v>0.84161098674981538</c:v>
                </c:pt>
                <c:pt idx="992">
                  <c:v>0.84158746703924159</c:v>
                </c:pt>
                <c:pt idx="993">
                  <c:v>0.84156394768393739</c:v>
                </c:pt>
                <c:pt idx="994">
                  <c:v>0.84154042868391166</c:v>
                </c:pt>
                <c:pt idx="995">
                  <c:v>0.84151691003915019</c:v>
                </c:pt>
                <c:pt idx="996">
                  <c:v>0.84149339174965654</c:v>
                </c:pt>
                <c:pt idx="997">
                  <c:v>0.8414698738154236</c:v>
                </c:pt>
                <c:pt idx="998">
                  <c:v>0.84144635623644604</c:v>
                </c:pt>
                <c:pt idx="999">
                  <c:v>0.84142283901272208</c:v>
                </c:pt>
                <c:pt idx="1000">
                  <c:v>0.84139932214424995</c:v>
                </c:pt>
              </c:numCache>
            </c:numRef>
          </c:yVal>
          <c:smooth val="0"/>
          <c:extLst>
            <c:ext xmlns:c16="http://schemas.microsoft.com/office/drawing/2014/chart" uri="{C3380CC4-5D6E-409C-BE32-E72D297353CC}">
              <c16:uniqueId val="{00000000-BDD6-4E9B-9AFA-2396233049A9}"/>
            </c:ext>
          </c:extLst>
        </c:ser>
        <c:ser>
          <c:idx val="1"/>
          <c:order val="1"/>
          <c:tx>
            <c:strRef>
              <c:f>Courbes!$B$138</c:f>
              <c:strCache>
                <c:ptCount val="1"/>
                <c:pt idx="0">
                  <c:v>Charge vue par un capteur</c:v>
                </c:pt>
              </c:strCache>
            </c:strRef>
          </c:tx>
          <c:spPr>
            <a:ln w="25400">
              <a:solidFill>
                <a:srgbClr val="008000"/>
              </a:solidFill>
              <a:prstDash val="solid"/>
            </a:ln>
          </c:spPr>
          <c:marker>
            <c:symbol val="none"/>
          </c:marker>
          <c:xVal>
            <c:numRef>
              <c:f>Calculs!$B$4:$B$1004</c:f>
              <c:numCache>
                <c:formatCode>0.00</c:formatCode>
                <c:ptCount val="1001"/>
                <c:pt idx="0">
                  <c:v>0</c:v>
                </c:pt>
                <c:pt idx="1">
                  <c:v>0.01</c:v>
                </c:pt>
                <c:pt idx="2">
                  <c:v>0.02</c:v>
                </c:pt>
                <c:pt idx="3">
                  <c:v>0.03</c:v>
                </c:pt>
                <c:pt idx="4">
                  <c:v>0.04</c:v>
                </c:pt>
                <c:pt idx="5">
                  <c:v>0.05</c:v>
                </c:pt>
                <c:pt idx="6">
                  <c:v>6.0000000000000005E-2</c:v>
                </c:pt>
                <c:pt idx="7">
                  <c:v>7.0000000000000007E-2</c:v>
                </c:pt>
                <c:pt idx="8">
                  <c:v>0.08</c:v>
                </c:pt>
                <c:pt idx="9">
                  <c:v>0.09</c:v>
                </c:pt>
                <c:pt idx="10">
                  <c:v>9.9999999999999992E-2</c:v>
                </c:pt>
                <c:pt idx="11">
                  <c:v>0.10999999999999999</c:v>
                </c:pt>
                <c:pt idx="12">
                  <c:v>0.11999999999999998</c:v>
                </c:pt>
                <c:pt idx="13">
                  <c:v>0.12999999999999998</c:v>
                </c:pt>
                <c:pt idx="14">
                  <c:v>0.13999999999999999</c:v>
                </c:pt>
                <c:pt idx="15">
                  <c:v>0.15</c:v>
                </c:pt>
                <c:pt idx="16">
                  <c:v>0.16</c:v>
                </c:pt>
                <c:pt idx="17">
                  <c:v>0.17</c:v>
                </c:pt>
                <c:pt idx="18">
                  <c:v>0.18000000000000002</c:v>
                </c:pt>
                <c:pt idx="19">
                  <c:v>0.19000000000000003</c:v>
                </c:pt>
                <c:pt idx="20">
                  <c:v>0.20000000000000004</c:v>
                </c:pt>
                <c:pt idx="21">
                  <c:v>0.21000000000000005</c:v>
                </c:pt>
                <c:pt idx="22">
                  <c:v>0.22000000000000006</c:v>
                </c:pt>
                <c:pt idx="23">
                  <c:v>0.23000000000000007</c:v>
                </c:pt>
                <c:pt idx="24">
                  <c:v>0.24000000000000007</c:v>
                </c:pt>
                <c:pt idx="25">
                  <c:v>0.25000000000000006</c:v>
                </c:pt>
                <c:pt idx="26">
                  <c:v>0.26000000000000006</c:v>
                </c:pt>
                <c:pt idx="27">
                  <c:v>0.27000000000000007</c:v>
                </c:pt>
                <c:pt idx="28">
                  <c:v>0.28000000000000008</c:v>
                </c:pt>
                <c:pt idx="29">
                  <c:v>0.29000000000000009</c:v>
                </c:pt>
                <c:pt idx="30">
                  <c:v>0.3000000000000001</c:v>
                </c:pt>
                <c:pt idx="31">
                  <c:v>0.31000000000000011</c:v>
                </c:pt>
                <c:pt idx="32">
                  <c:v>0.32000000000000012</c:v>
                </c:pt>
                <c:pt idx="33">
                  <c:v>0.33000000000000013</c:v>
                </c:pt>
                <c:pt idx="34">
                  <c:v>0.34000000000000014</c:v>
                </c:pt>
                <c:pt idx="35">
                  <c:v>0.35000000000000014</c:v>
                </c:pt>
                <c:pt idx="36">
                  <c:v>0.36000000000000015</c:v>
                </c:pt>
                <c:pt idx="37">
                  <c:v>0.37000000000000016</c:v>
                </c:pt>
                <c:pt idx="38">
                  <c:v>0.38000000000000017</c:v>
                </c:pt>
                <c:pt idx="39">
                  <c:v>0.39000000000000018</c:v>
                </c:pt>
                <c:pt idx="40">
                  <c:v>0.40000000000000019</c:v>
                </c:pt>
                <c:pt idx="41">
                  <c:v>0.4100000000000002</c:v>
                </c:pt>
                <c:pt idx="42">
                  <c:v>0.42000000000000021</c:v>
                </c:pt>
                <c:pt idx="43">
                  <c:v>0.43000000000000022</c:v>
                </c:pt>
                <c:pt idx="44">
                  <c:v>0.44000000000000022</c:v>
                </c:pt>
                <c:pt idx="45">
                  <c:v>0.45000000000000023</c:v>
                </c:pt>
                <c:pt idx="46">
                  <c:v>0.46000000000000024</c:v>
                </c:pt>
                <c:pt idx="47">
                  <c:v>0.47000000000000025</c:v>
                </c:pt>
                <c:pt idx="48">
                  <c:v>0.48000000000000026</c:v>
                </c:pt>
                <c:pt idx="49">
                  <c:v>0.49000000000000027</c:v>
                </c:pt>
                <c:pt idx="50">
                  <c:v>0.50000000000000022</c:v>
                </c:pt>
                <c:pt idx="51">
                  <c:v>0.51000000000000023</c:v>
                </c:pt>
                <c:pt idx="52">
                  <c:v>0.52000000000000024</c:v>
                </c:pt>
                <c:pt idx="53">
                  <c:v>0.53000000000000025</c:v>
                </c:pt>
                <c:pt idx="54">
                  <c:v>0.54000000000000026</c:v>
                </c:pt>
                <c:pt idx="55">
                  <c:v>0.55000000000000027</c:v>
                </c:pt>
                <c:pt idx="56">
                  <c:v>0.56000000000000028</c:v>
                </c:pt>
                <c:pt idx="57">
                  <c:v>0.57000000000000028</c:v>
                </c:pt>
                <c:pt idx="58">
                  <c:v>0.58000000000000029</c:v>
                </c:pt>
                <c:pt idx="59">
                  <c:v>0.5900000000000003</c:v>
                </c:pt>
                <c:pt idx="60">
                  <c:v>0.60000000000000031</c:v>
                </c:pt>
                <c:pt idx="61">
                  <c:v>0.61000000000000032</c:v>
                </c:pt>
                <c:pt idx="62">
                  <c:v>0.62000000000000033</c:v>
                </c:pt>
                <c:pt idx="63">
                  <c:v>0.63000000000000034</c:v>
                </c:pt>
                <c:pt idx="64">
                  <c:v>0.64000000000000035</c:v>
                </c:pt>
                <c:pt idx="65">
                  <c:v>0.65000000000000036</c:v>
                </c:pt>
                <c:pt idx="66">
                  <c:v>0.66000000000000036</c:v>
                </c:pt>
                <c:pt idx="67">
                  <c:v>0.67000000000000037</c:v>
                </c:pt>
                <c:pt idx="68">
                  <c:v>0.68000000000000038</c:v>
                </c:pt>
                <c:pt idx="69">
                  <c:v>0.69000000000000039</c:v>
                </c:pt>
                <c:pt idx="70">
                  <c:v>0.7000000000000004</c:v>
                </c:pt>
                <c:pt idx="71">
                  <c:v>0.71000000000000041</c:v>
                </c:pt>
                <c:pt idx="72">
                  <c:v>0.72000000000000042</c:v>
                </c:pt>
                <c:pt idx="73">
                  <c:v>0.73000000000000043</c:v>
                </c:pt>
                <c:pt idx="74">
                  <c:v>0.74000000000000044</c:v>
                </c:pt>
                <c:pt idx="75">
                  <c:v>0.75000000000000044</c:v>
                </c:pt>
                <c:pt idx="76">
                  <c:v>0.76000000000000045</c:v>
                </c:pt>
                <c:pt idx="77">
                  <c:v>0.77000000000000046</c:v>
                </c:pt>
                <c:pt idx="78">
                  <c:v>0.78000000000000047</c:v>
                </c:pt>
                <c:pt idx="79">
                  <c:v>0.79000000000000048</c:v>
                </c:pt>
                <c:pt idx="80">
                  <c:v>0.80000000000000049</c:v>
                </c:pt>
                <c:pt idx="81">
                  <c:v>0.8100000000000005</c:v>
                </c:pt>
                <c:pt idx="82">
                  <c:v>0.82000000000000051</c:v>
                </c:pt>
                <c:pt idx="83">
                  <c:v>0.83000000000000052</c:v>
                </c:pt>
                <c:pt idx="84">
                  <c:v>0.84000000000000052</c:v>
                </c:pt>
                <c:pt idx="85">
                  <c:v>0.85000000000000053</c:v>
                </c:pt>
                <c:pt idx="86">
                  <c:v>0.86000000000000054</c:v>
                </c:pt>
                <c:pt idx="87">
                  <c:v>0.87000000000000055</c:v>
                </c:pt>
                <c:pt idx="88">
                  <c:v>0.88000000000000056</c:v>
                </c:pt>
                <c:pt idx="89">
                  <c:v>0.89000000000000057</c:v>
                </c:pt>
                <c:pt idx="90">
                  <c:v>0.90000000000000058</c:v>
                </c:pt>
                <c:pt idx="91">
                  <c:v>0.91000000000000059</c:v>
                </c:pt>
                <c:pt idx="92">
                  <c:v>0.9200000000000006</c:v>
                </c:pt>
                <c:pt idx="93">
                  <c:v>0.9300000000000006</c:v>
                </c:pt>
                <c:pt idx="94">
                  <c:v>0.94000000000000061</c:v>
                </c:pt>
                <c:pt idx="95">
                  <c:v>0.95000000000000062</c:v>
                </c:pt>
                <c:pt idx="96">
                  <c:v>0.96000000000000063</c:v>
                </c:pt>
                <c:pt idx="97">
                  <c:v>0.97000000000000064</c:v>
                </c:pt>
                <c:pt idx="98">
                  <c:v>0.98000000000000065</c:v>
                </c:pt>
                <c:pt idx="99">
                  <c:v>0.99000000000000066</c:v>
                </c:pt>
                <c:pt idx="100">
                  <c:v>1.0000000000000007</c:v>
                </c:pt>
                <c:pt idx="101">
                  <c:v>1.1000000000000008</c:v>
                </c:pt>
                <c:pt idx="102">
                  <c:v>1.2000000000000008</c:v>
                </c:pt>
                <c:pt idx="103">
                  <c:v>1.3000000000000009</c:v>
                </c:pt>
                <c:pt idx="104">
                  <c:v>1.400000000000001</c:v>
                </c:pt>
                <c:pt idx="105">
                  <c:v>1.5000000000000011</c:v>
                </c:pt>
                <c:pt idx="106">
                  <c:v>1.6000000000000012</c:v>
                </c:pt>
                <c:pt idx="107">
                  <c:v>1.7000000000000013</c:v>
                </c:pt>
                <c:pt idx="108">
                  <c:v>1.8000000000000014</c:v>
                </c:pt>
                <c:pt idx="109">
                  <c:v>1.9000000000000015</c:v>
                </c:pt>
                <c:pt idx="110">
                  <c:v>2.0000000000000013</c:v>
                </c:pt>
                <c:pt idx="111">
                  <c:v>2.1000000000000014</c:v>
                </c:pt>
                <c:pt idx="112">
                  <c:v>2.2000000000000015</c:v>
                </c:pt>
                <c:pt idx="113">
                  <c:v>2.3000000000000016</c:v>
                </c:pt>
                <c:pt idx="114">
                  <c:v>2.4000000000000017</c:v>
                </c:pt>
                <c:pt idx="115">
                  <c:v>2.5000000000000018</c:v>
                </c:pt>
                <c:pt idx="116">
                  <c:v>2.6000000000000019</c:v>
                </c:pt>
                <c:pt idx="117">
                  <c:v>2.700000000000002</c:v>
                </c:pt>
                <c:pt idx="118">
                  <c:v>2.800000000000002</c:v>
                </c:pt>
                <c:pt idx="119">
                  <c:v>2.9000000000000021</c:v>
                </c:pt>
                <c:pt idx="120">
                  <c:v>3.0000000000000022</c:v>
                </c:pt>
                <c:pt idx="121">
                  <c:v>3.1000000000000023</c:v>
                </c:pt>
                <c:pt idx="122">
                  <c:v>3.2000000000000024</c:v>
                </c:pt>
                <c:pt idx="123">
                  <c:v>3.3000000000000025</c:v>
                </c:pt>
                <c:pt idx="124">
                  <c:v>3.4000000000000026</c:v>
                </c:pt>
                <c:pt idx="125">
                  <c:v>3.5000000000000027</c:v>
                </c:pt>
                <c:pt idx="126">
                  <c:v>3.6000000000000028</c:v>
                </c:pt>
                <c:pt idx="127">
                  <c:v>3.7000000000000028</c:v>
                </c:pt>
                <c:pt idx="128">
                  <c:v>3.8000000000000029</c:v>
                </c:pt>
                <c:pt idx="129">
                  <c:v>3.900000000000003</c:v>
                </c:pt>
                <c:pt idx="130">
                  <c:v>4.0000000000000027</c:v>
                </c:pt>
                <c:pt idx="131">
                  <c:v>4.1000000000000023</c:v>
                </c:pt>
                <c:pt idx="132">
                  <c:v>4.200000000000002</c:v>
                </c:pt>
                <c:pt idx="133">
                  <c:v>4.3000000000000016</c:v>
                </c:pt>
                <c:pt idx="134">
                  <c:v>4.4000000000000012</c:v>
                </c:pt>
                <c:pt idx="135">
                  <c:v>4.5000000000000009</c:v>
                </c:pt>
                <c:pt idx="136">
                  <c:v>4.6000000000000005</c:v>
                </c:pt>
                <c:pt idx="137">
                  <c:v>4.7</c:v>
                </c:pt>
                <c:pt idx="138">
                  <c:v>4.8</c:v>
                </c:pt>
                <c:pt idx="139">
                  <c:v>4.8999999999999995</c:v>
                </c:pt>
                <c:pt idx="140">
                  <c:v>4.9999999999999991</c:v>
                </c:pt>
                <c:pt idx="141">
                  <c:v>5.0999999999999988</c:v>
                </c:pt>
                <c:pt idx="142">
                  <c:v>5.1999999999999984</c:v>
                </c:pt>
                <c:pt idx="143">
                  <c:v>5.299999999999998</c:v>
                </c:pt>
                <c:pt idx="144">
                  <c:v>5.3999999999999977</c:v>
                </c:pt>
                <c:pt idx="145">
                  <c:v>5.4999999999999973</c:v>
                </c:pt>
                <c:pt idx="146">
                  <c:v>5.599999999999997</c:v>
                </c:pt>
                <c:pt idx="147">
                  <c:v>5.6999999999999966</c:v>
                </c:pt>
                <c:pt idx="148">
                  <c:v>5.7999999999999963</c:v>
                </c:pt>
                <c:pt idx="149">
                  <c:v>5.8999999999999959</c:v>
                </c:pt>
                <c:pt idx="150">
                  <c:v>5.9999999999999956</c:v>
                </c:pt>
                <c:pt idx="151">
                  <c:v>6.0999999999999952</c:v>
                </c:pt>
                <c:pt idx="152">
                  <c:v>6.1999999999999948</c:v>
                </c:pt>
                <c:pt idx="153">
                  <c:v>6.2999999999999945</c:v>
                </c:pt>
                <c:pt idx="154">
                  <c:v>6.3999999999999941</c:v>
                </c:pt>
                <c:pt idx="155">
                  <c:v>6.4999999999999938</c:v>
                </c:pt>
                <c:pt idx="156">
                  <c:v>6.5999999999999934</c:v>
                </c:pt>
                <c:pt idx="157">
                  <c:v>6.6999999999999931</c:v>
                </c:pt>
                <c:pt idx="158">
                  <c:v>6.7999999999999927</c:v>
                </c:pt>
                <c:pt idx="159">
                  <c:v>6.8999999999999924</c:v>
                </c:pt>
                <c:pt idx="160">
                  <c:v>6.999999999999992</c:v>
                </c:pt>
                <c:pt idx="161">
                  <c:v>7.0999999999999917</c:v>
                </c:pt>
                <c:pt idx="162">
                  <c:v>7.1999999999999913</c:v>
                </c:pt>
                <c:pt idx="163">
                  <c:v>7.2999999999999909</c:v>
                </c:pt>
                <c:pt idx="164">
                  <c:v>7.3999999999999906</c:v>
                </c:pt>
                <c:pt idx="165">
                  <c:v>7.4999999999999902</c:v>
                </c:pt>
                <c:pt idx="166">
                  <c:v>7.5999999999999899</c:v>
                </c:pt>
                <c:pt idx="167">
                  <c:v>7.6999999999999895</c:v>
                </c:pt>
                <c:pt idx="168">
                  <c:v>7.7999999999999892</c:v>
                </c:pt>
                <c:pt idx="169">
                  <c:v>7.8999999999999888</c:v>
                </c:pt>
                <c:pt idx="170">
                  <c:v>7.9999999999999885</c:v>
                </c:pt>
                <c:pt idx="171">
                  <c:v>8.099999999999989</c:v>
                </c:pt>
                <c:pt idx="172">
                  <c:v>8.1999999999999886</c:v>
                </c:pt>
                <c:pt idx="173">
                  <c:v>8.2999999999999883</c:v>
                </c:pt>
                <c:pt idx="174">
                  <c:v>8.3999999999999879</c:v>
                </c:pt>
                <c:pt idx="175">
                  <c:v>8.4999999999999876</c:v>
                </c:pt>
                <c:pt idx="176">
                  <c:v>8.5999999999999872</c:v>
                </c:pt>
                <c:pt idx="177">
                  <c:v>8.6999999999999869</c:v>
                </c:pt>
                <c:pt idx="178">
                  <c:v>8.7999999999999865</c:v>
                </c:pt>
                <c:pt idx="179">
                  <c:v>8.8999999999999861</c:v>
                </c:pt>
                <c:pt idx="180">
                  <c:v>8.9999999999999858</c:v>
                </c:pt>
                <c:pt idx="181">
                  <c:v>9.0999999999999854</c:v>
                </c:pt>
                <c:pt idx="182">
                  <c:v>9.1999999999999851</c:v>
                </c:pt>
                <c:pt idx="183">
                  <c:v>9.2999999999999847</c:v>
                </c:pt>
                <c:pt idx="184">
                  <c:v>9.3999999999999844</c:v>
                </c:pt>
                <c:pt idx="185">
                  <c:v>9.499999999999984</c:v>
                </c:pt>
                <c:pt idx="186">
                  <c:v>9.5999999999999837</c:v>
                </c:pt>
                <c:pt idx="187">
                  <c:v>9.6999999999999833</c:v>
                </c:pt>
                <c:pt idx="188">
                  <c:v>9.7999999999999829</c:v>
                </c:pt>
                <c:pt idx="189">
                  <c:v>9.8999999999999826</c:v>
                </c:pt>
                <c:pt idx="190">
                  <c:v>9.9999999999999822</c:v>
                </c:pt>
                <c:pt idx="191">
                  <c:v>10.099999999999982</c:v>
                </c:pt>
                <c:pt idx="192">
                  <c:v>10.199999999999982</c:v>
                </c:pt>
                <c:pt idx="193">
                  <c:v>10.299999999999981</c:v>
                </c:pt>
                <c:pt idx="194">
                  <c:v>10.399999999999981</c:v>
                </c:pt>
                <c:pt idx="195">
                  <c:v>10.49999999999998</c:v>
                </c:pt>
                <c:pt idx="196">
                  <c:v>10.59999999999998</c:v>
                </c:pt>
                <c:pt idx="197">
                  <c:v>10.69999999999998</c:v>
                </c:pt>
                <c:pt idx="198">
                  <c:v>10.799999999999979</c:v>
                </c:pt>
                <c:pt idx="199">
                  <c:v>10.899999999999979</c:v>
                </c:pt>
                <c:pt idx="200">
                  <c:v>10.999999999999979</c:v>
                </c:pt>
                <c:pt idx="201">
                  <c:v>11.099999999999978</c:v>
                </c:pt>
                <c:pt idx="202">
                  <c:v>11.199999999999978</c:v>
                </c:pt>
                <c:pt idx="203">
                  <c:v>11.299999999999978</c:v>
                </c:pt>
                <c:pt idx="204">
                  <c:v>11.399999999999977</c:v>
                </c:pt>
                <c:pt idx="205">
                  <c:v>11.499999999999977</c:v>
                </c:pt>
                <c:pt idx="206">
                  <c:v>11.599999999999977</c:v>
                </c:pt>
                <c:pt idx="207">
                  <c:v>11.699999999999976</c:v>
                </c:pt>
                <c:pt idx="208">
                  <c:v>11.799999999999976</c:v>
                </c:pt>
                <c:pt idx="209">
                  <c:v>11.899999999999975</c:v>
                </c:pt>
                <c:pt idx="210">
                  <c:v>11.999999999999975</c:v>
                </c:pt>
                <c:pt idx="211">
                  <c:v>12.099999999999975</c:v>
                </c:pt>
                <c:pt idx="212">
                  <c:v>12.199999999999974</c:v>
                </c:pt>
                <c:pt idx="213">
                  <c:v>12.299999999999974</c:v>
                </c:pt>
                <c:pt idx="214">
                  <c:v>12.399999999999974</c:v>
                </c:pt>
                <c:pt idx="215">
                  <c:v>12.499999999999973</c:v>
                </c:pt>
                <c:pt idx="216">
                  <c:v>12.599999999999973</c:v>
                </c:pt>
                <c:pt idx="217">
                  <c:v>12.699999999999973</c:v>
                </c:pt>
                <c:pt idx="218">
                  <c:v>12.799999999999972</c:v>
                </c:pt>
                <c:pt idx="219">
                  <c:v>12.899999999999972</c:v>
                </c:pt>
                <c:pt idx="220">
                  <c:v>12.999999999999972</c:v>
                </c:pt>
                <c:pt idx="221">
                  <c:v>13.099999999999971</c:v>
                </c:pt>
                <c:pt idx="222">
                  <c:v>13.199999999999971</c:v>
                </c:pt>
                <c:pt idx="223">
                  <c:v>13.299999999999971</c:v>
                </c:pt>
                <c:pt idx="224">
                  <c:v>13.39999999999997</c:v>
                </c:pt>
                <c:pt idx="225">
                  <c:v>13.49999999999997</c:v>
                </c:pt>
                <c:pt idx="226">
                  <c:v>13.599999999999969</c:v>
                </c:pt>
                <c:pt idx="227">
                  <c:v>13.699999999999969</c:v>
                </c:pt>
                <c:pt idx="228">
                  <c:v>13.799999999999969</c:v>
                </c:pt>
                <c:pt idx="229">
                  <c:v>13.899999999999968</c:v>
                </c:pt>
                <c:pt idx="230">
                  <c:v>13.999999999999968</c:v>
                </c:pt>
                <c:pt idx="231">
                  <c:v>14.099999999999968</c:v>
                </c:pt>
                <c:pt idx="232">
                  <c:v>14.199999999999967</c:v>
                </c:pt>
                <c:pt idx="233">
                  <c:v>14.299999999999967</c:v>
                </c:pt>
                <c:pt idx="234">
                  <c:v>14.399999999999967</c:v>
                </c:pt>
                <c:pt idx="235">
                  <c:v>14.499999999999966</c:v>
                </c:pt>
                <c:pt idx="236">
                  <c:v>14.599999999999966</c:v>
                </c:pt>
                <c:pt idx="237">
                  <c:v>14.699999999999966</c:v>
                </c:pt>
                <c:pt idx="238">
                  <c:v>14.799999999999965</c:v>
                </c:pt>
                <c:pt idx="239">
                  <c:v>14.899999999999965</c:v>
                </c:pt>
                <c:pt idx="240">
                  <c:v>14.999999999999964</c:v>
                </c:pt>
                <c:pt idx="241">
                  <c:v>15.099999999999964</c:v>
                </c:pt>
                <c:pt idx="242">
                  <c:v>15.199999999999964</c:v>
                </c:pt>
                <c:pt idx="243">
                  <c:v>15.299999999999963</c:v>
                </c:pt>
                <c:pt idx="244">
                  <c:v>15.399999999999963</c:v>
                </c:pt>
                <c:pt idx="245">
                  <c:v>15.499999999999963</c:v>
                </c:pt>
                <c:pt idx="246">
                  <c:v>15.599999999999962</c:v>
                </c:pt>
                <c:pt idx="247">
                  <c:v>15.699999999999962</c:v>
                </c:pt>
                <c:pt idx="248">
                  <c:v>15.799999999999962</c:v>
                </c:pt>
                <c:pt idx="249">
                  <c:v>15.899999999999961</c:v>
                </c:pt>
                <c:pt idx="250">
                  <c:v>15.999999999999961</c:v>
                </c:pt>
                <c:pt idx="251">
                  <c:v>16.099999999999962</c:v>
                </c:pt>
                <c:pt idx="252">
                  <c:v>16.199999999999964</c:v>
                </c:pt>
                <c:pt idx="253">
                  <c:v>16.299999999999965</c:v>
                </c:pt>
                <c:pt idx="254">
                  <c:v>16.399999999999967</c:v>
                </c:pt>
                <c:pt idx="255">
                  <c:v>16.499999999999968</c:v>
                </c:pt>
                <c:pt idx="256">
                  <c:v>16.599999999999969</c:v>
                </c:pt>
                <c:pt idx="257">
                  <c:v>16.699999999999971</c:v>
                </c:pt>
                <c:pt idx="258">
                  <c:v>16.799999999999972</c:v>
                </c:pt>
                <c:pt idx="259">
                  <c:v>16.899999999999974</c:v>
                </c:pt>
                <c:pt idx="260">
                  <c:v>16.999999999999975</c:v>
                </c:pt>
                <c:pt idx="261">
                  <c:v>17.099999999999977</c:v>
                </c:pt>
                <c:pt idx="262">
                  <c:v>17.199999999999978</c:v>
                </c:pt>
                <c:pt idx="263">
                  <c:v>17.299999999999979</c:v>
                </c:pt>
                <c:pt idx="264">
                  <c:v>17.399999999999981</c:v>
                </c:pt>
                <c:pt idx="265">
                  <c:v>17.499999999999982</c:v>
                </c:pt>
                <c:pt idx="266">
                  <c:v>17.599999999999984</c:v>
                </c:pt>
                <c:pt idx="267">
                  <c:v>17.699999999999985</c:v>
                </c:pt>
                <c:pt idx="268">
                  <c:v>17.799999999999986</c:v>
                </c:pt>
                <c:pt idx="269">
                  <c:v>17.899999999999988</c:v>
                </c:pt>
                <c:pt idx="270">
                  <c:v>17.999999999999989</c:v>
                </c:pt>
                <c:pt idx="271">
                  <c:v>18.099999999999991</c:v>
                </c:pt>
                <c:pt idx="272">
                  <c:v>18.199999999999992</c:v>
                </c:pt>
                <c:pt idx="273">
                  <c:v>18.299999999999994</c:v>
                </c:pt>
                <c:pt idx="274">
                  <c:v>18.399999999999995</c:v>
                </c:pt>
                <c:pt idx="275">
                  <c:v>18.499999999999996</c:v>
                </c:pt>
                <c:pt idx="276">
                  <c:v>18.599999999999998</c:v>
                </c:pt>
                <c:pt idx="277">
                  <c:v>18.7</c:v>
                </c:pt>
                <c:pt idx="278">
                  <c:v>18.8</c:v>
                </c:pt>
                <c:pt idx="279">
                  <c:v>18.900000000000002</c:v>
                </c:pt>
                <c:pt idx="280">
                  <c:v>19.000000000000004</c:v>
                </c:pt>
                <c:pt idx="281">
                  <c:v>19.100000000000005</c:v>
                </c:pt>
                <c:pt idx="282">
                  <c:v>19.200000000000006</c:v>
                </c:pt>
                <c:pt idx="283">
                  <c:v>19.300000000000008</c:v>
                </c:pt>
                <c:pt idx="284">
                  <c:v>19.400000000000009</c:v>
                </c:pt>
                <c:pt idx="285">
                  <c:v>19.500000000000011</c:v>
                </c:pt>
                <c:pt idx="286">
                  <c:v>19.600000000000012</c:v>
                </c:pt>
                <c:pt idx="287">
                  <c:v>19.700000000000014</c:v>
                </c:pt>
                <c:pt idx="288">
                  <c:v>19.800000000000015</c:v>
                </c:pt>
                <c:pt idx="289">
                  <c:v>19.900000000000016</c:v>
                </c:pt>
                <c:pt idx="290">
                  <c:v>20.000000000000018</c:v>
                </c:pt>
                <c:pt idx="291">
                  <c:v>20.100000000000019</c:v>
                </c:pt>
                <c:pt idx="292">
                  <c:v>20.200000000000021</c:v>
                </c:pt>
                <c:pt idx="293">
                  <c:v>20.300000000000022</c:v>
                </c:pt>
                <c:pt idx="294">
                  <c:v>20.400000000000023</c:v>
                </c:pt>
                <c:pt idx="295">
                  <c:v>20.500000000000025</c:v>
                </c:pt>
                <c:pt idx="296">
                  <c:v>20.600000000000026</c:v>
                </c:pt>
                <c:pt idx="297">
                  <c:v>20.700000000000028</c:v>
                </c:pt>
                <c:pt idx="298">
                  <c:v>20.800000000000029</c:v>
                </c:pt>
                <c:pt idx="299">
                  <c:v>20.900000000000031</c:v>
                </c:pt>
                <c:pt idx="300">
                  <c:v>21.000000000000032</c:v>
                </c:pt>
                <c:pt idx="301">
                  <c:v>21.100000000000033</c:v>
                </c:pt>
                <c:pt idx="302">
                  <c:v>21.200000000000035</c:v>
                </c:pt>
                <c:pt idx="303">
                  <c:v>21.300000000000036</c:v>
                </c:pt>
                <c:pt idx="304">
                  <c:v>21.400000000000038</c:v>
                </c:pt>
                <c:pt idx="305">
                  <c:v>21.500000000000039</c:v>
                </c:pt>
                <c:pt idx="306">
                  <c:v>21.600000000000041</c:v>
                </c:pt>
                <c:pt idx="307">
                  <c:v>21.700000000000042</c:v>
                </c:pt>
                <c:pt idx="308">
                  <c:v>21.800000000000043</c:v>
                </c:pt>
                <c:pt idx="309">
                  <c:v>21.900000000000045</c:v>
                </c:pt>
                <c:pt idx="310">
                  <c:v>22.000000000000046</c:v>
                </c:pt>
                <c:pt idx="311">
                  <c:v>22.100000000000048</c:v>
                </c:pt>
                <c:pt idx="312">
                  <c:v>22.200000000000049</c:v>
                </c:pt>
                <c:pt idx="313">
                  <c:v>22.30000000000005</c:v>
                </c:pt>
                <c:pt idx="314">
                  <c:v>22.400000000000052</c:v>
                </c:pt>
                <c:pt idx="315">
                  <c:v>22.500000000000053</c:v>
                </c:pt>
                <c:pt idx="316">
                  <c:v>22.600000000000055</c:v>
                </c:pt>
                <c:pt idx="317">
                  <c:v>22.700000000000056</c:v>
                </c:pt>
                <c:pt idx="318">
                  <c:v>22.800000000000058</c:v>
                </c:pt>
                <c:pt idx="319">
                  <c:v>22.900000000000059</c:v>
                </c:pt>
                <c:pt idx="320">
                  <c:v>23.00000000000006</c:v>
                </c:pt>
                <c:pt idx="321">
                  <c:v>23.100000000000062</c:v>
                </c:pt>
                <c:pt idx="322">
                  <c:v>23.200000000000063</c:v>
                </c:pt>
                <c:pt idx="323">
                  <c:v>23.300000000000065</c:v>
                </c:pt>
                <c:pt idx="324">
                  <c:v>23.400000000000066</c:v>
                </c:pt>
                <c:pt idx="325">
                  <c:v>23.500000000000068</c:v>
                </c:pt>
                <c:pt idx="326">
                  <c:v>23.600000000000069</c:v>
                </c:pt>
                <c:pt idx="327">
                  <c:v>23.70000000000007</c:v>
                </c:pt>
                <c:pt idx="328">
                  <c:v>23.800000000000072</c:v>
                </c:pt>
                <c:pt idx="329">
                  <c:v>23.900000000000073</c:v>
                </c:pt>
                <c:pt idx="330">
                  <c:v>24.000000000000075</c:v>
                </c:pt>
                <c:pt idx="331">
                  <c:v>24.100000000000076</c:v>
                </c:pt>
                <c:pt idx="332">
                  <c:v>24.200000000000077</c:v>
                </c:pt>
                <c:pt idx="333">
                  <c:v>24.300000000000079</c:v>
                </c:pt>
                <c:pt idx="334">
                  <c:v>24.40000000000008</c:v>
                </c:pt>
                <c:pt idx="335">
                  <c:v>24.500000000000082</c:v>
                </c:pt>
                <c:pt idx="336">
                  <c:v>24.600000000000083</c:v>
                </c:pt>
                <c:pt idx="337">
                  <c:v>24.700000000000085</c:v>
                </c:pt>
                <c:pt idx="338">
                  <c:v>24.800000000000086</c:v>
                </c:pt>
                <c:pt idx="339">
                  <c:v>24.900000000000087</c:v>
                </c:pt>
                <c:pt idx="340">
                  <c:v>25.000000000000089</c:v>
                </c:pt>
                <c:pt idx="341">
                  <c:v>25.10000000000009</c:v>
                </c:pt>
                <c:pt idx="342">
                  <c:v>25.200000000000092</c:v>
                </c:pt>
                <c:pt idx="343">
                  <c:v>25.300000000000093</c:v>
                </c:pt>
                <c:pt idx="344">
                  <c:v>25.400000000000095</c:v>
                </c:pt>
                <c:pt idx="345">
                  <c:v>25.500000000000096</c:v>
                </c:pt>
                <c:pt idx="346">
                  <c:v>25.600000000000097</c:v>
                </c:pt>
                <c:pt idx="347">
                  <c:v>25.700000000000099</c:v>
                </c:pt>
                <c:pt idx="348">
                  <c:v>25.8000000000001</c:v>
                </c:pt>
                <c:pt idx="349">
                  <c:v>25.900000000000102</c:v>
                </c:pt>
                <c:pt idx="350">
                  <c:v>26.000000000000103</c:v>
                </c:pt>
                <c:pt idx="351">
                  <c:v>26.100000000000104</c:v>
                </c:pt>
                <c:pt idx="352">
                  <c:v>26.200000000000106</c:v>
                </c:pt>
                <c:pt idx="353">
                  <c:v>26.300000000000107</c:v>
                </c:pt>
                <c:pt idx="354">
                  <c:v>26.400000000000109</c:v>
                </c:pt>
                <c:pt idx="355">
                  <c:v>26.50000000000011</c:v>
                </c:pt>
                <c:pt idx="356">
                  <c:v>26.600000000000112</c:v>
                </c:pt>
                <c:pt idx="357">
                  <c:v>26.700000000000113</c:v>
                </c:pt>
                <c:pt idx="358">
                  <c:v>26.800000000000114</c:v>
                </c:pt>
                <c:pt idx="359">
                  <c:v>26.900000000000116</c:v>
                </c:pt>
                <c:pt idx="360">
                  <c:v>27.000000000000117</c:v>
                </c:pt>
                <c:pt idx="361">
                  <c:v>27.100000000000119</c:v>
                </c:pt>
                <c:pt idx="362">
                  <c:v>27.20000000000012</c:v>
                </c:pt>
                <c:pt idx="363">
                  <c:v>27.300000000000122</c:v>
                </c:pt>
                <c:pt idx="364">
                  <c:v>27.400000000000123</c:v>
                </c:pt>
                <c:pt idx="365">
                  <c:v>27.500000000000124</c:v>
                </c:pt>
                <c:pt idx="366">
                  <c:v>27.600000000000126</c:v>
                </c:pt>
                <c:pt idx="367">
                  <c:v>27.700000000000127</c:v>
                </c:pt>
                <c:pt idx="368">
                  <c:v>27.800000000000129</c:v>
                </c:pt>
                <c:pt idx="369">
                  <c:v>27.90000000000013</c:v>
                </c:pt>
                <c:pt idx="370">
                  <c:v>28.000000000000131</c:v>
                </c:pt>
                <c:pt idx="371">
                  <c:v>28.100000000000133</c:v>
                </c:pt>
                <c:pt idx="372">
                  <c:v>28.200000000000134</c:v>
                </c:pt>
                <c:pt idx="373">
                  <c:v>28.300000000000136</c:v>
                </c:pt>
                <c:pt idx="374">
                  <c:v>28.400000000000137</c:v>
                </c:pt>
                <c:pt idx="375">
                  <c:v>28.500000000000139</c:v>
                </c:pt>
                <c:pt idx="376">
                  <c:v>28.60000000000014</c:v>
                </c:pt>
                <c:pt idx="377">
                  <c:v>28.60010000000014</c:v>
                </c:pt>
                <c:pt idx="378">
                  <c:v>28.60020000000014</c:v>
                </c:pt>
                <c:pt idx="379">
                  <c:v>28.600300000000139</c:v>
                </c:pt>
                <c:pt idx="380">
                  <c:v>28.600400000000139</c:v>
                </c:pt>
                <c:pt idx="381">
                  <c:v>28.600500000000139</c:v>
                </c:pt>
                <c:pt idx="382">
                  <c:v>28.600600000000139</c:v>
                </c:pt>
                <c:pt idx="383">
                  <c:v>28.600700000000138</c:v>
                </c:pt>
                <c:pt idx="384">
                  <c:v>28.600800000000138</c:v>
                </c:pt>
                <c:pt idx="385">
                  <c:v>28.600900000000138</c:v>
                </c:pt>
                <c:pt idx="386">
                  <c:v>28.601000000000138</c:v>
                </c:pt>
                <c:pt idx="387">
                  <c:v>28.601100000000137</c:v>
                </c:pt>
                <c:pt idx="388">
                  <c:v>28.601200000000137</c:v>
                </c:pt>
                <c:pt idx="389">
                  <c:v>28.601300000000137</c:v>
                </c:pt>
                <c:pt idx="390">
                  <c:v>28.601400000000137</c:v>
                </c:pt>
                <c:pt idx="391">
                  <c:v>28.601500000000136</c:v>
                </c:pt>
                <c:pt idx="392">
                  <c:v>28.601600000000136</c:v>
                </c:pt>
                <c:pt idx="393">
                  <c:v>28.601700000000136</c:v>
                </c:pt>
                <c:pt idx="394">
                  <c:v>28.601800000000136</c:v>
                </c:pt>
                <c:pt idx="395">
                  <c:v>28.601900000000136</c:v>
                </c:pt>
                <c:pt idx="396">
                  <c:v>28.602000000000135</c:v>
                </c:pt>
                <c:pt idx="397">
                  <c:v>28.602100000000135</c:v>
                </c:pt>
                <c:pt idx="398">
                  <c:v>28.602200000000135</c:v>
                </c:pt>
                <c:pt idx="399">
                  <c:v>28.602300000000135</c:v>
                </c:pt>
                <c:pt idx="400">
                  <c:v>28.602400000000134</c:v>
                </c:pt>
                <c:pt idx="401">
                  <c:v>28.602500000000134</c:v>
                </c:pt>
                <c:pt idx="402">
                  <c:v>28.602600000000134</c:v>
                </c:pt>
                <c:pt idx="403">
                  <c:v>28.602700000000134</c:v>
                </c:pt>
                <c:pt idx="404">
                  <c:v>28.602800000000133</c:v>
                </c:pt>
                <c:pt idx="405">
                  <c:v>28.602900000000133</c:v>
                </c:pt>
                <c:pt idx="406">
                  <c:v>28.603000000000133</c:v>
                </c:pt>
                <c:pt idx="407">
                  <c:v>28.603100000000133</c:v>
                </c:pt>
                <c:pt idx="408">
                  <c:v>28.603200000000133</c:v>
                </c:pt>
                <c:pt idx="409">
                  <c:v>28.603300000000132</c:v>
                </c:pt>
                <c:pt idx="410">
                  <c:v>28.603400000000132</c:v>
                </c:pt>
                <c:pt idx="411">
                  <c:v>28.603500000000132</c:v>
                </c:pt>
                <c:pt idx="412">
                  <c:v>28.603600000000132</c:v>
                </c:pt>
                <c:pt idx="413">
                  <c:v>28.603700000000131</c:v>
                </c:pt>
                <c:pt idx="414">
                  <c:v>28.603800000000131</c:v>
                </c:pt>
                <c:pt idx="415">
                  <c:v>28.603900000000131</c:v>
                </c:pt>
                <c:pt idx="416">
                  <c:v>28.604000000000131</c:v>
                </c:pt>
                <c:pt idx="417">
                  <c:v>28.60410000000013</c:v>
                </c:pt>
                <c:pt idx="418">
                  <c:v>28.60420000000013</c:v>
                </c:pt>
                <c:pt idx="419">
                  <c:v>28.60430000000013</c:v>
                </c:pt>
                <c:pt idx="420">
                  <c:v>28.60440000000013</c:v>
                </c:pt>
                <c:pt idx="421">
                  <c:v>28.604500000000129</c:v>
                </c:pt>
                <c:pt idx="422">
                  <c:v>28.604600000000129</c:v>
                </c:pt>
                <c:pt idx="423">
                  <c:v>28.604700000000129</c:v>
                </c:pt>
                <c:pt idx="424">
                  <c:v>28.604800000000129</c:v>
                </c:pt>
                <c:pt idx="425">
                  <c:v>28.604900000000129</c:v>
                </c:pt>
                <c:pt idx="426">
                  <c:v>28.605000000000128</c:v>
                </c:pt>
                <c:pt idx="427">
                  <c:v>28.605100000000128</c:v>
                </c:pt>
                <c:pt idx="428">
                  <c:v>28.605200000000128</c:v>
                </c:pt>
                <c:pt idx="429">
                  <c:v>28.605300000000128</c:v>
                </c:pt>
                <c:pt idx="430">
                  <c:v>28.605400000000127</c:v>
                </c:pt>
                <c:pt idx="431">
                  <c:v>28.605500000000127</c:v>
                </c:pt>
                <c:pt idx="432">
                  <c:v>28.605600000000127</c:v>
                </c:pt>
                <c:pt idx="433">
                  <c:v>28.605700000000127</c:v>
                </c:pt>
                <c:pt idx="434">
                  <c:v>28.605800000000126</c:v>
                </c:pt>
                <c:pt idx="435">
                  <c:v>28.605900000000126</c:v>
                </c:pt>
                <c:pt idx="436">
                  <c:v>28.606000000000126</c:v>
                </c:pt>
                <c:pt idx="437">
                  <c:v>28.606100000000126</c:v>
                </c:pt>
                <c:pt idx="438">
                  <c:v>28.606200000000126</c:v>
                </c:pt>
                <c:pt idx="439">
                  <c:v>28.606300000000125</c:v>
                </c:pt>
                <c:pt idx="440">
                  <c:v>28.606400000000125</c:v>
                </c:pt>
                <c:pt idx="441">
                  <c:v>28.606500000000125</c:v>
                </c:pt>
                <c:pt idx="442">
                  <c:v>28.606600000000125</c:v>
                </c:pt>
                <c:pt idx="443">
                  <c:v>28.606700000000124</c:v>
                </c:pt>
                <c:pt idx="444">
                  <c:v>28.606800000000124</c:v>
                </c:pt>
                <c:pt idx="445">
                  <c:v>28.606900000000124</c:v>
                </c:pt>
                <c:pt idx="446">
                  <c:v>28.607000000000124</c:v>
                </c:pt>
                <c:pt idx="447">
                  <c:v>28.607100000000123</c:v>
                </c:pt>
                <c:pt idx="448">
                  <c:v>28.607200000000123</c:v>
                </c:pt>
                <c:pt idx="449">
                  <c:v>28.607300000000123</c:v>
                </c:pt>
                <c:pt idx="450">
                  <c:v>28.607400000000123</c:v>
                </c:pt>
                <c:pt idx="451">
                  <c:v>28.607500000000122</c:v>
                </c:pt>
                <c:pt idx="452">
                  <c:v>28.607600000000122</c:v>
                </c:pt>
                <c:pt idx="453">
                  <c:v>28.607700000000122</c:v>
                </c:pt>
                <c:pt idx="454">
                  <c:v>28.607800000000122</c:v>
                </c:pt>
                <c:pt idx="455">
                  <c:v>28.607900000000122</c:v>
                </c:pt>
                <c:pt idx="456">
                  <c:v>28.608000000000121</c:v>
                </c:pt>
                <c:pt idx="457">
                  <c:v>28.608100000000121</c:v>
                </c:pt>
                <c:pt idx="458">
                  <c:v>28.608200000000121</c:v>
                </c:pt>
                <c:pt idx="459">
                  <c:v>28.608300000000121</c:v>
                </c:pt>
                <c:pt idx="460">
                  <c:v>28.60840000000012</c:v>
                </c:pt>
                <c:pt idx="461">
                  <c:v>28.60850000000012</c:v>
                </c:pt>
                <c:pt idx="462">
                  <c:v>28.60860000000012</c:v>
                </c:pt>
                <c:pt idx="463">
                  <c:v>28.60870000000012</c:v>
                </c:pt>
                <c:pt idx="464">
                  <c:v>28.608800000000119</c:v>
                </c:pt>
                <c:pt idx="465">
                  <c:v>28.608900000000119</c:v>
                </c:pt>
                <c:pt idx="466">
                  <c:v>28.609000000000119</c:v>
                </c:pt>
                <c:pt idx="467">
                  <c:v>28.609100000000119</c:v>
                </c:pt>
                <c:pt idx="468">
                  <c:v>28.609200000000119</c:v>
                </c:pt>
                <c:pt idx="469">
                  <c:v>28.609300000000118</c:v>
                </c:pt>
                <c:pt idx="470">
                  <c:v>28.609400000000118</c:v>
                </c:pt>
                <c:pt idx="471">
                  <c:v>28.609500000000118</c:v>
                </c:pt>
                <c:pt idx="472">
                  <c:v>28.609600000000118</c:v>
                </c:pt>
                <c:pt idx="473">
                  <c:v>28.609700000000117</c:v>
                </c:pt>
                <c:pt idx="474">
                  <c:v>28.609800000000117</c:v>
                </c:pt>
                <c:pt idx="475">
                  <c:v>28.609900000000117</c:v>
                </c:pt>
                <c:pt idx="476">
                  <c:v>28.610000000000117</c:v>
                </c:pt>
                <c:pt idx="477">
                  <c:v>28.610100000000116</c:v>
                </c:pt>
                <c:pt idx="478">
                  <c:v>28.610200000000116</c:v>
                </c:pt>
                <c:pt idx="479">
                  <c:v>28.610300000000116</c:v>
                </c:pt>
                <c:pt idx="480">
                  <c:v>28.610400000000116</c:v>
                </c:pt>
                <c:pt idx="481">
                  <c:v>28.610500000000116</c:v>
                </c:pt>
                <c:pt idx="482">
                  <c:v>28.610600000000115</c:v>
                </c:pt>
                <c:pt idx="483">
                  <c:v>28.610700000000115</c:v>
                </c:pt>
                <c:pt idx="484">
                  <c:v>28.610800000000115</c:v>
                </c:pt>
                <c:pt idx="485">
                  <c:v>28.610900000000115</c:v>
                </c:pt>
                <c:pt idx="486">
                  <c:v>28.611000000000114</c:v>
                </c:pt>
                <c:pt idx="487">
                  <c:v>28.611100000000114</c:v>
                </c:pt>
                <c:pt idx="488">
                  <c:v>28.611200000000114</c:v>
                </c:pt>
                <c:pt idx="489">
                  <c:v>28.611300000000114</c:v>
                </c:pt>
                <c:pt idx="490">
                  <c:v>28.611400000000113</c:v>
                </c:pt>
                <c:pt idx="491">
                  <c:v>28.611500000000113</c:v>
                </c:pt>
                <c:pt idx="492">
                  <c:v>28.611600000000113</c:v>
                </c:pt>
                <c:pt idx="493">
                  <c:v>28.611700000000113</c:v>
                </c:pt>
                <c:pt idx="494">
                  <c:v>28.611800000000112</c:v>
                </c:pt>
                <c:pt idx="495">
                  <c:v>28.611900000000112</c:v>
                </c:pt>
                <c:pt idx="496">
                  <c:v>28.612000000000112</c:v>
                </c:pt>
                <c:pt idx="497">
                  <c:v>28.612100000000112</c:v>
                </c:pt>
                <c:pt idx="498">
                  <c:v>28.612200000000112</c:v>
                </c:pt>
                <c:pt idx="499">
                  <c:v>28.612300000000111</c:v>
                </c:pt>
                <c:pt idx="500">
                  <c:v>28.612400000000111</c:v>
                </c:pt>
                <c:pt idx="501">
                  <c:v>28.612500000000111</c:v>
                </c:pt>
                <c:pt idx="502">
                  <c:v>28.612600000000111</c:v>
                </c:pt>
                <c:pt idx="503">
                  <c:v>28.61270000000011</c:v>
                </c:pt>
                <c:pt idx="504">
                  <c:v>28.61280000000011</c:v>
                </c:pt>
                <c:pt idx="505">
                  <c:v>28.61290000000011</c:v>
                </c:pt>
                <c:pt idx="506">
                  <c:v>28.61300000000011</c:v>
                </c:pt>
                <c:pt idx="507">
                  <c:v>28.613100000000109</c:v>
                </c:pt>
                <c:pt idx="508">
                  <c:v>28.613200000000109</c:v>
                </c:pt>
                <c:pt idx="509">
                  <c:v>28.613300000000109</c:v>
                </c:pt>
                <c:pt idx="510">
                  <c:v>28.613400000000109</c:v>
                </c:pt>
                <c:pt idx="511">
                  <c:v>28.613500000000109</c:v>
                </c:pt>
                <c:pt idx="512">
                  <c:v>28.613600000000108</c:v>
                </c:pt>
                <c:pt idx="513">
                  <c:v>28.613700000000108</c:v>
                </c:pt>
                <c:pt idx="514">
                  <c:v>28.613800000000108</c:v>
                </c:pt>
                <c:pt idx="515">
                  <c:v>28.613900000000108</c:v>
                </c:pt>
                <c:pt idx="516">
                  <c:v>28.614000000000107</c:v>
                </c:pt>
                <c:pt idx="517">
                  <c:v>28.614100000000107</c:v>
                </c:pt>
                <c:pt idx="518">
                  <c:v>28.614200000000107</c:v>
                </c:pt>
                <c:pt idx="519">
                  <c:v>28.614300000000107</c:v>
                </c:pt>
                <c:pt idx="520">
                  <c:v>28.614400000000106</c:v>
                </c:pt>
                <c:pt idx="521">
                  <c:v>28.614500000000106</c:v>
                </c:pt>
                <c:pt idx="522">
                  <c:v>28.614600000000106</c:v>
                </c:pt>
                <c:pt idx="523">
                  <c:v>28.614700000000106</c:v>
                </c:pt>
                <c:pt idx="524">
                  <c:v>28.614800000000105</c:v>
                </c:pt>
                <c:pt idx="525">
                  <c:v>28.614900000000105</c:v>
                </c:pt>
                <c:pt idx="526">
                  <c:v>28.615000000000105</c:v>
                </c:pt>
                <c:pt idx="527">
                  <c:v>28.615100000000105</c:v>
                </c:pt>
                <c:pt idx="528">
                  <c:v>28.615200000000105</c:v>
                </c:pt>
                <c:pt idx="529">
                  <c:v>28.615300000000104</c:v>
                </c:pt>
                <c:pt idx="530">
                  <c:v>28.615400000000104</c:v>
                </c:pt>
                <c:pt idx="531">
                  <c:v>28.615500000000104</c:v>
                </c:pt>
                <c:pt idx="532">
                  <c:v>28.615600000000104</c:v>
                </c:pt>
                <c:pt idx="533">
                  <c:v>28.615700000000103</c:v>
                </c:pt>
                <c:pt idx="534">
                  <c:v>28.615800000000103</c:v>
                </c:pt>
                <c:pt idx="535">
                  <c:v>28.615900000000103</c:v>
                </c:pt>
                <c:pt idx="536">
                  <c:v>28.616000000000103</c:v>
                </c:pt>
                <c:pt idx="537">
                  <c:v>28.616100000000102</c:v>
                </c:pt>
                <c:pt idx="538">
                  <c:v>28.616200000000102</c:v>
                </c:pt>
                <c:pt idx="539">
                  <c:v>28.616300000000102</c:v>
                </c:pt>
                <c:pt idx="540">
                  <c:v>28.616400000000102</c:v>
                </c:pt>
                <c:pt idx="541">
                  <c:v>28.616500000000102</c:v>
                </c:pt>
                <c:pt idx="542">
                  <c:v>28.616600000000101</c:v>
                </c:pt>
                <c:pt idx="543">
                  <c:v>28.616700000000101</c:v>
                </c:pt>
                <c:pt idx="544">
                  <c:v>28.616800000000101</c:v>
                </c:pt>
                <c:pt idx="545">
                  <c:v>28.616900000000101</c:v>
                </c:pt>
                <c:pt idx="546">
                  <c:v>28.6170000000001</c:v>
                </c:pt>
                <c:pt idx="547">
                  <c:v>28.6171000000001</c:v>
                </c:pt>
                <c:pt idx="548">
                  <c:v>28.6172000000001</c:v>
                </c:pt>
                <c:pt idx="549">
                  <c:v>28.6173000000001</c:v>
                </c:pt>
                <c:pt idx="550">
                  <c:v>28.617400000000099</c:v>
                </c:pt>
                <c:pt idx="551">
                  <c:v>28.617500000000099</c:v>
                </c:pt>
                <c:pt idx="552">
                  <c:v>28.617600000000099</c:v>
                </c:pt>
                <c:pt idx="553">
                  <c:v>28.617700000000099</c:v>
                </c:pt>
                <c:pt idx="554">
                  <c:v>28.617800000000098</c:v>
                </c:pt>
                <c:pt idx="555">
                  <c:v>28.617900000000098</c:v>
                </c:pt>
                <c:pt idx="556">
                  <c:v>28.618000000000098</c:v>
                </c:pt>
                <c:pt idx="557">
                  <c:v>28.618100000000098</c:v>
                </c:pt>
                <c:pt idx="558">
                  <c:v>28.618200000000098</c:v>
                </c:pt>
                <c:pt idx="559">
                  <c:v>28.618300000000097</c:v>
                </c:pt>
                <c:pt idx="560">
                  <c:v>28.618400000000097</c:v>
                </c:pt>
                <c:pt idx="561">
                  <c:v>28.618500000000097</c:v>
                </c:pt>
                <c:pt idx="562">
                  <c:v>28.618600000000097</c:v>
                </c:pt>
                <c:pt idx="563">
                  <c:v>28.618700000000096</c:v>
                </c:pt>
                <c:pt idx="564">
                  <c:v>28.618800000000096</c:v>
                </c:pt>
                <c:pt idx="565">
                  <c:v>28.618900000000096</c:v>
                </c:pt>
                <c:pt idx="566">
                  <c:v>28.619000000000096</c:v>
                </c:pt>
                <c:pt idx="567">
                  <c:v>28.619100000000095</c:v>
                </c:pt>
                <c:pt idx="568">
                  <c:v>28.619200000000095</c:v>
                </c:pt>
                <c:pt idx="569">
                  <c:v>28.619300000000095</c:v>
                </c:pt>
                <c:pt idx="570">
                  <c:v>28.619400000000095</c:v>
                </c:pt>
                <c:pt idx="571">
                  <c:v>28.619500000000095</c:v>
                </c:pt>
                <c:pt idx="572">
                  <c:v>28.619600000000094</c:v>
                </c:pt>
                <c:pt idx="573">
                  <c:v>28.619700000000094</c:v>
                </c:pt>
                <c:pt idx="574">
                  <c:v>28.619800000000094</c:v>
                </c:pt>
                <c:pt idx="575">
                  <c:v>28.619900000000094</c:v>
                </c:pt>
                <c:pt idx="576">
                  <c:v>28.620000000000093</c:v>
                </c:pt>
                <c:pt idx="577">
                  <c:v>28.620100000000093</c:v>
                </c:pt>
                <c:pt idx="578">
                  <c:v>28.620200000000093</c:v>
                </c:pt>
                <c:pt idx="579">
                  <c:v>28.620300000000093</c:v>
                </c:pt>
                <c:pt idx="580">
                  <c:v>28.620400000000092</c:v>
                </c:pt>
                <c:pt idx="581">
                  <c:v>28.620500000000092</c:v>
                </c:pt>
                <c:pt idx="582">
                  <c:v>28.620600000000092</c:v>
                </c:pt>
                <c:pt idx="583">
                  <c:v>28.620700000000092</c:v>
                </c:pt>
                <c:pt idx="584">
                  <c:v>28.620800000000092</c:v>
                </c:pt>
                <c:pt idx="585">
                  <c:v>28.620900000000091</c:v>
                </c:pt>
                <c:pt idx="586">
                  <c:v>28.621000000000091</c:v>
                </c:pt>
                <c:pt idx="587">
                  <c:v>28.621100000000091</c:v>
                </c:pt>
                <c:pt idx="588">
                  <c:v>28.621200000000091</c:v>
                </c:pt>
                <c:pt idx="589">
                  <c:v>28.62130000000009</c:v>
                </c:pt>
                <c:pt idx="590">
                  <c:v>28.62140000000009</c:v>
                </c:pt>
                <c:pt idx="591">
                  <c:v>28.62150000000009</c:v>
                </c:pt>
                <c:pt idx="592">
                  <c:v>28.62160000000009</c:v>
                </c:pt>
                <c:pt idx="593">
                  <c:v>28.621700000000089</c:v>
                </c:pt>
                <c:pt idx="594">
                  <c:v>28.621800000000089</c:v>
                </c:pt>
                <c:pt idx="595">
                  <c:v>28.621900000000089</c:v>
                </c:pt>
                <c:pt idx="596">
                  <c:v>28.622000000000089</c:v>
                </c:pt>
                <c:pt idx="597">
                  <c:v>28.622100000000088</c:v>
                </c:pt>
                <c:pt idx="598">
                  <c:v>28.622200000000088</c:v>
                </c:pt>
                <c:pt idx="599">
                  <c:v>28.622300000000088</c:v>
                </c:pt>
                <c:pt idx="600">
                  <c:v>28.622400000000088</c:v>
                </c:pt>
                <c:pt idx="601">
                  <c:v>28.622500000000088</c:v>
                </c:pt>
                <c:pt idx="602">
                  <c:v>28.622600000000087</c:v>
                </c:pt>
                <c:pt idx="603">
                  <c:v>28.622700000000087</c:v>
                </c:pt>
                <c:pt idx="604">
                  <c:v>28.622800000000087</c:v>
                </c:pt>
                <c:pt idx="605">
                  <c:v>28.622900000000087</c:v>
                </c:pt>
                <c:pt idx="606">
                  <c:v>28.623000000000086</c:v>
                </c:pt>
                <c:pt idx="607">
                  <c:v>28.623100000000086</c:v>
                </c:pt>
                <c:pt idx="608">
                  <c:v>28.623200000000086</c:v>
                </c:pt>
                <c:pt idx="609">
                  <c:v>28.623300000000086</c:v>
                </c:pt>
                <c:pt idx="610">
                  <c:v>28.623400000000085</c:v>
                </c:pt>
                <c:pt idx="611">
                  <c:v>28.623500000000085</c:v>
                </c:pt>
                <c:pt idx="612">
                  <c:v>28.623600000000085</c:v>
                </c:pt>
                <c:pt idx="613">
                  <c:v>28.623700000000085</c:v>
                </c:pt>
                <c:pt idx="614">
                  <c:v>28.623800000000085</c:v>
                </c:pt>
                <c:pt idx="615">
                  <c:v>28.623900000000084</c:v>
                </c:pt>
                <c:pt idx="616">
                  <c:v>28.624000000000084</c:v>
                </c:pt>
                <c:pt idx="617">
                  <c:v>28.624100000000084</c:v>
                </c:pt>
                <c:pt idx="618">
                  <c:v>28.624200000000084</c:v>
                </c:pt>
                <c:pt idx="619">
                  <c:v>28.624300000000083</c:v>
                </c:pt>
                <c:pt idx="620">
                  <c:v>28.624400000000083</c:v>
                </c:pt>
                <c:pt idx="621">
                  <c:v>28.624500000000083</c:v>
                </c:pt>
                <c:pt idx="622">
                  <c:v>28.624600000000083</c:v>
                </c:pt>
                <c:pt idx="623">
                  <c:v>28.624700000000082</c:v>
                </c:pt>
                <c:pt idx="624">
                  <c:v>28.624800000000082</c:v>
                </c:pt>
                <c:pt idx="625">
                  <c:v>28.624900000000082</c:v>
                </c:pt>
                <c:pt idx="626">
                  <c:v>28.625000000000082</c:v>
                </c:pt>
                <c:pt idx="627">
                  <c:v>28.625100000000081</c:v>
                </c:pt>
                <c:pt idx="628">
                  <c:v>28.625200000000081</c:v>
                </c:pt>
                <c:pt idx="629">
                  <c:v>28.625300000000081</c:v>
                </c:pt>
                <c:pt idx="630">
                  <c:v>28.625400000000081</c:v>
                </c:pt>
                <c:pt idx="631">
                  <c:v>28.625500000000081</c:v>
                </c:pt>
                <c:pt idx="632">
                  <c:v>28.62560000000008</c:v>
                </c:pt>
                <c:pt idx="633">
                  <c:v>28.62570000000008</c:v>
                </c:pt>
                <c:pt idx="634">
                  <c:v>28.62580000000008</c:v>
                </c:pt>
                <c:pt idx="635">
                  <c:v>28.62590000000008</c:v>
                </c:pt>
                <c:pt idx="636">
                  <c:v>28.626000000000079</c:v>
                </c:pt>
                <c:pt idx="637">
                  <c:v>28.626100000000079</c:v>
                </c:pt>
                <c:pt idx="638">
                  <c:v>28.626200000000079</c:v>
                </c:pt>
                <c:pt idx="639">
                  <c:v>28.626300000000079</c:v>
                </c:pt>
                <c:pt idx="640">
                  <c:v>28.626400000000078</c:v>
                </c:pt>
                <c:pt idx="641">
                  <c:v>28.626500000000078</c:v>
                </c:pt>
                <c:pt idx="642">
                  <c:v>28.626600000000078</c:v>
                </c:pt>
                <c:pt idx="643">
                  <c:v>28.626700000000078</c:v>
                </c:pt>
                <c:pt idx="644">
                  <c:v>28.626800000000078</c:v>
                </c:pt>
                <c:pt idx="645">
                  <c:v>28.626900000000077</c:v>
                </c:pt>
                <c:pt idx="646">
                  <c:v>28.627000000000077</c:v>
                </c:pt>
                <c:pt idx="647">
                  <c:v>28.627100000000077</c:v>
                </c:pt>
                <c:pt idx="648">
                  <c:v>28.627200000000077</c:v>
                </c:pt>
                <c:pt idx="649">
                  <c:v>28.627300000000076</c:v>
                </c:pt>
                <c:pt idx="650">
                  <c:v>28.627400000000076</c:v>
                </c:pt>
                <c:pt idx="651">
                  <c:v>28.627500000000076</c:v>
                </c:pt>
                <c:pt idx="652">
                  <c:v>28.627600000000076</c:v>
                </c:pt>
                <c:pt idx="653">
                  <c:v>28.627700000000075</c:v>
                </c:pt>
                <c:pt idx="654">
                  <c:v>28.627800000000075</c:v>
                </c:pt>
                <c:pt idx="655">
                  <c:v>28.627900000000075</c:v>
                </c:pt>
                <c:pt idx="656">
                  <c:v>28.628000000000075</c:v>
                </c:pt>
                <c:pt idx="657">
                  <c:v>28.628100000000074</c:v>
                </c:pt>
                <c:pt idx="658">
                  <c:v>28.628200000000074</c:v>
                </c:pt>
                <c:pt idx="659">
                  <c:v>28.628300000000074</c:v>
                </c:pt>
                <c:pt idx="660">
                  <c:v>28.628400000000074</c:v>
                </c:pt>
                <c:pt idx="661">
                  <c:v>28.628500000000074</c:v>
                </c:pt>
                <c:pt idx="662">
                  <c:v>28.628600000000073</c:v>
                </c:pt>
                <c:pt idx="663">
                  <c:v>28.628700000000073</c:v>
                </c:pt>
                <c:pt idx="664">
                  <c:v>28.628800000000073</c:v>
                </c:pt>
                <c:pt idx="665">
                  <c:v>28.628900000000073</c:v>
                </c:pt>
                <c:pt idx="666">
                  <c:v>28.629000000000072</c:v>
                </c:pt>
                <c:pt idx="667">
                  <c:v>28.629100000000072</c:v>
                </c:pt>
                <c:pt idx="668">
                  <c:v>28.629200000000072</c:v>
                </c:pt>
                <c:pt idx="669">
                  <c:v>28.629300000000072</c:v>
                </c:pt>
                <c:pt idx="670">
                  <c:v>28.629400000000071</c:v>
                </c:pt>
                <c:pt idx="671">
                  <c:v>28.629500000000071</c:v>
                </c:pt>
                <c:pt idx="672">
                  <c:v>28.629600000000071</c:v>
                </c:pt>
                <c:pt idx="673">
                  <c:v>28.629700000000071</c:v>
                </c:pt>
                <c:pt idx="674">
                  <c:v>28.629800000000071</c:v>
                </c:pt>
                <c:pt idx="675">
                  <c:v>28.62990000000007</c:v>
                </c:pt>
                <c:pt idx="676">
                  <c:v>28.63000000000007</c:v>
                </c:pt>
                <c:pt idx="677">
                  <c:v>28.63010000000007</c:v>
                </c:pt>
                <c:pt idx="678">
                  <c:v>28.63020000000007</c:v>
                </c:pt>
                <c:pt idx="679">
                  <c:v>28.630300000000069</c:v>
                </c:pt>
                <c:pt idx="680">
                  <c:v>28.630400000000069</c:v>
                </c:pt>
                <c:pt idx="681">
                  <c:v>28.630500000000069</c:v>
                </c:pt>
                <c:pt idx="682">
                  <c:v>28.630600000000069</c:v>
                </c:pt>
                <c:pt idx="683">
                  <c:v>28.630700000000068</c:v>
                </c:pt>
                <c:pt idx="684">
                  <c:v>28.630800000000068</c:v>
                </c:pt>
                <c:pt idx="685">
                  <c:v>28.630900000000068</c:v>
                </c:pt>
                <c:pt idx="686">
                  <c:v>28.631000000000068</c:v>
                </c:pt>
                <c:pt idx="687">
                  <c:v>28.631100000000067</c:v>
                </c:pt>
                <c:pt idx="688">
                  <c:v>28.631200000000067</c:v>
                </c:pt>
                <c:pt idx="689">
                  <c:v>28.631300000000067</c:v>
                </c:pt>
                <c:pt idx="690">
                  <c:v>28.631400000000067</c:v>
                </c:pt>
                <c:pt idx="691">
                  <c:v>28.631500000000067</c:v>
                </c:pt>
                <c:pt idx="692">
                  <c:v>28.631600000000066</c:v>
                </c:pt>
                <c:pt idx="693">
                  <c:v>28.631700000000066</c:v>
                </c:pt>
                <c:pt idx="694">
                  <c:v>28.631800000000066</c:v>
                </c:pt>
                <c:pt idx="695">
                  <c:v>28.631900000000066</c:v>
                </c:pt>
                <c:pt idx="696">
                  <c:v>28.632000000000065</c:v>
                </c:pt>
                <c:pt idx="697">
                  <c:v>28.632100000000065</c:v>
                </c:pt>
                <c:pt idx="698">
                  <c:v>28.632200000000065</c:v>
                </c:pt>
                <c:pt idx="699">
                  <c:v>28.632300000000065</c:v>
                </c:pt>
                <c:pt idx="700">
                  <c:v>28.632400000000064</c:v>
                </c:pt>
                <c:pt idx="701">
                  <c:v>28.632500000000064</c:v>
                </c:pt>
                <c:pt idx="702">
                  <c:v>28.632600000000064</c:v>
                </c:pt>
                <c:pt idx="703">
                  <c:v>28.632700000000064</c:v>
                </c:pt>
                <c:pt idx="704">
                  <c:v>28.632800000000064</c:v>
                </c:pt>
                <c:pt idx="705">
                  <c:v>28.632900000000063</c:v>
                </c:pt>
                <c:pt idx="706">
                  <c:v>28.633000000000063</c:v>
                </c:pt>
                <c:pt idx="707">
                  <c:v>28.633100000000063</c:v>
                </c:pt>
                <c:pt idx="708">
                  <c:v>28.633200000000063</c:v>
                </c:pt>
                <c:pt idx="709">
                  <c:v>28.633300000000062</c:v>
                </c:pt>
                <c:pt idx="710">
                  <c:v>28.633400000000062</c:v>
                </c:pt>
                <c:pt idx="711">
                  <c:v>28.633500000000062</c:v>
                </c:pt>
                <c:pt idx="712">
                  <c:v>28.633600000000062</c:v>
                </c:pt>
                <c:pt idx="713">
                  <c:v>28.633700000000061</c:v>
                </c:pt>
                <c:pt idx="714">
                  <c:v>28.633800000000061</c:v>
                </c:pt>
                <c:pt idx="715">
                  <c:v>28.633900000000061</c:v>
                </c:pt>
                <c:pt idx="716">
                  <c:v>28.634000000000061</c:v>
                </c:pt>
                <c:pt idx="717">
                  <c:v>28.634100000000061</c:v>
                </c:pt>
                <c:pt idx="718">
                  <c:v>28.63420000000006</c:v>
                </c:pt>
                <c:pt idx="719">
                  <c:v>28.63430000000006</c:v>
                </c:pt>
                <c:pt idx="720">
                  <c:v>28.63440000000006</c:v>
                </c:pt>
                <c:pt idx="721">
                  <c:v>28.63450000000006</c:v>
                </c:pt>
                <c:pt idx="722">
                  <c:v>28.634600000000059</c:v>
                </c:pt>
                <c:pt idx="723">
                  <c:v>28.634700000000059</c:v>
                </c:pt>
                <c:pt idx="724">
                  <c:v>28.634800000000059</c:v>
                </c:pt>
                <c:pt idx="725">
                  <c:v>28.634900000000059</c:v>
                </c:pt>
                <c:pt idx="726">
                  <c:v>28.635000000000058</c:v>
                </c:pt>
                <c:pt idx="727">
                  <c:v>28.635100000000058</c:v>
                </c:pt>
                <c:pt idx="728">
                  <c:v>28.635200000000058</c:v>
                </c:pt>
                <c:pt idx="729">
                  <c:v>28.635300000000058</c:v>
                </c:pt>
                <c:pt idx="730">
                  <c:v>28.635400000000057</c:v>
                </c:pt>
                <c:pt idx="731">
                  <c:v>28.635500000000057</c:v>
                </c:pt>
                <c:pt idx="732">
                  <c:v>28.635600000000057</c:v>
                </c:pt>
                <c:pt idx="733">
                  <c:v>28.635700000000057</c:v>
                </c:pt>
                <c:pt idx="734">
                  <c:v>28.635800000000057</c:v>
                </c:pt>
                <c:pt idx="735">
                  <c:v>28.635900000000056</c:v>
                </c:pt>
                <c:pt idx="736">
                  <c:v>28.636000000000056</c:v>
                </c:pt>
                <c:pt idx="737">
                  <c:v>28.636100000000056</c:v>
                </c:pt>
                <c:pt idx="738">
                  <c:v>28.636200000000056</c:v>
                </c:pt>
                <c:pt idx="739">
                  <c:v>28.636300000000055</c:v>
                </c:pt>
                <c:pt idx="740">
                  <c:v>28.636400000000055</c:v>
                </c:pt>
                <c:pt idx="741">
                  <c:v>28.636500000000055</c:v>
                </c:pt>
                <c:pt idx="742">
                  <c:v>28.636600000000055</c:v>
                </c:pt>
                <c:pt idx="743">
                  <c:v>28.636700000000054</c:v>
                </c:pt>
                <c:pt idx="744">
                  <c:v>28.636800000000054</c:v>
                </c:pt>
                <c:pt idx="745">
                  <c:v>28.636900000000054</c:v>
                </c:pt>
                <c:pt idx="746">
                  <c:v>28.637000000000054</c:v>
                </c:pt>
                <c:pt idx="747">
                  <c:v>28.637100000000054</c:v>
                </c:pt>
                <c:pt idx="748">
                  <c:v>28.637200000000053</c:v>
                </c:pt>
                <c:pt idx="749">
                  <c:v>28.637300000000053</c:v>
                </c:pt>
                <c:pt idx="750">
                  <c:v>28.637400000000053</c:v>
                </c:pt>
                <c:pt idx="751">
                  <c:v>28.637500000000053</c:v>
                </c:pt>
                <c:pt idx="752">
                  <c:v>28.637600000000052</c:v>
                </c:pt>
                <c:pt idx="753">
                  <c:v>28.637700000000052</c:v>
                </c:pt>
                <c:pt idx="754">
                  <c:v>28.637800000000052</c:v>
                </c:pt>
                <c:pt idx="755">
                  <c:v>28.637900000000052</c:v>
                </c:pt>
                <c:pt idx="756">
                  <c:v>28.638000000000051</c:v>
                </c:pt>
                <c:pt idx="757">
                  <c:v>28.638100000000051</c:v>
                </c:pt>
                <c:pt idx="758">
                  <c:v>28.638200000000051</c:v>
                </c:pt>
                <c:pt idx="759">
                  <c:v>28.638300000000051</c:v>
                </c:pt>
                <c:pt idx="760">
                  <c:v>28.63840000000005</c:v>
                </c:pt>
                <c:pt idx="761">
                  <c:v>28.63850000000005</c:v>
                </c:pt>
                <c:pt idx="762">
                  <c:v>28.63860000000005</c:v>
                </c:pt>
                <c:pt idx="763">
                  <c:v>28.63870000000005</c:v>
                </c:pt>
                <c:pt idx="764">
                  <c:v>28.63880000000005</c:v>
                </c:pt>
                <c:pt idx="765">
                  <c:v>28.638900000000049</c:v>
                </c:pt>
                <c:pt idx="766">
                  <c:v>28.639000000000049</c:v>
                </c:pt>
                <c:pt idx="767">
                  <c:v>28.639100000000049</c:v>
                </c:pt>
                <c:pt idx="768">
                  <c:v>28.639200000000049</c:v>
                </c:pt>
                <c:pt idx="769">
                  <c:v>28.639300000000048</c:v>
                </c:pt>
                <c:pt idx="770">
                  <c:v>28.639400000000048</c:v>
                </c:pt>
                <c:pt idx="771">
                  <c:v>28.639500000000048</c:v>
                </c:pt>
                <c:pt idx="772">
                  <c:v>28.639600000000048</c:v>
                </c:pt>
                <c:pt idx="773">
                  <c:v>28.639700000000047</c:v>
                </c:pt>
                <c:pt idx="774">
                  <c:v>28.639800000000047</c:v>
                </c:pt>
                <c:pt idx="775">
                  <c:v>28.639900000000047</c:v>
                </c:pt>
                <c:pt idx="776">
                  <c:v>28.640000000000047</c:v>
                </c:pt>
                <c:pt idx="777">
                  <c:v>28.640100000000047</c:v>
                </c:pt>
                <c:pt idx="778">
                  <c:v>28.640200000000046</c:v>
                </c:pt>
                <c:pt idx="779">
                  <c:v>28.640300000000046</c:v>
                </c:pt>
                <c:pt idx="780">
                  <c:v>28.640400000000046</c:v>
                </c:pt>
                <c:pt idx="781">
                  <c:v>28.640500000000046</c:v>
                </c:pt>
                <c:pt idx="782">
                  <c:v>28.640600000000045</c:v>
                </c:pt>
                <c:pt idx="783">
                  <c:v>28.640700000000045</c:v>
                </c:pt>
                <c:pt idx="784">
                  <c:v>28.640800000000045</c:v>
                </c:pt>
                <c:pt idx="785">
                  <c:v>28.640900000000045</c:v>
                </c:pt>
                <c:pt idx="786">
                  <c:v>28.641000000000044</c:v>
                </c:pt>
                <c:pt idx="787">
                  <c:v>28.641100000000044</c:v>
                </c:pt>
                <c:pt idx="788">
                  <c:v>28.641200000000044</c:v>
                </c:pt>
                <c:pt idx="789">
                  <c:v>28.641300000000044</c:v>
                </c:pt>
                <c:pt idx="790">
                  <c:v>28.641400000000043</c:v>
                </c:pt>
                <c:pt idx="791">
                  <c:v>28.641500000000043</c:v>
                </c:pt>
                <c:pt idx="792">
                  <c:v>28.641600000000043</c:v>
                </c:pt>
                <c:pt idx="793">
                  <c:v>28.641700000000043</c:v>
                </c:pt>
                <c:pt idx="794">
                  <c:v>28.641800000000043</c:v>
                </c:pt>
                <c:pt idx="795">
                  <c:v>28.641900000000042</c:v>
                </c:pt>
                <c:pt idx="796">
                  <c:v>28.642000000000042</c:v>
                </c:pt>
                <c:pt idx="797">
                  <c:v>28.642100000000042</c:v>
                </c:pt>
                <c:pt idx="798">
                  <c:v>28.642200000000042</c:v>
                </c:pt>
                <c:pt idx="799">
                  <c:v>28.642300000000041</c:v>
                </c:pt>
                <c:pt idx="800">
                  <c:v>28.642400000000041</c:v>
                </c:pt>
                <c:pt idx="801">
                  <c:v>28.642500000000041</c:v>
                </c:pt>
                <c:pt idx="802">
                  <c:v>28.642600000000041</c:v>
                </c:pt>
                <c:pt idx="803">
                  <c:v>28.64270000000004</c:v>
                </c:pt>
                <c:pt idx="804">
                  <c:v>28.64280000000004</c:v>
                </c:pt>
                <c:pt idx="805">
                  <c:v>28.64290000000004</c:v>
                </c:pt>
                <c:pt idx="806">
                  <c:v>28.64300000000004</c:v>
                </c:pt>
                <c:pt idx="807">
                  <c:v>28.64310000000004</c:v>
                </c:pt>
                <c:pt idx="808">
                  <c:v>28.643200000000039</c:v>
                </c:pt>
                <c:pt idx="809">
                  <c:v>28.643300000000039</c:v>
                </c:pt>
                <c:pt idx="810">
                  <c:v>28.643400000000039</c:v>
                </c:pt>
                <c:pt idx="811">
                  <c:v>28.643500000000039</c:v>
                </c:pt>
                <c:pt idx="812">
                  <c:v>28.643600000000038</c:v>
                </c:pt>
                <c:pt idx="813">
                  <c:v>28.643700000000038</c:v>
                </c:pt>
                <c:pt idx="814">
                  <c:v>28.643800000000038</c:v>
                </c:pt>
                <c:pt idx="815">
                  <c:v>28.643900000000038</c:v>
                </c:pt>
                <c:pt idx="816">
                  <c:v>28.644000000000037</c:v>
                </c:pt>
                <c:pt idx="817">
                  <c:v>28.644100000000037</c:v>
                </c:pt>
                <c:pt idx="818">
                  <c:v>28.644200000000037</c:v>
                </c:pt>
                <c:pt idx="819">
                  <c:v>28.644300000000037</c:v>
                </c:pt>
                <c:pt idx="820">
                  <c:v>28.644400000000036</c:v>
                </c:pt>
                <c:pt idx="821">
                  <c:v>28.644500000000036</c:v>
                </c:pt>
                <c:pt idx="822">
                  <c:v>28.644600000000036</c:v>
                </c:pt>
                <c:pt idx="823">
                  <c:v>28.644700000000036</c:v>
                </c:pt>
                <c:pt idx="824">
                  <c:v>28.644800000000036</c:v>
                </c:pt>
                <c:pt idx="825">
                  <c:v>28.644900000000035</c:v>
                </c:pt>
                <c:pt idx="826">
                  <c:v>28.645000000000035</c:v>
                </c:pt>
                <c:pt idx="827">
                  <c:v>28.645100000000035</c:v>
                </c:pt>
                <c:pt idx="828">
                  <c:v>28.645200000000035</c:v>
                </c:pt>
                <c:pt idx="829">
                  <c:v>28.645300000000034</c:v>
                </c:pt>
                <c:pt idx="830">
                  <c:v>28.645400000000034</c:v>
                </c:pt>
                <c:pt idx="831">
                  <c:v>28.645500000000034</c:v>
                </c:pt>
                <c:pt idx="832">
                  <c:v>28.645600000000034</c:v>
                </c:pt>
                <c:pt idx="833">
                  <c:v>28.645700000000033</c:v>
                </c:pt>
                <c:pt idx="834">
                  <c:v>28.645800000000033</c:v>
                </c:pt>
                <c:pt idx="835">
                  <c:v>28.645900000000033</c:v>
                </c:pt>
                <c:pt idx="836">
                  <c:v>28.646000000000033</c:v>
                </c:pt>
                <c:pt idx="837">
                  <c:v>28.646100000000033</c:v>
                </c:pt>
                <c:pt idx="838">
                  <c:v>28.646200000000032</c:v>
                </c:pt>
                <c:pt idx="839">
                  <c:v>28.646300000000032</c:v>
                </c:pt>
                <c:pt idx="840">
                  <c:v>28.646400000000032</c:v>
                </c:pt>
                <c:pt idx="841">
                  <c:v>28.646500000000032</c:v>
                </c:pt>
                <c:pt idx="842">
                  <c:v>28.646600000000031</c:v>
                </c:pt>
                <c:pt idx="843">
                  <c:v>28.646700000000031</c:v>
                </c:pt>
                <c:pt idx="844">
                  <c:v>28.646800000000031</c:v>
                </c:pt>
                <c:pt idx="845">
                  <c:v>28.646900000000031</c:v>
                </c:pt>
                <c:pt idx="846">
                  <c:v>28.64700000000003</c:v>
                </c:pt>
                <c:pt idx="847">
                  <c:v>28.64710000000003</c:v>
                </c:pt>
                <c:pt idx="848">
                  <c:v>28.64720000000003</c:v>
                </c:pt>
                <c:pt idx="849">
                  <c:v>28.64730000000003</c:v>
                </c:pt>
                <c:pt idx="850">
                  <c:v>28.64740000000003</c:v>
                </c:pt>
                <c:pt idx="851">
                  <c:v>28.647500000000029</c:v>
                </c:pt>
                <c:pt idx="852">
                  <c:v>28.647600000000029</c:v>
                </c:pt>
                <c:pt idx="853">
                  <c:v>28.647700000000029</c:v>
                </c:pt>
                <c:pt idx="854">
                  <c:v>28.647800000000029</c:v>
                </c:pt>
                <c:pt idx="855">
                  <c:v>28.647900000000028</c:v>
                </c:pt>
                <c:pt idx="856">
                  <c:v>28.648000000000028</c:v>
                </c:pt>
                <c:pt idx="857">
                  <c:v>28.648100000000028</c:v>
                </c:pt>
                <c:pt idx="858">
                  <c:v>28.648200000000028</c:v>
                </c:pt>
                <c:pt idx="859">
                  <c:v>28.648300000000027</c:v>
                </c:pt>
                <c:pt idx="860">
                  <c:v>28.648400000000027</c:v>
                </c:pt>
                <c:pt idx="861">
                  <c:v>28.648500000000027</c:v>
                </c:pt>
                <c:pt idx="862">
                  <c:v>28.648600000000027</c:v>
                </c:pt>
                <c:pt idx="863">
                  <c:v>28.648700000000026</c:v>
                </c:pt>
                <c:pt idx="864">
                  <c:v>28.648800000000026</c:v>
                </c:pt>
                <c:pt idx="865">
                  <c:v>28.648900000000026</c:v>
                </c:pt>
                <c:pt idx="866">
                  <c:v>28.649000000000026</c:v>
                </c:pt>
                <c:pt idx="867">
                  <c:v>28.649100000000026</c:v>
                </c:pt>
                <c:pt idx="868">
                  <c:v>28.649200000000025</c:v>
                </c:pt>
                <c:pt idx="869">
                  <c:v>28.649300000000025</c:v>
                </c:pt>
                <c:pt idx="870">
                  <c:v>28.649400000000025</c:v>
                </c:pt>
                <c:pt idx="871">
                  <c:v>28.649500000000025</c:v>
                </c:pt>
                <c:pt idx="872">
                  <c:v>28.649600000000024</c:v>
                </c:pt>
                <c:pt idx="873">
                  <c:v>28.649700000000024</c:v>
                </c:pt>
                <c:pt idx="874">
                  <c:v>28.649800000000024</c:v>
                </c:pt>
                <c:pt idx="875">
                  <c:v>28.649900000000024</c:v>
                </c:pt>
                <c:pt idx="876">
                  <c:v>28.650000000000023</c:v>
                </c:pt>
                <c:pt idx="877">
                  <c:v>28.650100000000023</c:v>
                </c:pt>
                <c:pt idx="878">
                  <c:v>28.650200000000023</c:v>
                </c:pt>
                <c:pt idx="879">
                  <c:v>28.650300000000023</c:v>
                </c:pt>
                <c:pt idx="880">
                  <c:v>28.650400000000023</c:v>
                </c:pt>
                <c:pt idx="881">
                  <c:v>28.650500000000022</c:v>
                </c:pt>
                <c:pt idx="882">
                  <c:v>28.650600000000022</c:v>
                </c:pt>
                <c:pt idx="883">
                  <c:v>28.650700000000022</c:v>
                </c:pt>
                <c:pt idx="884">
                  <c:v>28.650800000000022</c:v>
                </c:pt>
                <c:pt idx="885">
                  <c:v>28.650900000000021</c:v>
                </c:pt>
                <c:pt idx="886">
                  <c:v>28.651000000000021</c:v>
                </c:pt>
                <c:pt idx="887">
                  <c:v>28.651100000000021</c:v>
                </c:pt>
                <c:pt idx="888">
                  <c:v>28.651200000000021</c:v>
                </c:pt>
                <c:pt idx="889">
                  <c:v>28.65130000000002</c:v>
                </c:pt>
                <c:pt idx="890">
                  <c:v>28.65140000000002</c:v>
                </c:pt>
                <c:pt idx="891">
                  <c:v>28.65150000000002</c:v>
                </c:pt>
                <c:pt idx="892">
                  <c:v>28.65160000000002</c:v>
                </c:pt>
                <c:pt idx="893">
                  <c:v>28.651700000000019</c:v>
                </c:pt>
                <c:pt idx="894">
                  <c:v>28.651800000000019</c:v>
                </c:pt>
                <c:pt idx="895">
                  <c:v>28.651900000000019</c:v>
                </c:pt>
                <c:pt idx="896">
                  <c:v>28.652000000000019</c:v>
                </c:pt>
                <c:pt idx="897">
                  <c:v>28.652100000000019</c:v>
                </c:pt>
                <c:pt idx="898">
                  <c:v>28.652200000000018</c:v>
                </c:pt>
                <c:pt idx="899">
                  <c:v>28.652300000000018</c:v>
                </c:pt>
                <c:pt idx="900">
                  <c:v>28.652400000000018</c:v>
                </c:pt>
                <c:pt idx="901">
                  <c:v>28.652500000000018</c:v>
                </c:pt>
                <c:pt idx="902">
                  <c:v>28.652600000000017</c:v>
                </c:pt>
                <c:pt idx="903">
                  <c:v>28.652700000000017</c:v>
                </c:pt>
                <c:pt idx="904">
                  <c:v>28.652800000000017</c:v>
                </c:pt>
                <c:pt idx="905">
                  <c:v>28.652900000000017</c:v>
                </c:pt>
                <c:pt idx="906">
                  <c:v>28.653000000000016</c:v>
                </c:pt>
                <c:pt idx="907">
                  <c:v>28.653100000000016</c:v>
                </c:pt>
                <c:pt idx="908">
                  <c:v>28.653200000000016</c:v>
                </c:pt>
                <c:pt idx="909">
                  <c:v>28.653300000000016</c:v>
                </c:pt>
                <c:pt idx="910">
                  <c:v>28.653400000000016</c:v>
                </c:pt>
                <c:pt idx="911">
                  <c:v>28.653500000000015</c:v>
                </c:pt>
                <c:pt idx="912">
                  <c:v>28.653600000000015</c:v>
                </c:pt>
                <c:pt idx="913">
                  <c:v>28.653700000000015</c:v>
                </c:pt>
                <c:pt idx="914">
                  <c:v>28.653800000000015</c:v>
                </c:pt>
                <c:pt idx="915">
                  <c:v>28.653900000000014</c:v>
                </c:pt>
                <c:pt idx="916">
                  <c:v>28.654000000000014</c:v>
                </c:pt>
                <c:pt idx="917">
                  <c:v>28.654100000000014</c:v>
                </c:pt>
                <c:pt idx="918">
                  <c:v>28.654200000000014</c:v>
                </c:pt>
                <c:pt idx="919">
                  <c:v>28.654300000000013</c:v>
                </c:pt>
                <c:pt idx="920">
                  <c:v>28.654400000000013</c:v>
                </c:pt>
                <c:pt idx="921">
                  <c:v>28.654500000000013</c:v>
                </c:pt>
                <c:pt idx="922">
                  <c:v>28.654600000000013</c:v>
                </c:pt>
                <c:pt idx="923">
                  <c:v>28.654700000000012</c:v>
                </c:pt>
                <c:pt idx="924">
                  <c:v>28.654800000000012</c:v>
                </c:pt>
                <c:pt idx="925">
                  <c:v>28.654900000000012</c:v>
                </c:pt>
                <c:pt idx="926">
                  <c:v>28.655000000000012</c:v>
                </c:pt>
                <c:pt idx="927">
                  <c:v>28.655100000000012</c:v>
                </c:pt>
                <c:pt idx="928">
                  <c:v>28.655200000000011</c:v>
                </c:pt>
                <c:pt idx="929">
                  <c:v>28.655300000000011</c:v>
                </c:pt>
                <c:pt idx="930">
                  <c:v>28.655400000000011</c:v>
                </c:pt>
                <c:pt idx="931">
                  <c:v>28.655500000000011</c:v>
                </c:pt>
                <c:pt idx="932">
                  <c:v>28.65560000000001</c:v>
                </c:pt>
                <c:pt idx="933">
                  <c:v>28.65570000000001</c:v>
                </c:pt>
                <c:pt idx="934">
                  <c:v>28.65580000000001</c:v>
                </c:pt>
                <c:pt idx="935">
                  <c:v>28.65590000000001</c:v>
                </c:pt>
                <c:pt idx="936">
                  <c:v>28.656000000000009</c:v>
                </c:pt>
                <c:pt idx="937">
                  <c:v>28.656100000000009</c:v>
                </c:pt>
                <c:pt idx="938">
                  <c:v>28.656200000000009</c:v>
                </c:pt>
                <c:pt idx="939">
                  <c:v>28.656300000000009</c:v>
                </c:pt>
                <c:pt idx="940">
                  <c:v>28.656400000000009</c:v>
                </c:pt>
                <c:pt idx="941">
                  <c:v>28.656500000000008</c:v>
                </c:pt>
                <c:pt idx="942">
                  <c:v>28.656600000000008</c:v>
                </c:pt>
                <c:pt idx="943">
                  <c:v>28.656700000000008</c:v>
                </c:pt>
                <c:pt idx="944">
                  <c:v>28.656800000000008</c:v>
                </c:pt>
                <c:pt idx="945">
                  <c:v>28.656900000000007</c:v>
                </c:pt>
                <c:pt idx="946">
                  <c:v>28.657000000000007</c:v>
                </c:pt>
                <c:pt idx="947">
                  <c:v>28.657100000000007</c:v>
                </c:pt>
                <c:pt idx="948">
                  <c:v>28.657200000000007</c:v>
                </c:pt>
                <c:pt idx="949">
                  <c:v>28.657300000000006</c:v>
                </c:pt>
                <c:pt idx="950">
                  <c:v>28.657400000000006</c:v>
                </c:pt>
                <c:pt idx="951">
                  <c:v>28.657500000000006</c:v>
                </c:pt>
                <c:pt idx="952">
                  <c:v>28.657600000000006</c:v>
                </c:pt>
                <c:pt idx="953">
                  <c:v>28.657700000000006</c:v>
                </c:pt>
                <c:pt idx="954">
                  <c:v>28.657800000000005</c:v>
                </c:pt>
                <c:pt idx="955">
                  <c:v>28.657900000000005</c:v>
                </c:pt>
                <c:pt idx="956">
                  <c:v>28.658000000000005</c:v>
                </c:pt>
                <c:pt idx="957">
                  <c:v>28.658100000000005</c:v>
                </c:pt>
                <c:pt idx="958">
                  <c:v>28.658200000000004</c:v>
                </c:pt>
                <c:pt idx="959">
                  <c:v>28.658300000000004</c:v>
                </c:pt>
                <c:pt idx="960">
                  <c:v>28.658400000000004</c:v>
                </c:pt>
                <c:pt idx="961">
                  <c:v>28.658500000000004</c:v>
                </c:pt>
                <c:pt idx="962">
                  <c:v>28.658600000000003</c:v>
                </c:pt>
                <c:pt idx="963">
                  <c:v>28.658700000000003</c:v>
                </c:pt>
                <c:pt idx="964">
                  <c:v>28.658800000000003</c:v>
                </c:pt>
                <c:pt idx="965">
                  <c:v>28.658900000000003</c:v>
                </c:pt>
                <c:pt idx="966">
                  <c:v>28.659000000000002</c:v>
                </c:pt>
                <c:pt idx="967">
                  <c:v>28.659100000000002</c:v>
                </c:pt>
                <c:pt idx="968">
                  <c:v>28.659200000000002</c:v>
                </c:pt>
                <c:pt idx="969">
                  <c:v>28.659300000000002</c:v>
                </c:pt>
                <c:pt idx="970">
                  <c:v>28.659400000000002</c:v>
                </c:pt>
                <c:pt idx="971">
                  <c:v>28.659500000000001</c:v>
                </c:pt>
                <c:pt idx="972">
                  <c:v>28.659600000000001</c:v>
                </c:pt>
                <c:pt idx="973">
                  <c:v>28.659700000000001</c:v>
                </c:pt>
                <c:pt idx="974">
                  <c:v>28.659800000000001</c:v>
                </c:pt>
                <c:pt idx="975">
                  <c:v>28.6599</c:v>
                </c:pt>
                <c:pt idx="976">
                  <c:v>28.66</c:v>
                </c:pt>
                <c:pt idx="977">
                  <c:v>28.6601</c:v>
                </c:pt>
                <c:pt idx="978">
                  <c:v>28.6602</c:v>
                </c:pt>
                <c:pt idx="979">
                  <c:v>28.660299999999999</c:v>
                </c:pt>
                <c:pt idx="980">
                  <c:v>28.660399999999999</c:v>
                </c:pt>
                <c:pt idx="981">
                  <c:v>28.660499999999999</c:v>
                </c:pt>
                <c:pt idx="982">
                  <c:v>28.660599999999999</c:v>
                </c:pt>
                <c:pt idx="983">
                  <c:v>28.660699999999999</c:v>
                </c:pt>
                <c:pt idx="984">
                  <c:v>28.660799999999998</c:v>
                </c:pt>
                <c:pt idx="985">
                  <c:v>28.660899999999998</c:v>
                </c:pt>
                <c:pt idx="986">
                  <c:v>28.660999999999998</c:v>
                </c:pt>
                <c:pt idx="987">
                  <c:v>28.661099999999998</c:v>
                </c:pt>
                <c:pt idx="988">
                  <c:v>28.661199999999997</c:v>
                </c:pt>
                <c:pt idx="989">
                  <c:v>28.661299999999997</c:v>
                </c:pt>
                <c:pt idx="990">
                  <c:v>28.661399999999997</c:v>
                </c:pt>
                <c:pt idx="991">
                  <c:v>28.661499999999997</c:v>
                </c:pt>
                <c:pt idx="992">
                  <c:v>28.661599999999996</c:v>
                </c:pt>
                <c:pt idx="993">
                  <c:v>28.661699999999996</c:v>
                </c:pt>
                <c:pt idx="994">
                  <c:v>28.661799999999996</c:v>
                </c:pt>
                <c:pt idx="995">
                  <c:v>28.661899999999996</c:v>
                </c:pt>
                <c:pt idx="996">
                  <c:v>28.661999999999995</c:v>
                </c:pt>
                <c:pt idx="997">
                  <c:v>28.662099999999995</c:v>
                </c:pt>
                <c:pt idx="998">
                  <c:v>28.662199999999995</c:v>
                </c:pt>
                <c:pt idx="999">
                  <c:v>28.662299999999995</c:v>
                </c:pt>
                <c:pt idx="1000">
                  <c:v>28.662399999999995</c:v>
                </c:pt>
              </c:numCache>
            </c:numRef>
          </c:xVal>
          <c:yVal>
            <c:numRef>
              <c:f>Calculs!$AH$4:$AH$1004</c:f>
              <c:numCache>
                <c:formatCode>0.00</c:formatCode>
                <c:ptCount val="1001"/>
                <c:pt idx="0">
                  <c:v>0</c:v>
                </c:pt>
                <c:pt idx="1">
                  <c:v>-20.714878811764482</c:v>
                </c:pt>
                <c:pt idx="2">
                  <c:v>-20.630772814652872</c:v>
                </c:pt>
                <c:pt idx="3">
                  <c:v>-20.547085330320389</c:v>
                </c:pt>
                <c:pt idx="4">
                  <c:v>-20.463813602840496</c:v>
                </c:pt>
                <c:pt idx="5">
                  <c:v>-20.38095489911321</c:v>
                </c:pt>
                <c:pt idx="6">
                  <c:v>-20.298506508638198</c:v>
                </c:pt>
                <c:pt idx="7">
                  <c:v>-20.21646574329047</c:v>
                </c:pt>
                <c:pt idx="8">
                  <c:v>-20.134829937098633</c:v>
                </c:pt>
                <c:pt idx="9">
                  <c:v>-20.053596446025772</c:v>
                </c:pt>
                <c:pt idx="10">
                  <c:v>-19.972762647752788</c:v>
                </c:pt>
                <c:pt idx="11">
                  <c:v>-19.892551718596359</c:v>
                </c:pt>
                <c:pt idx="12">
                  <c:v>-19.812955981117955</c:v>
                </c:pt>
                <c:pt idx="13">
                  <c:v>-19.733742054980979</c:v>
                </c:pt>
                <c:pt idx="14">
                  <c:v>-19.654907544774819</c:v>
                </c:pt>
                <c:pt idx="15">
                  <c:v>-19.576450074077574</c:v>
                </c:pt>
                <c:pt idx="16">
                  <c:v>-19.498367285275219</c:v>
                </c:pt>
                <c:pt idx="17">
                  <c:v>-19.42065683938285</c:v>
                </c:pt>
                <c:pt idx="18">
                  <c:v>-19.343316415867903</c:v>
                </c:pt>
                <c:pt idx="19">
                  <c:v>-19.266343712475361</c:v>
                </c:pt>
                <c:pt idx="20">
                  <c:v>-19.18973644505483</c:v>
                </c:pt>
                <c:pt idx="21">
                  <c:v>-19.113379368063651</c:v>
                </c:pt>
                <c:pt idx="22">
                  <c:v>-19.037272689067514</c:v>
                </c:pt>
                <c:pt idx="23">
                  <c:v>-18.961529586757482</c:v>
                </c:pt>
                <c:pt idx="24">
                  <c:v>-18.886147780095406</c:v>
                </c:pt>
                <c:pt idx="25">
                  <c:v>-18.811125006094915</c:v>
                </c:pt>
                <c:pt idx="26">
                  <c:v>-18.736459019649949</c:v>
                </c:pt>
                <c:pt idx="27">
                  <c:v>-18.662147593365194</c:v>
                </c:pt>
                <c:pt idx="28">
                  <c:v>-18.588188517388311</c:v>
                </c:pt>
                <c:pt idx="29">
                  <c:v>-18.514579599244186</c:v>
                </c:pt>
                <c:pt idx="30">
                  <c:v>-18.441318663670852</c:v>
                </c:pt>
                <c:pt idx="31">
                  <c:v>-18.368403552457327</c:v>
                </c:pt>
                <c:pt idx="32">
                  <c:v>-18.29583212428312</c:v>
                </c:pt>
                <c:pt idx="33">
                  <c:v>-18.22360225455968</c:v>
                </c:pt>
                <c:pt idx="34">
                  <c:v>-18.151711835273371</c:v>
                </c:pt>
                <c:pt idx="35">
                  <c:v>-18.080158774830348</c:v>
                </c:pt>
                <c:pt idx="36">
                  <c:v>-18.008940997903014</c:v>
                </c:pt>
                <c:pt idx="37">
                  <c:v>-17.9380564452782</c:v>
                </c:pt>
                <c:pt idx="38">
                  <c:v>-17.867503073706992</c:v>
                </c:pt>
                <c:pt idx="39">
                  <c:v>-17.797278855756229</c:v>
                </c:pt>
                <c:pt idx="40">
                  <c:v>-17.727381779661506</c:v>
                </c:pt>
                <c:pt idx="41">
                  <c:v>-17.657809849181902</c:v>
                </c:pt>
                <c:pt idx="42">
                  <c:v>-17.588561083456224</c:v>
                </c:pt>
                <c:pt idx="43">
                  <c:v>-17.51963351686079</c:v>
                </c:pt>
                <c:pt idx="44">
                  <c:v>-17.451025198868717</c:v>
                </c:pt>
                <c:pt idx="45">
                  <c:v>-17.382734193910895</c:v>
                </c:pt>
                <c:pt idx="46">
                  <c:v>-17.314758581238213</c:v>
                </c:pt>
                <c:pt idx="47">
                  <c:v>-17.247096454785435</c:v>
                </c:pt>
                <c:pt idx="48">
                  <c:v>-17.17974592303651</c:v>
                </c:pt>
                <c:pt idx="49">
                  <c:v>-17.112705108891241</c:v>
                </c:pt>
                <c:pt idx="50">
                  <c:v>-17.045972149533558</c:v>
                </c:pt>
                <c:pt idx="51">
                  <c:v>-16.979545196300961</c:v>
                </c:pt>
                <c:pt idx="52">
                  <c:v>-16.913422414555541</c:v>
                </c:pt>
                <c:pt idx="53">
                  <c:v>-16.847601983556309</c:v>
                </c:pt>
                <c:pt idx="54">
                  <c:v>-16.782082096332882</c:v>
                </c:pt>
                <c:pt idx="55">
                  <c:v>-16.71686095956051</c:v>
                </c:pt>
                <c:pt idx="56">
                  <c:v>-16.65193679343642</c:v>
                </c:pt>
                <c:pt idx="57">
                  <c:v>-16.587307831557489</c:v>
                </c:pt>
                <c:pt idx="58">
                  <c:v>-16.522972320799205</c:v>
                </c:pt>
                <c:pt idx="59">
                  <c:v>-16.458928521195915</c:v>
                </c:pt>
                <c:pt idx="60">
                  <c:v>-16.395174705822271</c:v>
                </c:pt>
                <c:pt idx="61">
                  <c:v>-16.331709160676031</c:v>
                </c:pt>
                <c:pt idx="62">
                  <c:v>-16.268530184561993</c:v>
                </c:pt>
                <c:pt idx="63">
                  <c:v>-16.205636088977172</c:v>
                </c:pt>
                <c:pt idx="64">
                  <c:v>-16.143025197997257</c:v>
                </c:pt>
                <c:pt idx="65">
                  <c:v>-16.080695848164112</c:v>
                </c:pt>
                <c:pt idx="66">
                  <c:v>-16.018646388374592</c:v>
                </c:pt>
                <c:pt idx="67">
                  <c:v>-15.956875179770424</c:v>
                </c:pt>
                <c:pt idx="68">
                  <c:v>-15.895380595629259</c:v>
                </c:pt>
                <c:pt idx="69">
                  <c:v>-15.834161021256886</c:v>
                </c:pt>
                <c:pt idx="70">
                  <c:v>-15.773214853880539</c:v>
                </c:pt>
                <c:pt idx="71">
                  <c:v>-15.712540502543282</c:v>
                </c:pt>
                <c:pt idx="72">
                  <c:v>-15.652136387999581</c:v>
                </c:pt>
                <c:pt idx="73">
                  <c:v>-15.592000942611797</c:v>
                </c:pt>
                <c:pt idx="74">
                  <c:v>-15.532132610247942</c:v>
                </c:pt>
                <c:pt idx="75">
                  <c:v>-15.472529846180279</c:v>
                </c:pt>
                <c:pt idx="76">
                  <c:v>-15.41319111698518</c:v>
                </c:pt>
                <c:pt idx="77">
                  <c:v>-15.354114900443827</c:v>
                </c:pt>
                <c:pt idx="78">
                  <c:v>-15.295299685444052</c:v>
                </c:pt>
                <c:pt idx="79">
                  <c:v>-15.236743971883097</c:v>
                </c:pt>
                <c:pt idx="80">
                  <c:v>-15.178446270571461</c:v>
                </c:pt>
                <c:pt idx="81">
                  <c:v>-15.120405103137628</c:v>
                </c:pt>
                <c:pt idx="82">
                  <c:v>-15.06261900193384</c:v>
                </c:pt>
                <c:pt idx="83">
                  <c:v>-15.00508650994281</c:v>
                </c:pt>
                <c:pt idx="84">
                  <c:v>-14.947806180685369</c:v>
                </c:pt>
                <c:pt idx="85">
                  <c:v>-14.890776578129042</c:v>
                </c:pt>
                <c:pt idx="86">
                  <c:v>-14.833996276597606</c:v>
                </c:pt>
                <c:pt idx="87">
                  <c:v>-14.777463860681475</c:v>
                </c:pt>
                <c:pt idx="88">
                  <c:v>-14.721177925149101</c:v>
                </c:pt>
                <c:pt idx="89">
                  <c:v>-14.66513707485913</c:v>
                </c:pt>
                <c:pt idx="90">
                  <c:v>-14.6093399246736</c:v>
                </c:pt>
                <c:pt idx="91">
                  <c:v>-14.553785099371874</c:v>
                </c:pt>
                <c:pt idx="92">
                  <c:v>-14.498471233565539</c:v>
                </c:pt>
                <c:pt idx="93">
                  <c:v>-14.443396971614067</c:v>
                </c:pt>
                <c:pt idx="94">
                  <c:v>-14.388560967541409</c:v>
                </c:pt>
                <c:pt idx="95">
                  <c:v>-14.333961884953379</c:v>
                </c:pt>
                <c:pt idx="96">
                  <c:v>-14.279598396955869</c:v>
                </c:pt>
                <c:pt idx="97">
                  <c:v>-14.225469186073846</c:v>
                </c:pt>
                <c:pt idx="98">
                  <c:v>-14.171572944171235</c:v>
                </c:pt>
                <c:pt idx="99">
                  <c:v>-14.117908372371513</c:v>
                </c:pt>
                <c:pt idx="100">
                  <c:v>-14.064474180979158</c:v>
                </c:pt>
                <c:pt idx="101">
                  <c:v>-14.011269089401852</c:v>
                </c:pt>
                <c:pt idx="102">
                  <c:v>-13.48649081304422</c:v>
                </c:pt>
                <c:pt idx="103">
                  <c:v>-12.983789611184527</c:v>
                </c:pt>
                <c:pt idx="104">
                  <c:v>-12.501976898187094</c:v>
                </c:pt>
                <c:pt idx="105">
                  <c:v>-12.039944486311663</c:v>
                </c:pt>
                <c:pt idx="106">
                  <c:v>-11.596658136742105</c:v>
                </c:pt>
                <c:pt idx="107">
                  <c:v>-11.171151708791481</c:v>
                </c:pt>
                <c:pt idx="108">
                  <c:v>-10.762521844546182</c:v>
                </c:pt>
                <c:pt idx="109">
                  <c:v>-10.369923133535535</c:v>
                </c:pt>
                <c:pt idx="110">
                  <c:v>-9.9925637083970837</c:v>
                </c:pt>
                <c:pt idx="111">
                  <c:v>-9.6297012280838157</c:v>
                </c:pt>
                <c:pt idx="112">
                  <c:v>-9.2806392100378705</c:v>
                </c:pt>
                <c:pt idx="113">
                  <c:v>-8.9447236770320888</c:v>
                </c:pt>
                <c:pt idx="114">
                  <c:v>-8.6213400881357511</c:v>
                </c:pt>
                <c:pt idx="115">
                  <c:v>-8.3099105265639874</c:v>
                </c:pt>
                <c:pt idx="116">
                  <c:v>-8.0098911200804714</c:v>
                </c:pt>
                <c:pt idx="117">
                  <c:v>-7.7207696721912926</c:v>
                </c:pt>
                <c:pt idx="118">
                  <c:v>-7.4420634846377194</c:v>
                </c:pt>
                <c:pt idx="119">
                  <c:v>-7.1733173537050927</c:v>
                </c:pt>
                <c:pt idx="120">
                  <c:v>-6.9141017246465539</c:v>
                </c:pt>
                <c:pt idx="121">
                  <c:v>-6.6640109901020068</c:v>
                </c:pt>
                <c:pt idx="122">
                  <c:v>-6.4226619197989718</c:v>
                </c:pt>
                <c:pt idx="123">
                  <c:v>-6.1896922100742939</c:v>
                </c:pt>
                <c:pt idx="124">
                  <c:v>-5.9647591428718005</c:v>
                </c:pt>
                <c:pt idx="125">
                  <c:v>-5.7475383448678201</c:v>
                </c:pt>
                <c:pt idx="126">
                  <c:v>-5.5377226382673497</c:v>
                </c:pt>
                <c:pt idx="127">
                  <c:v>-5.3350209756109646</c:v>
                </c:pt>
                <c:pt idx="128">
                  <c:v>-5.1391574516472538</c:v>
                </c:pt>
                <c:pt idx="129">
                  <c:v>-4.9498703859667268</c:v>
                </c:pt>
                <c:pt idx="130">
                  <c:v>-4.7669114706689886</c:v>
                </c:pt>
                <c:pt idx="131">
                  <c:v>-4.5900449778530517</c:v>
                </c:pt>
                <c:pt idx="132">
                  <c:v>-4.4190470221869731</c:v>
                </c:pt>
                <c:pt idx="133">
                  <c:v>-4.2537048742333461</c:v>
                </c:pt>
                <c:pt idx="134">
                  <c:v>-4.0938163205864422</c:v>
                </c:pt>
                <c:pt idx="135">
                  <c:v>-3.9391890672194592</c:v>
                </c:pt>
                <c:pt idx="136">
                  <c:v>-3.7896401827500381</c:v>
                </c:pt>
                <c:pt idx="137">
                  <c:v>-3.6449955786125967</c:v>
                </c:pt>
                <c:pt idx="138">
                  <c:v>-3.5050895233800961</c:v>
                </c:pt>
                <c:pt idx="139">
                  <c:v>-3.3697641887081491</c:v>
                </c:pt>
                <c:pt idx="140">
                  <c:v>-3.2388692245834667</c:v>
                </c:pt>
                <c:pt idx="141">
                  <c:v>-3.1122613617486858</c:v>
                </c:pt>
                <c:pt idx="142">
                  <c:v>-2.9898040393482046</c:v>
                </c:pt>
                <c:pt idx="143">
                  <c:v>-2.8713670559969633</c:v>
                </c:pt>
                <c:pt idx="144">
                  <c:v>-2.7568262426171883</c:v>
                </c:pt>
                <c:pt idx="145">
                  <c:v>-2.6460631555186498</c:v>
                </c:pt>
                <c:pt idx="146">
                  <c:v>-2.538964788316953</c:v>
                </c:pt>
                <c:pt idx="147">
                  <c:v>-2.4354233013930546</c:v>
                </c:pt>
                <c:pt idx="148">
                  <c:v>-2.335335767696348</c:v>
                </c:pt>
                <c:pt idx="149">
                  <c:v>-2.2386039337843542</c:v>
                </c:pt>
                <c:pt idx="150">
                  <c:v>-2.1451339950748651</c:v>
                </c:pt>
                <c:pt idx="151">
                  <c:v>-2.0548363843621988</c:v>
                </c:pt>
                <c:pt idx="152">
                  <c:v>-1.9676255727184986</c:v>
                </c:pt>
                <c:pt idx="153">
                  <c:v>-1.883419881964413</c:v>
                </c:pt>
                <c:pt idx="154">
                  <c:v>-1.8021413079514703</c:v>
                </c:pt>
                <c:pt idx="155">
                  <c:v>-1.723715353951464</c:v>
                </c:pt>
                <c:pt idx="156">
                  <c:v>-1.6480708734966047</c:v>
                </c:pt>
                <c:pt idx="157">
                  <c:v>-1.575139922058403</c:v>
                </c:pt>
                <c:pt idx="158">
                  <c:v>-1.5048576169935435</c:v>
                </c:pt>
                <c:pt idx="159">
                  <c:v>-1.4371620052216976</c:v>
                </c:pt>
                <c:pt idx="160">
                  <c:v>-1.37199393813347</c:v>
                </c:pt>
                <c:pt idx="161">
                  <c:v>-1.3092969532567795</c:v>
                </c:pt>
                <c:pt idx="162">
                  <c:v>-1.2490171622370565</c:v>
                </c:pt>
                <c:pt idx="163">
                  <c:v>-1.1911031447108644</c:v>
                </c:pt>
                <c:pt idx="164">
                  <c:v>-1.1355058476740867</c:v>
                </c:pt>
                <c:pt idx="165">
                  <c:v>-1.0821784899647082</c:v>
                </c:pt>
                <c:pt idx="166">
                  <c:v>-1.0310764714966125</c:v>
                </c:pt>
                <c:pt idx="167">
                  <c:v>-0.98215728689475768</c:v>
                </c:pt>
                <c:pt idx="168">
                  <c:v>-0.93538044319364155</c:v>
                </c:pt>
                <c:pt idx="169">
                  <c:v>-0.89070738127020155</c:v>
                </c:pt>
                <c:pt idx="170">
                  <c:v>-0.84810140068927986</c:v>
                </c:pt>
                <c:pt idx="171">
                  <c:v>-0.80752758764453536</c:v>
                </c:pt>
                <c:pt idx="172">
                  <c:v>-0.76895274568041883</c:v>
                </c:pt>
                <c:pt idx="173">
                  <c:v>-0.73234532888151282</c:v>
                </c:pt>
                <c:pt idx="174">
                  <c:v>-0.69767537721456829</c:v>
                </c:pt>
                <c:pt idx="175">
                  <c:v>-0.6649144537060262</c:v>
                </c:pt>
                <c:pt idx="176">
                  <c:v>-0.63403558313424968</c:v>
                </c:pt>
                <c:pt idx="177">
                  <c:v>-0.60501319191153857</c:v>
                </c:pt>
                <c:pt idx="178">
                  <c:v>-0.57782304882698576</c:v>
                </c:pt>
                <c:pt idx="179">
                  <c:v>-0.55244220631831864</c:v>
                </c:pt>
                <c:pt idx="180">
                  <c:v>-0.52884894194011345</c:v>
                </c:pt>
                <c:pt idx="181">
                  <c:v>-0.50702269969864699</c:v>
                </c:pt>
                <c:pt idx="182">
                  <c:v>-0.48694403093171845</c:v>
                </c:pt>
                <c:pt idx="183">
                  <c:v>-0.46859453442690424</c:v>
                </c:pt>
                <c:pt idx="184">
                  <c:v>-0.45195679549575518</c:v>
                </c:pt>
                <c:pt idx="185">
                  <c:v>-0.43701432375634114</c:v>
                </c:pt>
                <c:pt idx="186">
                  <c:v>-0.42375148942382707</c:v>
                </c:pt>
                <c:pt idx="187">
                  <c:v>-0.41215345796955688</c:v>
                </c:pt>
                <c:pt idx="188">
                  <c:v>-0.40220612308361264</c:v>
                </c:pt>
                <c:pt idx="189">
                  <c:v>-0.39389603796309708</c:v>
                </c:pt>
                <c:pt idx="190">
                  <c:v>-0.3872103450461154</c:v>
                </c:pt>
                <c:pt idx="191">
                  <c:v>-0.38213670441572983</c:v>
                </c:pt>
                <c:pt idx="192">
                  <c:v>-0.37866322120370272</c:v>
                </c:pt>
                <c:pt idx="193">
                  <c:v>-0.37677837242413126</c:v>
                </c:pt>
                <c:pt idx="194">
                  <c:v>-0.37647093375512269</c:v>
                </c:pt>
                <c:pt idx="195">
                  <c:v>-0.37772990685560898</c:v>
                </c:pt>
                <c:pt idx="196">
                  <c:v>-0.38054444784859393</c:v>
                </c:pt>
                <c:pt idx="197">
                  <c:v>-0.38490379761774168</c:v>
                </c:pt>
                <c:pt idx="198">
                  <c:v>-0.39079721454993677</c:v>
                </c:pt>
                <c:pt idx="199">
                  <c:v>-0.39821391031365067</c:v>
                </c:pt>
                <c:pt idx="200">
                  <c:v>-0.40714298919545888</c:v>
                </c:pt>
                <c:pt idx="201">
                  <c:v>-0.41757339143068767</c:v>
                </c:pt>
                <c:pt idx="202">
                  <c:v>-0.42949384086579967</c:v>
                </c:pt>
                <c:pt idx="203">
                  <c:v>-0.44289279718691038</c:v>
                </c:pt>
                <c:pt idx="204">
                  <c:v>-0.45775841284735014</c:v>
                </c:pt>
                <c:pt idx="205">
                  <c:v>-0.47407849473286828</c:v>
                </c:pt>
                <c:pt idx="206">
                  <c:v>-0.49184047051986202</c:v>
                </c:pt>
                <c:pt idx="207">
                  <c:v>-0.51103135961226309</c:v>
                </c:pt>
                <c:pt idx="208">
                  <c:v>-0.53163774848737377</c:v>
                </c:pt>
                <c:pt idx="209">
                  <c:v>-0.55364577023973049</c:v>
                </c:pt>
                <c:pt idx="210">
                  <c:v>-0.57704108808389443</c:v>
                </c:pt>
                <c:pt idx="211">
                  <c:v>-0.60180888256027232</c:v>
                </c:pt>
                <c:pt idx="212">
                  <c:v>-0.62793384218072101</c:v>
                </c:pt>
                <c:pt idx="213">
                  <c:v>-0.65540015725089318</c:v>
                </c:pt>
                <c:pt idx="214">
                  <c:v>-0.68419151661214639</c:v>
                </c:pt>
                <c:pt idx="215">
                  <c:v>-0.71429110705578369</c:v>
                </c:pt>
                <c:pt idx="216">
                  <c:v>-0.7456816151750445</c:v>
                </c:pt>
                <c:pt idx="217">
                  <c:v>-0.77834523143448042</c:v>
                </c:pt>
                <c:pt idx="218">
                  <c:v>-0.81226365625131081</c:v>
                </c:pt>
                <c:pt idx="219">
                  <c:v>-0.84741810789838634</c:v>
                </c:pt>
                <c:pt idx="220">
                  <c:v>-0.88378933205303489</c:v>
                </c:pt>
                <c:pt idx="221">
                  <c:v>-0.92135761283003692</c:v>
                </c:pt>
                <c:pt idx="222">
                  <c:v>-0.96010278515004011</c:v>
                </c:pt>
                <c:pt idx="223">
                  <c:v>-1.0000042483068587</c:v>
                </c:pt>
                <c:pt idx="224">
                  <c:v>-1.0410409806081304</c:v>
                </c:pt>
                <c:pt idx="225">
                  <c:v>-1.0831915549739457</c:v>
                </c:pt>
                <c:pt idx="226">
                  <c:v>-1.1264341553870951</c:v>
                </c:pt>
                <c:pt idx="227">
                  <c:v>-1.1707465940968462</c:v>
                </c:pt>
                <c:pt idx="228">
                  <c:v>-1.2161063294854959</c:v>
                </c:pt>
                <c:pt idx="229">
                  <c:v>-1.2624904845135538</c:v>
                </c:pt>
                <c:pt idx="230">
                  <c:v>-1.3098758656653762</c:v>
                </c:pt>
                <c:pt idx="231">
                  <c:v>-1.3582389823223691</c:v>
                </c:pt>
                <c:pt idx="232">
                  <c:v>-1.4075560664957008</c:v>
                </c:pt>
                <c:pt idx="233">
                  <c:v>-1.4578030928548023</c:v>
                </c:pt>
                <c:pt idx="234">
                  <c:v>-1.5089557989918423</c:v>
                </c:pt>
                <c:pt idx="235">
                  <c:v>-1.5609897058659599</c:v>
                </c:pt>
                <c:pt idx="236">
                  <c:v>-1.6138801383743127</c:v>
                </c:pt>
                <c:pt idx="237">
                  <c:v>-1.6676022459999844</c:v>
                </c:pt>
                <c:pt idx="238">
                  <c:v>-1.7221310234896103</c:v>
                </c:pt>
                <c:pt idx="239">
                  <c:v>-1.7774413315161433</c:v>
                </c:pt>
                <c:pt idx="240">
                  <c:v>-1.8335079172846356</c:v>
                </c:pt>
                <c:pt idx="241">
                  <c:v>-1.8903054350411708</c:v>
                </c:pt>
                <c:pt idx="242">
                  <c:v>-1.9478084664472615</c:v>
                </c:pt>
                <c:pt idx="243">
                  <c:v>-2.0059915407840654</c:v>
                </c:pt>
                <c:pt idx="244">
                  <c:v>-2.0648291549527844</c:v>
                </c:pt>
                <c:pt idx="245">
                  <c:v>-2.1242957932394444</c:v>
                </c:pt>
                <c:pt idx="246">
                  <c:v>-2.1843659468141374</c:v>
                </c:pt>
                <c:pt idx="247">
                  <c:v>-2.2450141329365274</c:v>
                </c:pt>
                <c:pt idx="248">
                  <c:v>-2.3062149138411838</c:v>
                </c:pt>
                <c:pt idx="249">
                  <c:v>-2.3679429152779274</c:v>
                </c:pt>
                <c:pt idx="250">
                  <c:v>-2.4301728446840549</c:v>
                </c:pt>
                <c:pt idx="251">
                  <c:v>-2.4928795089668405</c:v>
                </c:pt>
                <c:pt idx="252">
                  <c:v>-2.5560378318763304</c:v>
                </c:pt>
                <c:pt idx="253">
                  <c:v>-2.6196228709499341</c:v>
                </c:pt>
                <c:pt idx="254">
                  <c:v>-2.6836098340117691</c:v>
                </c:pt>
                <c:pt idx="255">
                  <c:v>-2.7479740952112905</c:v>
                </c:pt>
                <c:pt idx="256">
                  <c:v>-2.8126912105870168</c:v>
                </c:pt>
                <c:pt idx="257">
                  <c:v>-2.8777369331426588</c:v>
                </c:pt>
                <c:pt idx="258">
                  <c:v>-2.9430872274243201</c:v>
                </c:pt>
                <c:pt idx="259">
                  <c:v>-3.0087182835887036</c:v>
                </c:pt>
                <c:pt idx="260">
                  <c:v>-3.0746065309536239</c:v>
                </c:pt>
                <c:pt idx="261">
                  <c:v>-3.1407286510233727</c:v>
                </c:pt>
                <c:pt idx="262">
                  <c:v>-3.2070615899827284</c:v>
                </c:pt>
                <c:pt idx="263">
                  <c:v>-3.2735825706545589</c:v>
                </c:pt>
                <c:pt idx="264">
                  <c:v>-3.3402691039171861</c:v>
                </c:pt>
                <c:pt idx="265">
                  <c:v>-3.4070989995788064</c:v>
                </c:pt>
                <c:pt idx="266">
                  <c:v>-3.4740503767072708</c:v>
                </c:pt>
                <c:pt idx="267">
                  <c:v>-3.5411016734147207</c:v>
                </c:pt>
                <c:pt idx="268">
                  <c:v>-3.6082316560974448</c:v>
                </c:pt>
                <c:pt idx="269">
                  <c:v>-3.6754194281324146</c:v>
                </c:pt>
                <c:pt idx="270">
                  <c:v>-3.7426444380328223</c:v>
                </c:pt>
                <c:pt idx="271">
                  <c:v>-3.809886487065874</c:v>
                </c:pt>
                <c:pt idx="272">
                  <c:v>-3.8771257363369278</c:v>
                </c:pt>
                <c:pt idx="273">
                  <c:v>-3.944342713344883</c:v>
                </c:pt>
                <c:pt idx="274">
                  <c:v>-4.011518318014538</c:v>
                </c:pt>
                <c:pt idx="275">
                  <c:v>-4.078633828212296</c:v>
                </c:pt>
                <c:pt idx="276">
                  <c:v>-4.1456709047523486</c:v>
                </c:pt>
                <c:pt idx="277">
                  <c:v>-4.2126115959010795</c:v>
                </c:pt>
                <c:pt idx="278">
                  <c:v>-4.2794383413880785</c:v>
                </c:pt>
                <c:pt idx="279">
                  <c:v>-4.3461339759326858</c:v>
                </c:pt>
                <c:pt idx="280">
                  <c:v>-4.412681732295499</c:v>
                </c:pt>
                <c:pt idx="281">
                  <c:v>-4.4790652438648593</c:v>
                </c:pt>
                <c:pt idx="282">
                  <c:v>-4.5452685467886305</c:v>
                </c:pt>
                <c:pt idx="283">
                  <c:v>-4.6112760816621368</c:v>
                </c:pt>
                <c:pt idx="284">
                  <c:v>-4.67707269478342</c:v>
                </c:pt>
                <c:pt idx="285">
                  <c:v>-4.742643638987273</c:v>
                </c:pt>
                <c:pt idx="286">
                  <c:v>-4.8079745740699433</c:v>
                </c:pt>
                <c:pt idx="287">
                  <c:v>-4.8730515668164891</c:v>
                </c:pt>
                <c:pt idx="288">
                  <c:v>-4.9378610906431231</c:v>
                </c:pt>
                <c:pt idx="289">
                  <c:v>-5.0023900248670037</c:v>
                </c:pt>
                <c:pt idx="290">
                  <c:v>-5.0666256536161285</c:v>
                </c:pt>
                <c:pt idx="291">
                  <c:v>-5.1305556643921033</c:v>
                </c:pt>
                <c:pt idx="292">
                  <c:v>-5.1941681462986011</c:v>
                </c:pt>
                <c:pt idx="293">
                  <c:v>-5.2574515879485473</c:v>
                </c:pt>
                <c:pt idx="294">
                  <c:v>-5.3203948750628625</c:v>
                </c:pt>
                <c:pt idx="295">
                  <c:v>-5.3829872877738714</c:v>
                </c:pt>
                <c:pt idx="296">
                  <c:v>-5.4452184976462839</c:v>
                </c:pt>
                <c:pt idx="297">
                  <c:v>-5.5070785644286744</c:v>
                </c:pt>
                <c:pt idx="298">
                  <c:v>-5.5685579325483543</c:v>
                </c:pt>
                <c:pt idx="299">
                  <c:v>-5.6296474273623902</c:v>
                </c:pt>
                <c:pt idx="300">
                  <c:v>-5.6903382511774803</c:v>
                </c:pt>
                <c:pt idx="301">
                  <c:v>-5.7506219790512079</c:v>
                </c:pt>
                <c:pt idx="302">
                  <c:v>-5.8104905543871119</c:v>
                </c:pt>
                <c:pt idx="303">
                  <c:v>-5.8699362843357585</c:v>
                </c:pt>
                <c:pt idx="304">
                  <c:v>-5.9289518350139616</c:v>
                </c:pt>
                <c:pt idx="305">
                  <c:v>-5.9875302265539885</c:v>
                </c:pt>
                <c:pt idx="306">
                  <c:v>-6.0456648279943979</c:v>
                </c:pt>
                <c:pt idx="307">
                  <c:v>-6.1033493520239963</c:v>
                </c:pt>
                <c:pt idx="308">
                  <c:v>-6.1605778495901244</c:v>
                </c:pt>
                <c:pt idx="309">
                  <c:v>-6.2173447043822252</c:v>
                </c:pt>
                <c:pt idx="310">
                  <c:v>-6.273644627201457</c:v>
                </c:pt>
                <c:pt idx="311">
                  <c:v>-6.3294726502267764</c:v>
                </c:pt>
                <c:pt idx="312">
                  <c:v>-6.3848241211877337</c:v>
                </c:pt>
                <c:pt idx="313">
                  <c:v>-6.4396946974538682</c:v>
                </c:pt>
                <c:pt idx="314">
                  <c:v>-6.4940803400503544</c:v>
                </c:pt>
                <c:pt idx="315">
                  <c:v>-6.5479773076093029</c:v>
                </c:pt>
                <c:pt idx="316">
                  <c:v>-6.6013821502657111</c:v>
                </c:pt>
                <c:pt idx="317">
                  <c:v>-6.6542917035069262</c:v>
                </c:pt>
                <c:pt idx="318">
                  <c:v>-6.7067030819840694</c:v>
                </c:pt>
                <c:pt idx="319">
                  <c:v>-6.7586136732935822</c:v>
                </c:pt>
                <c:pt idx="320">
                  <c:v>-6.8100211317368853</c:v>
                </c:pt>
                <c:pt idx="321">
                  <c:v>-6.8609233720656402</c:v>
                </c:pt>
                <c:pt idx="322">
                  <c:v>-6.911318563220024</c:v>
                </c:pt>
                <c:pt idx="323">
                  <c:v>-6.9612051220669198</c:v>
                </c:pt>
                <c:pt idx="324">
                  <c:v>-7.0105817071448611</c:v>
                </c:pt>
                <c:pt idx="325">
                  <c:v>-7.0594472124220582</c:v>
                </c:pt>
                <c:pt idx="326">
                  <c:v>-7.1078007610736842</c:v>
                </c:pt>
                <c:pt idx="327">
                  <c:v>-7.1556416992842875</c:v>
                </c:pt>
                <c:pt idx="328">
                  <c:v>-7.2029695900808619</c:v>
                </c:pt>
                <c:pt idx="329">
                  <c:v>-7.2497842072019392</c:v>
                </c:pt>
                <c:pt idx="330">
                  <c:v>-7.2960855290076232</c:v>
                </c:pt>
                <c:pt idx="331">
                  <c:v>-7.3418737324354293</c:v>
                </c:pt>
                <c:pt idx="332">
                  <c:v>-7.3871491870063073</c:v>
                </c:pt>
                <c:pt idx="333">
                  <c:v>-7.4319124488851847</c:v>
                </c:pt>
                <c:pt idx="334">
                  <c:v>-7.4761642549999001</c:v>
                </c:pt>
                <c:pt idx="335">
                  <c:v>-7.5199055172223561</c:v>
                </c:pt>
                <c:pt idx="336">
                  <c:v>-7.5631373166152605</c:v>
                </c:pt>
                <c:pt idx="337">
                  <c:v>-7.6058608977478821</c:v>
                </c:pt>
                <c:pt idx="338">
                  <c:v>-7.6480776630835736</c:v>
                </c:pt>
                <c:pt idx="339">
                  <c:v>-7.689789167442175</c:v>
                </c:pt>
                <c:pt idx="340">
                  <c:v>-7.7309971125396011</c:v>
                </c:pt>
                <c:pt idx="341">
                  <c:v>-7.7717033416071555</c:v>
                </c:pt>
                <c:pt idx="342">
                  <c:v>-7.8119098340926589</c:v>
                </c:pt>
                <c:pt idx="343">
                  <c:v>-7.8516187004453748</c:v>
                </c:pt>
                <c:pt idx="344">
                  <c:v>-7.8908321769865104</c:v>
                </c:pt>
                <c:pt idx="345">
                  <c:v>-7.9295526208668692</c:v>
                </c:pt>
                <c:pt idx="346">
                  <c:v>-7.9677825051131075</c:v>
                </c:pt>
                <c:pt idx="347">
                  <c:v>-8.005524413763796</c:v>
                </c:pt>
                <c:pt idx="348">
                  <c:v>-8.0427810370963488</c:v>
                </c:pt>
                <c:pt idx="349">
                  <c:v>-8.0795551669458092</c:v>
                </c:pt>
                <c:pt idx="350">
                  <c:v>-8.1158496921161838</c:v>
                </c:pt>
                <c:pt idx="351">
                  <c:v>-8.1516675938849907</c:v>
                </c:pt>
                <c:pt idx="352">
                  <c:v>-8.1870119416014653</c:v>
                </c:pt>
                <c:pt idx="353">
                  <c:v>-8.2218858883788339</c:v>
                </c:pt>
                <c:pt idx="354">
                  <c:v>-8.2562926668807783</c:v>
                </c:pt>
                <c:pt idx="355">
                  <c:v>-8.2902355852023053</c:v>
                </c:pt>
                <c:pt idx="356">
                  <c:v>-8.3237180228449166</c:v>
                </c:pt>
                <c:pt idx="357">
                  <c:v>-8.3567434267859859</c:v>
                </c:pt>
                <c:pt idx="358">
                  <c:v>-8.3893153076421036</c:v>
                </c:pt>
                <c:pt idx="359">
                  <c:v>-8.4214372359261329</c:v>
                </c:pt>
                <c:pt idx="360">
                  <c:v>-8.4531128383974021</c:v>
                </c:pt>
                <c:pt idx="361">
                  <c:v>-8.4843457945046925</c:v>
                </c:pt>
                <c:pt idx="362">
                  <c:v>-8.5151398329213119</c:v>
                </c:pt>
                <c:pt idx="363">
                  <c:v>-8.5454987281716779</c:v>
                </c:pt>
                <c:pt idx="364">
                  <c:v>-8.5754262973485762</c:v>
                </c:pt>
                <c:pt idx="365">
                  <c:v>-8.6049263969203551</c:v>
                </c:pt>
                <c:pt idx="366">
                  <c:v>-8.6340029196271484</c:v>
                </c:pt>
                <c:pt idx="367">
                  <c:v>-8.6626597914652343</c:v>
                </c:pt>
                <c:pt idx="368">
                  <c:v>-8.6909009687584717</c:v>
                </c:pt>
                <c:pt idx="369">
                  <c:v>-8.7187304353158659</c:v>
                </c:pt>
                <c:pt idx="370">
                  <c:v>-8.7461521996740839</c:v>
                </c:pt>
                <c:pt idx="371">
                  <c:v>-8.7731702924239112</c:v>
                </c:pt>
                <c:pt idx="372">
                  <c:v>-8.7997887636193308</c:v>
                </c:pt>
                <c:pt idx="373">
                  <c:v>-8.8260116802681772</c:v>
                </c:pt>
                <c:pt idx="374">
                  <c:v>-8.8518431239030093</c:v>
                </c:pt>
                <c:pt idx="375">
                  <c:v>-8.8772871882310369</c:v>
                </c:pt>
                <c:pt idx="376">
                  <c:v>-8.9023479768617015</c:v>
                </c:pt>
                <c:pt idx="377">
                  <c:v>-8.9270296011107355</c:v>
                </c:pt>
                <c:pt idx="378">
                  <c:v>-8.9270538725387887</c:v>
                </c:pt>
                <c:pt idx="379">
                  <c:v>-8.9270781435982283</c:v>
                </c:pt>
                <c:pt idx="380">
                  <c:v>-8.9271024142890507</c:v>
                </c:pt>
                <c:pt idx="381">
                  <c:v>-8.9271266846112596</c:v>
                </c:pt>
                <c:pt idx="382">
                  <c:v>-8.9271509545648637</c:v>
                </c:pt>
                <c:pt idx="383">
                  <c:v>-8.9271752241498668</c:v>
                </c:pt>
                <c:pt idx="384">
                  <c:v>-8.9271994933662722</c:v>
                </c:pt>
                <c:pt idx="385">
                  <c:v>-8.9272237622140818</c:v>
                </c:pt>
                <c:pt idx="386">
                  <c:v>-8.9272480306933115</c:v>
                </c:pt>
                <c:pt idx="387">
                  <c:v>-8.9272722988039437</c:v>
                </c:pt>
                <c:pt idx="388">
                  <c:v>-8.9272965665459978</c:v>
                </c:pt>
                <c:pt idx="389">
                  <c:v>-8.9273208339194756</c:v>
                </c:pt>
                <c:pt idx="390">
                  <c:v>-8.9273451009243825</c:v>
                </c:pt>
                <c:pt idx="391">
                  <c:v>-8.9273693675607113</c:v>
                </c:pt>
                <c:pt idx="392">
                  <c:v>-8.927393633828471</c:v>
                </c:pt>
                <c:pt idx="393">
                  <c:v>-8.9274178997276792</c:v>
                </c:pt>
                <c:pt idx="394">
                  <c:v>-8.9274421652583289</c:v>
                </c:pt>
                <c:pt idx="395">
                  <c:v>-8.9274664304204183</c:v>
                </c:pt>
                <c:pt idx="396">
                  <c:v>-8.9274906952139634</c:v>
                </c:pt>
                <c:pt idx="397">
                  <c:v>-8.9275149596389607</c:v>
                </c:pt>
                <c:pt idx="398">
                  <c:v>-8.9275392236954154</c:v>
                </c:pt>
                <c:pt idx="399">
                  <c:v>-8.9275634873833276</c:v>
                </c:pt>
                <c:pt idx="400">
                  <c:v>-8.9275877507027168</c:v>
                </c:pt>
                <c:pt idx="401">
                  <c:v>-8.9276120136535688</c:v>
                </c:pt>
                <c:pt idx="402">
                  <c:v>-8.9276362762358961</c:v>
                </c:pt>
                <c:pt idx="403">
                  <c:v>-8.9276605384497074</c:v>
                </c:pt>
                <c:pt idx="404">
                  <c:v>-8.9276848002949958</c:v>
                </c:pt>
                <c:pt idx="405">
                  <c:v>-8.9277090617717683</c:v>
                </c:pt>
                <c:pt idx="406">
                  <c:v>-8.9277333228800373</c:v>
                </c:pt>
                <c:pt idx="407">
                  <c:v>-8.9277575836197993</c:v>
                </c:pt>
                <c:pt idx="408">
                  <c:v>-8.927781843991065</c:v>
                </c:pt>
                <c:pt idx="409">
                  <c:v>-8.9278061039938255</c:v>
                </c:pt>
                <c:pt idx="410">
                  <c:v>-8.9278303636280949</c:v>
                </c:pt>
                <c:pt idx="411">
                  <c:v>-8.9278546228938716</c:v>
                </c:pt>
                <c:pt idx="412">
                  <c:v>-8.9278788817911678</c:v>
                </c:pt>
                <c:pt idx="413">
                  <c:v>-8.927903140319982</c:v>
                </c:pt>
                <c:pt idx="414">
                  <c:v>-8.9279273984803194</c:v>
                </c:pt>
                <c:pt idx="415">
                  <c:v>-8.9279516562721835</c:v>
                </c:pt>
                <c:pt idx="416">
                  <c:v>-8.9279759136955743</c:v>
                </c:pt>
                <c:pt idx="417">
                  <c:v>-8.9280001707505026</c:v>
                </c:pt>
                <c:pt idx="418">
                  <c:v>-8.9280244274369736</c:v>
                </c:pt>
                <c:pt idx="419">
                  <c:v>-8.9280486837549837</c:v>
                </c:pt>
                <c:pt idx="420">
                  <c:v>-8.9280729397045455</c:v>
                </c:pt>
                <c:pt idx="421">
                  <c:v>-8.92809719528565</c:v>
                </c:pt>
                <c:pt idx="422">
                  <c:v>-8.9281214504983133</c:v>
                </c:pt>
                <c:pt idx="423">
                  <c:v>-8.9281457053425317</c:v>
                </c:pt>
                <c:pt idx="424">
                  <c:v>-8.9281699598183177</c:v>
                </c:pt>
                <c:pt idx="425">
                  <c:v>-8.9281942139256749</c:v>
                </c:pt>
                <c:pt idx="426">
                  <c:v>-8.9282184676645979</c:v>
                </c:pt>
                <c:pt idx="427">
                  <c:v>-8.9282427210350903</c:v>
                </c:pt>
                <c:pt idx="428">
                  <c:v>-8.9282669740371734</c:v>
                </c:pt>
                <c:pt idx="429">
                  <c:v>-8.928291226670833</c:v>
                </c:pt>
                <c:pt idx="430">
                  <c:v>-8.9283154789360832</c:v>
                </c:pt>
                <c:pt idx="431">
                  <c:v>-8.9283397308329242</c:v>
                </c:pt>
                <c:pt idx="432">
                  <c:v>-8.9283639823613559</c:v>
                </c:pt>
                <c:pt idx="433">
                  <c:v>-8.9283882335213871</c:v>
                </c:pt>
                <c:pt idx="434">
                  <c:v>-8.928412484313025</c:v>
                </c:pt>
                <c:pt idx="435">
                  <c:v>-8.9284367347362679</c:v>
                </c:pt>
                <c:pt idx="436">
                  <c:v>-8.9284609847911209</c:v>
                </c:pt>
                <c:pt idx="437">
                  <c:v>-8.9284852344775913</c:v>
                </c:pt>
                <c:pt idx="438">
                  <c:v>-8.9285094837956791</c:v>
                </c:pt>
                <c:pt idx="439">
                  <c:v>-8.9285337327453949</c:v>
                </c:pt>
                <c:pt idx="440">
                  <c:v>-8.9285579813267351</c:v>
                </c:pt>
                <c:pt idx="441">
                  <c:v>-8.9285822295397086</c:v>
                </c:pt>
                <c:pt idx="442">
                  <c:v>-8.9286064773843137</c:v>
                </c:pt>
                <c:pt idx="443">
                  <c:v>-8.928630724860561</c:v>
                </c:pt>
                <c:pt idx="444">
                  <c:v>-8.9286549719684487</c:v>
                </c:pt>
                <c:pt idx="445">
                  <c:v>-8.9286792187079875</c:v>
                </c:pt>
                <c:pt idx="446">
                  <c:v>-8.928703465079181</c:v>
                </c:pt>
                <c:pt idx="447">
                  <c:v>-8.9287277110820202</c:v>
                </c:pt>
                <c:pt idx="448">
                  <c:v>-8.9287519567165283</c:v>
                </c:pt>
                <c:pt idx="449">
                  <c:v>-8.9287762019826911</c:v>
                </c:pt>
                <c:pt idx="450">
                  <c:v>-8.9288004468805315</c:v>
                </c:pt>
                <c:pt idx="451">
                  <c:v>-8.9288246914100355</c:v>
                </c:pt>
                <c:pt idx="452">
                  <c:v>-8.9288489355712173</c:v>
                </c:pt>
                <c:pt idx="453">
                  <c:v>-8.9288731793640803</c:v>
                </c:pt>
                <c:pt idx="454">
                  <c:v>-8.9288974227886317</c:v>
                </c:pt>
                <c:pt idx="455">
                  <c:v>-8.9289216658448662</c:v>
                </c:pt>
                <c:pt idx="456">
                  <c:v>-8.9289459085327909</c:v>
                </c:pt>
                <c:pt idx="457">
                  <c:v>-8.9289701508524129</c:v>
                </c:pt>
                <c:pt idx="458">
                  <c:v>-8.9289943928037339</c:v>
                </c:pt>
                <c:pt idx="459">
                  <c:v>-8.929018634386761</c:v>
                </c:pt>
                <c:pt idx="460">
                  <c:v>-8.9290428756014961</c:v>
                </c:pt>
                <c:pt idx="461">
                  <c:v>-8.9290671164479374</c:v>
                </c:pt>
                <c:pt idx="462">
                  <c:v>-8.9290913569260972</c:v>
                </c:pt>
                <c:pt idx="463">
                  <c:v>-8.9291155970359846</c:v>
                </c:pt>
                <c:pt idx="464">
                  <c:v>-8.9291398367775887</c:v>
                </c:pt>
                <c:pt idx="465">
                  <c:v>-8.9291640761509168</c:v>
                </c:pt>
                <c:pt idx="466">
                  <c:v>-8.9291883151559865</c:v>
                </c:pt>
                <c:pt idx="467">
                  <c:v>-8.9292125537927891</c:v>
                </c:pt>
                <c:pt idx="468">
                  <c:v>-8.9292367920613298</c:v>
                </c:pt>
                <c:pt idx="469">
                  <c:v>-8.9292610299616175</c:v>
                </c:pt>
                <c:pt idx="470">
                  <c:v>-8.9292852674936505</c:v>
                </c:pt>
                <c:pt idx="471">
                  <c:v>-8.9293095046574358</c:v>
                </c:pt>
                <c:pt idx="472">
                  <c:v>-8.9293337414529788</c:v>
                </c:pt>
                <c:pt idx="473">
                  <c:v>-8.9293579778802794</c:v>
                </c:pt>
                <c:pt idx="474">
                  <c:v>-8.9293822139393466</c:v>
                </c:pt>
                <c:pt idx="475">
                  <c:v>-8.9294064496301839</c:v>
                </c:pt>
                <c:pt idx="476">
                  <c:v>-8.9294306849527878</c:v>
                </c:pt>
                <c:pt idx="477">
                  <c:v>-8.9294549199071742</c:v>
                </c:pt>
                <c:pt idx="478">
                  <c:v>-8.9294791544933343</c:v>
                </c:pt>
                <c:pt idx="479">
                  <c:v>-8.9295033887112822</c:v>
                </c:pt>
                <c:pt idx="480">
                  <c:v>-8.9295276225610181</c:v>
                </c:pt>
                <c:pt idx="481">
                  <c:v>-8.9295518560425471</c:v>
                </c:pt>
                <c:pt idx="482">
                  <c:v>-8.9295760891558729</c:v>
                </c:pt>
                <c:pt idx="483">
                  <c:v>-8.9296003219010025</c:v>
                </c:pt>
                <c:pt idx="484">
                  <c:v>-8.9296245542779289</c:v>
                </c:pt>
                <c:pt idx="485">
                  <c:v>-8.9296487862866716</c:v>
                </c:pt>
                <c:pt idx="486">
                  <c:v>-8.9296730179272199</c:v>
                </c:pt>
                <c:pt idx="487">
                  <c:v>-8.9296972491995898</c:v>
                </c:pt>
                <c:pt idx="488">
                  <c:v>-8.9297214801037761</c:v>
                </c:pt>
                <c:pt idx="489">
                  <c:v>-8.9297457106397946</c:v>
                </c:pt>
                <c:pt idx="490">
                  <c:v>-8.9297699408076365</c:v>
                </c:pt>
                <c:pt idx="491">
                  <c:v>-8.929794170607309</c:v>
                </c:pt>
                <c:pt idx="492">
                  <c:v>-8.9298184000388243</c:v>
                </c:pt>
                <c:pt idx="493">
                  <c:v>-8.9298426291021755</c:v>
                </c:pt>
                <c:pt idx="494">
                  <c:v>-8.9298668577973714</c:v>
                </c:pt>
                <c:pt idx="495">
                  <c:v>-8.929891086124421</c:v>
                </c:pt>
                <c:pt idx="496">
                  <c:v>-8.929915314083317</c:v>
                </c:pt>
                <c:pt idx="497">
                  <c:v>-8.9299395416740737</c:v>
                </c:pt>
                <c:pt idx="498">
                  <c:v>-8.9299637688966911</c:v>
                </c:pt>
                <c:pt idx="499">
                  <c:v>-8.929987995751171</c:v>
                </c:pt>
                <c:pt idx="500">
                  <c:v>-8.9300122222375222</c:v>
                </c:pt>
                <c:pt idx="501">
                  <c:v>-8.9300364483557431</c:v>
                </c:pt>
                <c:pt idx="502">
                  <c:v>-8.9300606741058424</c:v>
                </c:pt>
                <c:pt idx="503">
                  <c:v>-8.930084899487829</c:v>
                </c:pt>
                <c:pt idx="504">
                  <c:v>-8.9301091245016959</c:v>
                </c:pt>
                <c:pt idx="505">
                  <c:v>-8.9301333491474466</c:v>
                </c:pt>
                <c:pt idx="506">
                  <c:v>-8.9301575734250953</c:v>
                </c:pt>
                <c:pt idx="507">
                  <c:v>-8.9301817973346402</c:v>
                </c:pt>
                <c:pt idx="508">
                  <c:v>-8.9302060208760867</c:v>
                </c:pt>
                <c:pt idx="509">
                  <c:v>-8.9302302440494401</c:v>
                </c:pt>
                <c:pt idx="510">
                  <c:v>-8.9302544668547021</c:v>
                </c:pt>
                <c:pt idx="511">
                  <c:v>-8.9302786892918782</c:v>
                </c:pt>
                <c:pt idx="512">
                  <c:v>-8.9303029113609664</c:v>
                </c:pt>
                <c:pt idx="513">
                  <c:v>-8.9303271330619847</c:v>
                </c:pt>
                <c:pt idx="514">
                  <c:v>-8.9303513543949222</c:v>
                </c:pt>
                <c:pt idx="515">
                  <c:v>-8.9303755753597862</c:v>
                </c:pt>
                <c:pt idx="516">
                  <c:v>-8.9303997959565873</c:v>
                </c:pt>
                <c:pt idx="517">
                  <c:v>-8.9304240161853237</c:v>
                </c:pt>
                <c:pt idx="518">
                  <c:v>-8.9304482360460025</c:v>
                </c:pt>
                <c:pt idx="519">
                  <c:v>-8.9304724555386255</c:v>
                </c:pt>
                <c:pt idx="520">
                  <c:v>-8.9304966746631997</c:v>
                </c:pt>
                <c:pt idx="521">
                  <c:v>-8.9305208934197271</c:v>
                </c:pt>
                <c:pt idx="522">
                  <c:v>-8.9305451118082093</c:v>
                </c:pt>
                <c:pt idx="523">
                  <c:v>-8.9305693298286624</c:v>
                </c:pt>
                <c:pt idx="524">
                  <c:v>-8.9305935474810685</c:v>
                </c:pt>
                <c:pt idx="525">
                  <c:v>-8.9306177647654543</c:v>
                </c:pt>
                <c:pt idx="526">
                  <c:v>-8.9306419816818128</c:v>
                </c:pt>
                <c:pt idx="527">
                  <c:v>-8.9306661982301403</c:v>
                </c:pt>
                <c:pt idx="528">
                  <c:v>-8.9306904144104546</c:v>
                </c:pt>
                <c:pt idx="529">
                  <c:v>-8.9307146302227576</c:v>
                </c:pt>
                <c:pt idx="530">
                  <c:v>-8.9307388456670438</c:v>
                </c:pt>
                <c:pt idx="531">
                  <c:v>-8.9307630607433328</c:v>
                </c:pt>
                <c:pt idx="532">
                  <c:v>-8.9307872754516051</c:v>
                </c:pt>
                <c:pt idx="533">
                  <c:v>-8.9308114897918909</c:v>
                </c:pt>
                <c:pt idx="534">
                  <c:v>-8.9308357037641777</c:v>
                </c:pt>
                <c:pt idx="535">
                  <c:v>-8.9308599173684797</c:v>
                </c:pt>
                <c:pt idx="536">
                  <c:v>-8.9308841306047864</c:v>
                </c:pt>
                <c:pt idx="537">
                  <c:v>-8.9309083434731207</c:v>
                </c:pt>
                <c:pt idx="538">
                  <c:v>-8.9309325559734685</c:v>
                </c:pt>
                <c:pt idx="539">
                  <c:v>-8.9309567681058493</c:v>
                </c:pt>
                <c:pt idx="540">
                  <c:v>-8.9309809798702577</c:v>
                </c:pt>
                <c:pt idx="541">
                  <c:v>-8.9310051912666975</c:v>
                </c:pt>
                <c:pt idx="542">
                  <c:v>-8.9310294022951808</c:v>
                </c:pt>
                <c:pt idx="543">
                  <c:v>-8.9310536129557043</c:v>
                </c:pt>
                <c:pt idx="544">
                  <c:v>-8.9310778232482697</c:v>
                </c:pt>
                <c:pt idx="545">
                  <c:v>-8.9311020331728859</c:v>
                </c:pt>
                <c:pt idx="546">
                  <c:v>-8.9311262427295581</c:v>
                </c:pt>
                <c:pt idx="547">
                  <c:v>-8.93115045191829</c:v>
                </c:pt>
                <c:pt idx="548">
                  <c:v>-8.9311746607390816</c:v>
                </c:pt>
                <c:pt idx="549">
                  <c:v>-8.9311988691919435</c:v>
                </c:pt>
                <c:pt idx="550">
                  <c:v>-8.9312230772768686</c:v>
                </c:pt>
                <c:pt idx="551">
                  <c:v>-8.9312472849938747</c:v>
                </c:pt>
                <c:pt idx="552">
                  <c:v>-8.9312714923429493</c:v>
                </c:pt>
                <c:pt idx="553">
                  <c:v>-8.9312956993241155</c:v>
                </c:pt>
                <c:pt idx="554">
                  <c:v>-8.931319905937368</c:v>
                </c:pt>
                <c:pt idx="555">
                  <c:v>-8.9313441121827033</c:v>
                </c:pt>
                <c:pt idx="556">
                  <c:v>-8.9313683180601373</c:v>
                </c:pt>
                <c:pt idx="557">
                  <c:v>-8.9313925235696718</c:v>
                </c:pt>
                <c:pt idx="558">
                  <c:v>-8.9314167287113087</c:v>
                </c:pt>
                <c:pt idx="559">
                  <c:v>-8.9314409334850531</c:v>
                </c:pt>
                <c:pt idx="560">
                  <c:v>-8.9314651378909051</c:v>
                </c:pt>
                <c:pt idx="561">
                  <c:v>-8.9314893419288683</c:v>
                </c:pt>
                <c:pt idx="562">
                  <c:v>-8.9315135455989552</c:v>
                </c:pt>
                <c:pt idx="563">
                  <c:v>-8.931537748901162</c:v>
                </c:pt>
                <c:pt idx="564">
                  <c:v>-8.9315619518354925</c:v>
                </c:pt>
                <c:pt idx="565">
                  <c:v>-8.9315861544019572</c:v>
                </c:pt>
                <c:pt idx="566">
                  <c:v>-8.9316103566005562</c:v>
                </c:pt>
                <c:pt idx="567">
                  <c:v>-8.9316345584312966</c:v>
                </c:pt>
                <c:pt idx="568">
                  <c:v>-8.9316587598941748</c:v>
                </c:pt>
                <c:pt idx="569">
                  <c:v>-8.9316829609892014</c:v>
                </c:pt>
                <c:pt idx="570">
                  <c:v>-8.9317071617163819</c:v>
                </c:pt>
                <c:pt idx="571">
                  <c:v>-8.9317313620757126</c:v>
                </c:pt>
                <c:pt idx="572">
                  <c:v>-8.931755562067206</c:v>
                </c:pt>
                <c:pt idx="573">
                  <c:v>-8.9317797616908567</c:v>
                </c:pt>
                <c:pt idx="574">
                  <c:v>-8.9318039609466773</c:v>
                </c:pt>
                <c:pt idx="575">
                  <c:v>-8.9318281598346712</c:v>
                </c:pt>
                <c:pt idx="576">
                  <c:v>-8.9318523583548348</c:v>
                </c:pt>
                <c:pt idx="577">
                  <c:v>-8.9318765565071843</c:v>
                </c:pt>
                <c:pt idx="578">
                  <c:v>-8.9319007542917106</c:v>
                </c:pt>
                <c:pt idx="579">
                  <c:v>-8.9319249517084245</c:v>
                </c:pt>
                <c:pt idx="580">
                  <c:v>-8.9319491487573295</c:v>
                </c:pt>
                <c:pt idx="581">
                  <c:v>-8.9319733454384345</c:v>
                </c:pt>
                <c:pt idx="582">
                  <c:v>-8.9319975417517341</c:v>
                </c:pt>
                <c:pt idx="583">
                  <c:v>-8.9320217376972355</c:v>
                </c:pt>
                <c:pt idx="584">
                  <c:v>-8.9320459332749493</c:v>
                </c:pt>
                <c:pt idx="585">
                  <c:v>-8.9320701284848685</c:v>
                </c:pt>
                <c:pt idx="586">
                  <c:v>-8.9320943233270071</c:v>
                </c:pt>
                <c:pt idx="587">
                  <c:v>-8.93211851780136</c:v>
                </c:pt>
                <c:pt idx="588">
                  <c:v>-8.9321427119079395</c:v>
                </c:pt>
                <c:pt idx="589">
                  <c:v>-8.9321669056467421</c:v>
                </c:pt>
                <c:pt idx="590">
                  <c:v>-8.9321910990177855</c:v>
                </c:pt>
                <c:pt idx="591">
                  <c:v>-8.9322152920210574</c:v>
                </c:pt>
                <c:pt idx="592">
                  <c:v>-8.9322394846565665</c:v>
                </c:pt>
                <c:pt idx="593">
                  <c:v>-8.9322636769243253</c:v>
                </c:pt>
                <c:pt idx="594">
                  <c:v>-8.9322878688243215</c:v>
                </c:pt>
                <c:pt idx="595">
                  <c:v>-8.9323120603565762</c:v>
                </c:pt>
                <c:pt idx="596">
                  <c:v>-8.9323362515210896</c:v>
                </c:pt>
                <c:pt idx="597">
                  <c:v>-8.9323604423178598</c:v>
                </c:pt>
                <c:pt idx="598">
                  <c:v>-8.9323846327468885</c:v>
                </c:pt>
                <c:pt idx="599">
                  <c:v>-8.9324088228081902</c:v>
                </c:pt>
                <c:pt idx="600">
                  <c:v>-8.9324330125017575</c:v>
                </c:pt>
                <c:pt idx="601">
                  <c:v>-8.9324572018276029</c:v>
                </c:pt>
                <c:pt idx="602">
                  <c:v>-8.9324813907857301</c:v>
                </c:pt>
                <c:pt idx="603">
                  <c:v>-8.9325055793761425</c:v>
                </c:pt>
                <c:pt idx="604">
                  <c:v>-8.9325297675988438</c:v>
                </c:pt>
                <c:pt idx="605">
                  <c:v>-8.9325539554538285</c:v>
                </c:pt>
                <c:pt idx="606">
                  <c:v>-8.9325781429411091</c:v>
                </c:pt>
                <c:pt idx="607">
                  <c:v>-8.9326023300606927</c:v>
                </c:pt>
                <c:pt idx="608">
                  <c:v>-8.9326265168125811</c:v>
                </c:pt>
                <c:pt idx="609">
                  <c:v>-8.9326507031967797</c:v>
                </c:pt>
                <c:pt idx="610">
                  <c:v>-8.9326748892132848</c:v>
                </c:pt>
                <c:pt idx="611">
                  <c:v>-8.9326990748621053</c:v>
                </c:pt>
                <c:pt idx="612">
                  <c:v>-8.9327232601432556</c:v>
                </c:pt>
                <c:pt idx="613">
                  <c:v>-8.9327474450567195</c:v>
                </c:pt>
                <c:pt idx="614">
                  <c:v>-8.9327716296025113</c:v>
                </c:pt>
                <c:pt idx="615">
                  <c:v>-8.9327958137806363</c:v>
                </c:pt>
                <c:pt idx="616">
                  <c:v>-8.932819997591098</c:v>
                </c:pt>
                <c:pt idx="617">
                  <c:v>-8.9328441810339001</c:v>
                </c:pt>
                <c:pt idx="618">
                  <c:v>-8.9328683641090461</c:v>
                </c:pt>
                <c:pt idx="619">
                  <c:v>-8.932892546816543</c:v>
                </c:pt>
                <c:pt idx="620">
                  <c:v>-8.932916729156382</c:v>
                </c:pt>
                <c:pt idx="621">
                  <c:v>-8.9329409111285862</c:v>
                </c:pt>
                <c:pt idx="622">
                  <c:v>-8.9329650927331485</c:v>
                </c:pt>
                <c:pt idx="623">
                  <c:v>-8.9329892739700725</c:v>
                </c:pt>
                <c:pt idx="624">
                  <c:v>-8.9330134548393669</c:v>
                </c:pt>
                <c:pt idx="625">
                  <c:v>-8.9330376353410319</c:v>
                </c:pt>
                <c:pt idx="626">
                  <c:v>-8.9330618154750745</c:v>
                </c:pt>
                <c:pt idx="627">
                  <c:v>-8.9330859952414983</c:v>
                </c:pt>
                <c:pt idx="628">
                  <c:v>-8.933110174640305</c:v>
                </c:pt>
                <c:pt idx="629">
                  <c:v>-8.9331343536714929</c:v>
                </c:pt>
                <c:pt idx="630">
                  <c:v>-8.9331585323350815</c:v>
                </c:pt>
                <c:pt idx="631">
                  <c:v>-8.9331827106310673</c:v>
                </c:pt>
                <c:pt idx="632">
                  <c:v>-8.9332068885594538</c:v>
                </c:pt>
                <c:pt idx="633">
                  <c:v>-8.9332310661202428</c:v>
                </c:pt>
                <c:pt idx="634">
                  <c:v>-8.9332552433134342</c:v>
                </c:pt>
                <c:pt idx="635">
                  <c:v>-8.9332794201390424</c:v>
                </c:pt>
                <c:pt idx="636">
                  <c:v>-8.9333035965970691</c:v>
                </c:pt>
                <c:pt idx="637">
                  <c:v>-8.9333277726875142</c:v>
                </c:pt>
                <c:pt idx="638">
                  <c:v>-8.9333519484103814</c:v>
                </c:pt>
                <c:pt idx="639">
                  <c:v>-8.9333761237656812</c:v>
                </c:pt>
                <c:pt idx="640">
                  <c:v>-8.933400298753412</c:v>
                </c:pt>
                <c:pt idx="641">
                  <c:v>-8.933424473373579</c:v>
                </c:pt>
                <c:pt idx="642">
                  <c:v>-8.9334486476261876</c:v>
                </c:pt>
                <c:pt idx="643">
                  <c:v>-8.9334728215112449</c:v>
                </c:pt>
                <c:pt idx="644">
                  <c:v>-8.9334969950287384</c:v>
                </c:pt>
                <c:pt idx="645">
                  <c:v>-8.9335211681786983</c:v>
                </c:pt>
                <c:pt idx="646">
                  <c:v>-8.9335453409611034</c:v>
                </c:pt>
                <c:pt idx="647">
                  <c:v>-8.9335695133759785</c:v>
                </c:pt>
                <c:pt idx="648">
                  <c:v>-8.9335936854233164</c:v>
                </c:pt>
                <c:pt idx="649">
                  <c:v>-8.9336178571031155</c:v>
                </c:pt>
                <c:pt idx="650">
                  <c:v>-8.9336420284153935</c:v>
                </c:pt>
                <c:pt idx="651">
                  <c:v>-8.9336661993601503</c:v>
                </c:pt>
                <c:pt idx="652">
                  <c:v>-8.9336903699373842</c:v>
                </c:pt>
                <c:pt idx="653">
                  <c:v>-8.9337145401471023</c:v>
                </c:pt>
                <c:pt idx="654">
                  <c:v>-8.93373870998931</c:v>
                </c:pt>
                <c:pt idx="655">
                  <c:v>-8.9337628794640125</c:v>
                </c:pt>
                <c:pt idx="656">
                  <c:v>-8.9337870485712116</c:v>
                </c:pt>
                <c:pt idx="657">
                  <c:v>-8.9338112173109145</c:v>
                </c:pt>
                <c:pt idx="658">
                  <c:v>-8.9338353856831212</c:v>
                </c:pt>
                <c:pt idx="659">
                  <c:v>-8.9338595536878334</c:v>
                </c:pt>
                <c:pt idx="660">
                  <c:v>-8.9338837213250581</c:v>
                </c:pt>
                <c:pt idx="661">
                  <c:v>-8.9339078885948009</c:v>
                </c:pt>
                <c:pt idx="662">
                  <c:v>-8.9339320554970669</c:v>
                </c:pt>
                <c:pt idx="663">
                  <c:v>-8.9339562220318527</c:v>
                </c:pt>
                <c:pt idx="664">
                  <c:v>-8.9339803881991759</c:v>
                </c:pt>
                <c:pt idx="665">
                  <c:v>-8.9340045539990278</c:v>
                </c:pt>
                <c:pt idx="666">
                  <c:v>-8.9340287194314101</c:v>
                </c:pt>
                <c:pt idx="667">
                  <c:v>-8.9340528844963476</c:v>
                </c:pt>
                <c:pt idx="668">
                  <c:v>-8.9340770491938208</c:v>
                </c:pt>
                <c:pt idx="669">
                  <c:v>-8.9341012135238458</c:v>
                </c:pt>
                <c:pt idx="670">
                  <c:v>-8.9341253774864242</c:v>
                </c:pt>
                <c:pt idx="671">
                  <c:v>-8.9341495410815615</c:v>
                </c:pt>
                <c:pt idx="672">
                  <c:v>-8.9341737043092611</c:v>
                </c:pt>
                <c:pt idx="673">
                  <c:v>-8.9341978671695248</c:v>
                </c:pt>
                <c:pt idx="674">
                  <c:v>-8.9342220296623545</c:v>
                </c:pt>
                <c:pt idx="675">
                  <c:v>-8.9342461917877589</c:v>
                </c:pt>
                <c:pt idx="676">
                  <c:v>-8.93427035354574</c:v>
                </c:pt>
                <c:pt idx="677">
                  <c:v>-8.9342945149362993</c:v>
                </c:pt>
                <c:pt idx="678">
                  <c:v>-8.9343186759594495</c:v>
                </c:pt>
                <c:pt idx="679">
                  <c:v>-8.9343428366151905</c:v>
                </c:pt>
                <c:pt idx="680">
                  <c:v>-8.9343669969035187</c:v>
                </c:pt>
                <c:pt idx="681">
                  <c:v>-8.9343911568244501</c:v>
                </c:pt>
                <c:pt idx="682">
                  <c:v>-8.9344153163779811</c:v>
                </c:pt>
                <c:pt idx="683">
                  <c:v>-8.934439475564119</c:v>
                </c:pt>
                <c:pt idx="684">
                  <c:v>-8.9344636343828672</c:v>
                </c:pt>
                <c:pt idx="685">
                  <c:v>-8.9344877928342257</c:v>
                </c:pt>
                <c:pt idx="686">
                  <c:v>-8.9345119509182034</c:v>
                </c:pt>
                <c:pt idx="687">
                  <c:v>-8.9345361086348021</c:v>
                </c:pt>
                <c:pt idx="688">
                  <c:v>-8.9345602659840271</c:v>
                </c:pt>
                <c:pt idx="689">
                  <c:v>-8.934584422965882</c:v>
                </c:pt>
                <c:pt idx="690">
                  <c:v>-8.934608579580372</c:v>
                </c:pt>
                <c:pt idx="691">
                  <c:v>-8.9346327358275008</c:v>
                </c:pt>
                <c:pt idx="692">
                  <c:v>-8.9346568917072666</c:v>
                </c:pt>
                <c:pt idx="693">
                  <c:v>-8.9346810472196854</c:v>
                </c:pt>
                <c:pt idx="694">
                  <c:v>-8.9347052023647464</c:v>
                </c:pt>
                <c:pt idx="695">
                  <c:v>-8.9347293571424622</c:v>
                </c:pt>
                <c:pt idx="696">
                  <c:v>-8.9347535115528434</c:v>
                </c:pt>
                <c:pt idx="697">
                  <c:v>-8.9347776655958739</c:v>
                </c:pt>
                <c:pt idx="698">
                  <c:v>-8.9348018192715823</c:v>
                </c:pt>
                <c:pt idx="699">
                  <c:v>-8.9348259725799544</c:v>
                </c:pt>
                <c:pt idx="700">
                  <c:v>-8.9348501255210024</c:v>
                </c:pt>
                <c:pt idx="701">
                  <c:v>-8.9348742780947337</c:v>
                </c:pt>
                <c:pt idx="702">
                  <c:v>-8.9348984303011427</c:v>
                </c:pt>
                <c:pt idx="703">
                  <c:v>-8.9349225821402349</c:v>
                </c:pt>
                <c:pt idx="704">
                  <c:v>-8.9349467336120192</c:v>
                </c:pt>
                <c:pt idx="705">
                  <c:v>-8.934970884716499</c:v>
                </c:pt>
                <c:pt idx="706">
                  <c:v>-8.9349950354536798</c:v>
                </c:pt>
                <c:pt idx="707">
                  <c:v>-8.9350191858235579</c:v>
                </c:pt>
                <c:pt idx="708">
                  <c:v>-8.9350433358261458</c:v>
                </c:pt>
                <c:pt idx="709">
                  <c:v>-8.9350674854614418</c:v>
                </c:pt>
                <c:pt idx="710">
                  <c:v>-8.9350916347294511</c:v>
                </c:pt>
                <c:pt idx="711">
                  <c:v>-8.9351157836301756</c:v>
                </c:pt>
                <c:pt idx="712">
                  <c:v>-8.9351399321636329</c:v>
                </c:pt>
                <c:pt idx="713">
                  <c:v>-8.9351640803298089</c:v>
                </c:pt>
                <c:pt idx="714">
                  <c:v>-8.935188228128716</c:v>
                </c:pt>
                <c:pt idx="715">
                  <c:v>-8.9352123755603579</c:v>
                </c:pt>
                <c:pt idx="716">
                  <c:v>-8.9352365226247414</c:v>
                </c:pt>
                <c:pt idx="717">
                  <c:v>-8.9352606693218632</c:v>
                </c:pt>
                <c:pt idx="718">
                  <c:v>-8.9352848156517304</c:v>
                </c:pt>
                <c:pt idx="719">
                  <c:v>-8.93530896161435</c:v>
                </c:pt>
                <c:pt idx="720">
                  <c:v>-8.9353331072097291</c:v>
                </c:pt>
                <c:pt idx="721">
                  <c:v>-8.9353572524378624</c:v>
                </c:pt>
                <c:pt idx="722">
                  <c:v>-8.9353813972987588</c:v>
                </c:pt>
                <c:pt idx="723">
                  <c:v>-8.9354055417924201</c:v>
                </c:pt>
                <c:pt idx="724">
                  <c:v>-8.9354296859188569</c:v>
                </c:pt>
                <c:pt idx="725">
                  <c:v>-8.9354538296780639</c:v>
                </c:pt>
                <c:pt idx="726">
                  <c:v>-8.9354779730700518</c:v>
                </c:pt>
                <c:pt idx="727">
                  <c:v>-8.9355021160948205</c:v>
                </c:pt>
                <c:pt idx="728">
                  <c:v>-8.9355262587523807</c:v>
                </c:pt>
                <c:pt idx="729">
                  <c:v>-8.9355504010427236</c:v>
                </c:pt>
                <c:pt idx="730">
                  <c:v>-8.9355745429658668</c:v>
                </c:pt>
                <c:pt idx="731">
                  <c:v>-8.9355986845218069</c:v>
                </c:pt>
                <c:pt idx="732">
                  <c:v>-8.9356228257105492</c:v>
                </c:pt>
                <c:pt idx="733">
                  <c:v>-8.9356469665321026</c:v>
                </c:pt>
                <c:pt idx="734">
                  <c:v>-8.9356711069864616</c:v>
                </c:pt>
                <c:pt idx="735">
                  <c:v>-8.9356952470736388</c:v>
                </c:pt>
                <c:pt idx="736">
                  <c:v>-8.9357193867936395</c:v>
                </c:pt>
                <c:pt idx="737">
                  <c:v>-8.9357435261464584</c:v>
                </c:pt>
                <c:pt idx="738">
                  <c:v>-8.9357676651321043</c:v>
                </c:pt>
                <c:pt idx="739">
                  <c:v>-8.9357918037505844</c:v>
                </c:pt>
                <c:pt idx="740">
                  <c:v>-8.9358159420018897</c:v>
                </c:pt>
                <c:pt idx="741">
                  <c:v>-8.9358400798860451</c:v>
                </c:pt>
                <c:pt idx="742">
                  <c:v>-8.93586421740304</c:v>
                </c:pt>
                <c:pt idx="743">
                  <c:v>-8.9358883545528816</c:v>
                </c:pt>
                <c:pt idx="744">
                  <c:v>-8.9359124913355714</c:v>
                </c:pt>
                <c:pt idx="745">
                  <c:v>-8.9359366277511239</c:v>
                </c:pt>
                <c:pt idx="746">
                  <c:v>-8.9359607637995264</c:v>
                </c:pt>
                <c:pt idx="747">
                  <c:v>-8.9359848994807969</c:v>
                </c:pt>
                <c:pt idx="748">
                  <c:v>-8.936009034794937</c:v>
                </c:pt>
                <c:pt idx="749">
                  <c:v>-8.9360331697419486</c:v>
                </c:pt>
                <c:pt idx="750">
                  <c:v>-8.9360573043218317</c:v>
                </c:pt>
                <c:pt idx="751">
                  <c:v>-8.9360814385346004</c:v>
                </c:pt>
                <c:pt idx="752">
                  <c:v>-8.9361055723802441</c:v>
                </c:pt>
                <c:pt idx="753">
                  <c:v>-8.936129705858777</c:v>
                </c:pt>
                <c:pt idx="754">
                  <c:v>-8.9361538389702062</c:v>
                </c:pt>
                <c:pt idx="755">
                  <c:v>-8.9361779717145247</c:v>
                </c:pt>
                <c:pt idx="756">
                  <c:v>-8.9362021040917483</c:v>
                </c:pt>
                <c:pt idx="757">
                  <c:v>-8.9362262361018718</c:v>
                </c:pt>
                <c:pt idx="758">
                  <c:v>-8.9362503677449059</c:v>
                </c:pt>
                <c:pt idx="759">
                  <c:v>-8.9362744990208451</c:v>
                </c:pt>
                <c:pt idx="760">
                  <c:v>-8.9362986299297127</c:v>
                </c:pt>
                <c:pt idx="761">
                  <c:v>-8.936322760471489</c:v>
                </c:pt>
                <c:pt idx="762">
                  <c:v>-8.9363468906461936</c:v>
                </c:pt>
                <c:pt idx="763">
                  <c:v>-8.9363710204538247</c:v>
                </c:pt>
                <c:pt idx="764">
                  <c:v>-8.9363951498943823</c:v>
                </c:pt>
                <c:pt idx="765">
                  <c:v>-8.9364192789678825</c:v>
                </c:pt>
                <c:pt idx="766">
                  <c:v>-8.9364434076743198</c:v>
                </c:pt>
                <c:pt idx="767">
                  <c:v>-8.9364675360136996</c:v>
                </c:pt>
                <c:pt idx="768">
                  <c:v>-8.9364916639860326</c:v>
                </c:pt>
                <c:pt idx="769">
                  <c:v>-8.9365157915913151</c:v>
                </c:pt>
                <c:pt idx="770">
                  <c:v>-8.9365399188295456</c:v>
                </c:pt>
                <c:pt idx="771">
                  <c:v>-8.9365640457007451</c:v>
                </c:pt>
                <c:pt idx="772">
                  <c:v>-8.9365881722049032</c:v>
                </c:pt>
                <c:pt idx="773">
                  <c:v>-8.9366122983420357</c:v>
                </c:pt>
                <c:pt idx="774">
                  <c:v>-8.9366364241121339</c:v>
                </c:pt>
                <c:pt idx="775">
                  <c:v>-8.9366605495152118</c:v>
                </c:pt>
                <c:pt idx="776">
                  <c:v>-8.9366846745512696</c:v>
                </c:pt>
                <c:pt idx="777">
                  <c:v>-8.9367087992203125</c:v>
                </c:pt>
                <c:pt idx="778">
                  <c:v>-8.9367329235223476</c:v>
                </c:pt>
                <c:pt idx="779">
                  <c:v>-8.9367570474573643</c:v>
                </c:pt>
                <c:pt idx="780">
                  <c:v>-8.9367811710253804</c:v>
                </c:pt>
                <c:pt idx="781">
                  <c:v>-8.9368052942263976</c:v>
                </c:pt>
                <c:pt idx="782">
                  <c:v>-8.9368294170604248</c:v>
                </c:pt>
                <c:pt idx="783">
                  <c:v>-8.9368535395274531</c:v>
                </c:pt>
                <c:pt idx="784">
                  <c:v>-8.9368776616274932</c:v>
                </c:pt>
                <c:pt idx="785">
                  <c:v>-8.9369017833605522</c:v>
                </c:pt>
                <c:pt idx="786">
                  <c:v>-8.9369259047266318</c:v>
                </c:pt>
                <c:pt idx="787">
                  <c:v>-8.9369500257257339</c:v>
                </c:pt>
                <c:pt idx="788">
                  <c:v>-8.9369741463578674</c:v>
                </c:pt>
                <c:pt idx="789">
                  <c:v>-8.9369982666230285</c:v>
                </c:pt>
                <c:pt idx="790">
                  <c:v>-8.9370223865212282</c:v>
                </c:pt>
                <c:pt idx="791">
                  <c:v>-8.9370465060524662</c:v>
                </c:pt>
                <c:pt idx="792">
                  <c:v>-8.9370706252167516</c:v>
                </c:pt>
                <c:pt idx="793">
                  <c:v>-8.937094744014086</c:v>
                </c:pt>
                <c:pt idx="794">
                  <c:v>-8.9371188624444713</c:v>
                </c:pt>
                <c:pt idx="795">
                  <c:v>-8.9371429805079163</c:v>
                </c:pt>
                <c:pt idx="796">
                  <c:v>-8.9371670982044193</c:v>
                </c:pt>
                <c:pt idx="797">
                  <c:v>-8.9371912155339874</c:v>
                </c:pt>
                <c:pt idx="798">
                  <c:v>-8.9372153324966224</c:v>
                </c:pt>
                <c:pt idx="799">
                  <c:v>-8.9372394490923313</c:v>
                </c:pt>
                <c:pt idx="800">
                  <c:v>-8.9372635653211123</c:v>
                </c:pt>
                <c:pt idx="801">
                  <c:v>-8.9372876811829816</c:v>
                </c:pt>
                <c:pt idx="802">
                  <c:v>-8.9373117966779301</c:v>
                </c:pt>
                <c:pt idx="803">
                  <c:v>-8.9373359118059703</c:v>
                </c:pt>
                <c:pt idx="804">
                  <c:v>-8.9373600265671058</c:v>
                </c:pt>
                <c:pt idx="805">
                  <c:v>-8.9373841409613366</c:v>
                </c:pt>
                <c:pt idx="806">
                  <c:v>-8.9374082549886662</c:v>
                </c:pt>
                <c:pt idx="807">
                  <c:v>-8.9374323686490982</c:v>
                </c:pt>
                <c:pt idx="808">
                  <c:v>-8.9374564819426414</c:v>
                </c:pt>
                <c:pt idx="809">
                  <c:v>-8.9374805948692977</c:v>
                </c:pt>
                <c:pt idx="810">
                  <c:v>-8.9375047074290705</c:v>
                </c:pt>
                <c:pt idx="811">
                  <c:v>-8.9375288196219653</c:v>
                </c:pt>
                <c:pt idx="812">
                  <c:v>-8.937552931447982</c:v>
                </c:pt>
                <c:pt idx="813">
                  <c:v>-8.9375770429071366</c:v>
                </c:pt>
                <c:pt idx="814">
                  <c:v>-8.9376011539994131</c:v>
                </c:pt>
                <c:pt idx="815">
                  <c:v>-8.9376252647248329</c:v>
                </c:pt>
                <c:pt idx="816">
                  <c:v>-8.9376493750833923</c:v>
                </c:pt>
                <c:pt idx="817">
                  <c:v>-8.9376734850751021</c:v>
                </c:pt>
                <c:pt idx="818">
                  <c:v>-8.9376975946999551</c:v>
                </c:pt>
                <c:pt idx="819">
                  <c:v>-8.9377217039579637</c:v>
                </c:pt>
                <c:pt idx="820">
                  <c:v>-8.9377458128491281</c:v>
                </c:pt>
                <c:pt idx="821">
                  <c:v>-8.9377699213734534</c:v>
                </c:pt>
                <c:pt idx="822">
                  <c:v>-8.9377940295309397</c:v>
                </c:pt>
                <c:pt idx="823">
                  <c:v>-8.9378181373216048</c:v>
                </c:pt>
                <c:pt idx="824">
                  <c:v>-8.9378422447454362</c:v>
                </c:pt>
                <c:pt idx="825">
                  <c:v>-8.9378663518024464</c:v>
                </c:pt>
                <c:pt idx="826">
                  <c:v>-8.9378904584926389</c:v>
                </c:pt>
                <c:pt idx="827">
                  <c:v>-8.9379145648160172</c:v>
                </c:pt>
                <c:pt idx="828">
                  <c:v>-8.937938670772585</c:v>
                </c:pt>
                <c:pt idx="829">
                  <c:v>-8.9379627763623439</c:v>
                </c:pt>
                <c:pt idx="830">
                  <c:v>-8.9379868815853047</c:v>
                </c:pt>
                <c:pt idx="831">
                  <c:v>-8.9380109864414603</c:v>
                </c:pt>
                <c:pt idx="832">
                  <c:v>-8.938035090930823</c:v>
                </c:pt>
                <c:pt idx="833">
                  <c:v>-8.9380591950533965</c:v>
                </c:pt>
                <c:pt idx="834">
                  <c:v>-8.9380832988091861</c:v>
                </c:pt>
                <c:pt idx="835">
                  <c:v>-8.9381074021981952</c:v>
                </c:pt>
                <c:pt idx="836">
                  <c:v>-8.9381315052204204</c:v>
                </c:pt>
                <c:pt idx="837">
                  <c:v>-8.9381556078758742</c:v>
                </c:pt>
                <c:pt idx="838">
                  <c:v>-8.9381797101645528</c:v>
                </c:pt>
                <c:pt idx="839">
                  <c:v>-8.9382038120864706</c:v>
                </c:pt>
                <c:pt idx="840">
                  <c:v>-8.9382279136416205</c:v>
                </c:pt>
                <c:pt idx="841">
                  <c:v>-8.9382520148300184</c:v>
                </c:pt>
                <c:pt idx="842">
                  <c:v>-8.9382761156516608</c:v>
                </c:pt>
                <c:pt idx="843">
                  <c:v>-8.9383002161065495</c:v>
                </c:pt>
                <c:pt idx="844">
                  <c:v>-8.9383243161946915</c:v>
                </c:pt>
                <c:pt idx="845">
                  <c:v>-8.938348415916094</c:v>
                </c:pt>
                <c:pt idx="846">
                  <c:v>-8.9383725152707605</c:v>
                </c:pt>
                <c:pt idx="847">
                  <c:v>-8.938396614258691</c:v>
                </c:pt>
                <c:pt idx="848">
                  <c:v>-8.9384207128798945</c:v>
                </c:pt>
                <c:pt idx="849">
                  <c:v>-8.9384448111343708</c:v>
                </c:pt>
                <c:pt idx="850">
                  <c:v>-8.9384689090221201</c:v>
                </c:pt>
                <c:pt idx="851">
                  <c:v>-8.9384930065431529</c:v>
                </c:pt>
                <c:pt idx="852">
                  <c:v>-8.9385171036974747</c:v>
                </c:pt>
                <c:pt idx="853">
                  <c:v>-8.9385412004850853</c:v>
                </c:pt>
                <c:pt idx="854">
                  <c:v>-8.9385652969059937</c:v>
                </c:pt>
                <c:pt idx="855">
                  <c:v>-8.9385893929601927</c:v>
                </c:pt>
                <c:pt idx="856">
                  <c:v>-8.9386134886476984</c:v>
                </c:pt>
                <c:pt idx="857">
                  <c:v>-8.9386375839685108</c:v>
                </c:pt>
                <c:pt idx="858">
                  <c:v>-8.9386616789226263</c:v>
                </c:pt>
                <c:pt idx="859">
                  <c:v>-8.9386857735100591</c:v>
                </c:pt>
                <c:pt idx="860">
                  <c:v>-8.9387098677308146</c:v>
                </c:pt>
                <c:pt idx="861">
                  <c:v>-8.9387339615848909</c:v>
                </c:pt>
                <c:pt idx="862">
                  <c:v>-8.9387580550722934</c:v>
                </c:pt>
                <c:pt idx="863">
                  <c:v>-8.9387821481930256</c:v>
                </c:pt>
                <c:pt idx="864">
                  <c:v>-8.9388062409470948</c:v>
                </c:pt>
                <c:pt idx="865">
                  <c:v>-8.9388303333344954</c:v>
                </c:pt>
                <c:pt idx="866">
                  <c:v>-8.9388544253552453</c:v>
                </c:pt>
                <c:pt idx="867">
                  <c:v>-8.938878517009341</c:v>
                </c:pt>
                <c:pt idx="868">
                  <c:v>-8.9389026082967842</c:v>
                </c:pt>
                <c:pt idx="869">
                  <c:v>-8.9389266992175838</c:v>
                </c:pt>
                <c:pt idx="870">
                  <c:v>-8.9389507897717397</c:v>
                </c:pt>
                <c:pt idx="871">
                  <c:v>-8.9389748799592592</c:v>
                </c:pt>
                <c:pt idx="872">
                  <c:v>-8.9389989697801493</c:v>
                </c:pt>
                <c:pt idx="873">
                  <c:v>-8.9390230592344047</c:v>
                </c:pt>
                <c:pt idx="874">
                  <c:v>-8.9390471483220377</c:v>
                </c:pt>
                <c:pt idx="875">
                  <c:v>-8.9390712370430467</c:v>
                </c:pt>
                <c:pt idx="876">
                  <c:v>-8.939095325397437</c:v>
                </c:pt>
                <c:pt idx="877">
                  <c:v>-8.9391194133852192</c:v>
                </c:pt>
                <c:pt idx="878">
                  <c:v>-8.9391435010063898</c:v>
                </c:pt>
                <c:pt idx="879">
                  <c:v>-8.9391675882609558</c:v>
                </c:pt>
                <c:pt idx="880">
                  <c:v>-8.9391916751489173</c:v>
                </c:pt>
                <c:pt idx="881">
                  <c:v>-8.9392157616702814</c:v>
                </c:pt>
                <c:pt idx="882">
                  <c:v>-8.9392398478250534</c:v>
                </c:pt>
                <c:pt idx="883">
                  <c:v>-8.9392639336132387</c:v>
                </c:pt>
                <c:pt idx="884">
                  <c:v>-8.9392880190348389</c:v>
                </c:pt>
                <c:pt idx="885">
                  <c:v>-8.9393121040898542</c:v>
                </c:pt>
                <c:pt idx="886">
                  <c:v>-8.9393361887782952</c:v>
                </c:pt>
                <c:pt idx="887">
                  <c:v>-8.9393602731001653</c:v>
                </c:pt>
                <c:pt idx="888">
                  <c:v>-8.9393843570554612</c:v>
                </c:pt>
                <c:pt idx="889">
                  <c:v>-8.9394084406441952</c:v>
                </c:pt>
                <c:pt idx="890">
                  <c:v>-8.939432523866369</c:v>
                </c:pt>
                <c:pt idx="891">
                  <c:v>-8.9394566067219845</c:v>
                </c:pt>
                <c:pt idx="892">
                  <c:v>-8.9394806892110452</c:v>
                </c:pt>
                <c:pt idx="893">
                  <c:v>-8.9395047713335654</c:v>
                </c:pt>
                <c:pt idx="894">
                  <c:v>-8.9395288530895307</c:v>
                </c:pt>
                <c:pt idx="895">
                  <c:v>-8.9395529344789608</c:v>
                </c:pt>
                <c:pt idx="896">
                  <c:v>-8.9395770155018486</c:v>
                </c:pt>
                <c:pt idx="897">
                  <c:v>-8.93960109615821</c:v>
                </c:pt>
                <c:pt idx="898">
                  <c:v>-8.9396251764480397</c:v>
                </c:pt>
                <c:pt idx="899">
                  <c:v>-8.9396492563713466</c:v>
                </c:pt>
                <c:pt idx="900">
                  <c:v>-8.9396733359281306</c:v>
                </c:pt>
                <c:pt idx="901">
                  <c:v>-8.939697415118399</c:v>
                </c:pt>
                <c:pt idx="902">
                  <c:v>-8.9397214939421534</c:v>
                </c:pt>
                <c:pt idx="903">
                  <c:v>-8.9397455723993993</c:v>
                </c:pt>
                <c:pt idx="904">
                  <c:v>-8.9397696504901401</c:v>
                </c:pt>
                <c:pt idx="905">
                  <c:v>-8.9397937282143847</c:v>
                </c:pt>
                <c:pt idx="906">
                  <c:v>-8.9398178055721242</c:v>
                </c:pt>
                <c:pt idx="907">
                  <c:v>-8.9398418825633748</c:v>
                </c:pt>
                <c:pt idx="908">
                  <c:v>-8.9398659591881398</c:v>
                </c:pt>
                <c:pt idx="909">
                  <c:v>-8.9398900354464228</c:v>
                </c:pt>
                <c:pt idx="910">
                  <c:v>-8.9399141113382186</c:v>
                </c:pt>
                <c:pt idx="911">
                  <c:v>-8.9399381868635448</c:v>
                </c:pt>
                <c:pt idx="912">
                  <c:v>-8.9399622620223926</c:v>
                </c:pt>
                <c:pt idx="913">
                  <c:v>-8.939986336814771</c:v>
                </c:pt>
                <c:pt idx="914">
                  <c:v>-8.9400104112406886</c:v>
                </c:pt>
                <c:pt idx="915">
                  <c:v>-8.9400344853001457</c:v>
                </c:pt>
                <c:pt idx="916">
                  <c:v>-8.9400585589931456</c:v>
                </c:pt>
                <c:pt idx="917">
                  <c:v>-8.940082632319692</c:v>
                </c:pt>
                <c:pt idx="918">
                  <c:v>-8.9401067052797938</c:v>
                </c:pt>
                <c:pt idx="919">
                  <c:v>-8.9401307778734509</c:v>
                </c:pt>
                <c:pt idx="920">
                  <c:v>-8.9401548501006634</c:v>
                </c:pt>
                <c:pt idx="921">
                  <c:v>-8.9401789219614418</c:v>
                </c:pt>
                <c:pt idx="922">
                  <c:v>-8.9402029934557898</c:v>
                </c:pt>
                <c:pt idx="923">
                  <c:v>-8.9402270645837092</c:v>
                </c:pt>
                <c:pt idx="924">
                  <c:v>-8.9402511353452052</c:v>
                </c:pt>
                <c:pt idx="925">
                  <c:v>-8.9402752057402779</c:v>
                </c:pt>
                <c:pt idx="926">
                  <c:v>-8.9402992757689397</c:v>
                </c:pt>
                <c:pt idx="927">
                  <c:v>-8.940323345431187</c:v>
                </c:pt>
                <c:pt idx="928">
                  <c:v>-8.9403474147270234</c:v>
                </c:pt>
                <c:pt idx="929">
                  <c:v>-8.9403714836564614</c:v>
                </c:pt>
                <c:pt idx="930">
                  <c:v>-8.9403955522194938</c:v>
                </c:pt>
                <c:pt idx="931">
                  <c:v>-8.940419620416133</c:v>
                </c:pt>
                <c:pt idx="932">
                  <c:v>-8.9404436882463809</c:v>
                </c:pt>
                <c:pt idx="933">
                  <c:v>-8.940467755710241</c:v>
                </c:pt>
                <c:pt idx="934">
                  <c:v>-8.9404918228077186</c:v>
                </c:pt>
                <c:pt idx="935">
                  <c:v>-8.9405158895388155</c:v>
                </c:pt>
                <c:pt idx="936">
                  <c:v>-8.9405399559035352</c:v>
                </c:pt>
                <c:pt idx="937">
                  <c:v>-8.9405640219018796</c:v>
                </c:pt>
                <c:pt idx="938">
                  <c:v>-8.940588087533861</c:v>
                </c:pt>
                <c:pt idx="939">
                  <c:v>-8.9406121527994813</c:v>
                </c:pt>
                <c:pt idx="940">
                  <c:v>-8.9406362176987439</c:v>
                </c:pt>
                <c:pt idx="941">
                  <c:v>-8.9406602822316419</c:v>
                </c:pt>
                <c:pt idx="942">
                  <c:v>-8.9406843463981911</c:v>
                </c:pt>
                <c:pt idx="943">
                  <c:v>-8.9407084101983969</c:v>
                </c:pt>
                <c:pt idx="944">
                  <c:v>-8.9407324736322558</c:v>
                </c:pt>
                <c:pt idx="945">
                  <c:v>-8.9407565366997765</c:v>
                </c:pt>
                <c:pt idx="946">
                  <c:v>-8.9407805994009628</c:v>
                </c:pt>
                <c:pt idx="947">
                  <c:v>-8.9408046617358128</c:v>
                </c:pt>
                <c:pt idx="948">
                  <c:v>-8.9408287237043389</c:v>
                </c:pt>
                <c:pt idx="949">
                  <c:v>-8.9408527853065394</c:v>
                </c:pt>
                <c:pt idx="950">
                  <c:v>-8.9408768465424195</c:v>
                </c:pt>
                <c:pt idx="951">
                  <c:v>-8.9409009074119901</c:v>
                </c:pt>
                <c:pt idx="952">
                  <c:v>-8.940924967915242</c:v>
                </c:pt>
                <c:pt idx="953">
                  <c:v>-8.9409490280521915</c:v>
                </c:pt>
                <c:pt idx="954">
                  <c:v>-8.9409730878228384</c:v>
                </c:pt>
                <c:pt idx="955">
                  <c:v>-8.9409971472271863</c:v>
                </c:pt>
                <c:pt idx="956">
                  <c:v>-8.9410212062652388</c:v>
                </c:pt>
                <c:pt idx="957">
                  <c:v>-8.941045264936994</c:v>
                </c:pt>
                <c:pt idx="958">
                  <c:v>-8.9410693232424698</c:v>
                </c:pt>
                <c:pt idx="959">
                  <c:v>-8.9410933811816573</c:v>
                </c:pt>
                <c:pt idx="960">
                  <c:v>-8.9411174387545689</c:v>
                </c:pt>
                <c:pt idx="961">
                  <c:v>-8.9411414959612046</c:v>
                </c:pt>
                <c:pt idx="962">
                  <c:v>-8.9411655528015697</c:v>
                </c:pt>
                <c:pt idx="963">
                  <c:v>-8.941189609275666</c:v>
                </c:pt>
                <c:pt idx="964">
                  <c:v>-8.9412136653835024</c:v>
                </c:pt>
                <c:pt idx="965">
                  <c:v>-8.9412377211250753</c:v>
                </c:pt>
                <c:pt idx="966">
                  <c:v>-8.941261776500399</c:v>
                </c:pt>
                <c:pt idx="967">
                  <c:v>-8.9412858315094663</c:v>
                </c:pt>
                <c:pt idx="968">
                  <c:v>-8.9413098861522879</c:v>
                </c:pt>
                <c:pt idx="969">
                  <c:v>-8.9413339404288692</c:v>
                </c:pt>
                <c:pt idx="970">
                  <c:v>-8.9413579943392083</c:v>
                </c:pt>
                <c:pt idx="971">
                  <c:v>-8.9413820478833124</c:v>
                </c:pt>
                <c:pt idx="972">
                  <c:v>-8.9414061010611885</c:v>
                </c:pt>
                <c:pt idx="973">
                  <c:v>-8.9414301538728367</c:v>
                </c:pt>
                <c:pt idx="974">
                  <c:v>-8.941454206318264</c:v>
                </c:pt>
                <c:pt idx="975">
                  <c:v>-8.9414782583974688</c:v>
                </c:pt>
                <c:pt idx="976">
                  <c:v>-8.9415023101104634</c:v>
                </c:pt>
                <c:pt idx="977">
                  <c:v>-8.941526361457246</c:v>
                </c:pt>
                <c:pt idx="978">
                  <c:v>-8.9415504124378185</c:v>
                </c:pt>
                <c:pt idx="979">
                  <c:v>-8.9415744630521896</c:v>
                </c:pt>
                <c:pt idx="980">
                  <c:v>-8.9415985133003613</c:v>
                </c:pt>
                <c:pt idx="981">
                  <c:v>-8.9416225631823423</c:v>
                </c:pt>
                <c:pt idx="982">
                  <c:v>-8.9416466126981327</c:v>
                </c:pt>
                <c:pt idx="983">
                  <c:v>-8.9416706618477342</c:v>
                </c:pt>
                <c:pt idx="984">
                  <c:v>-8.941694710631154</c:v>
                </c:pt>
                <c:pt idx="985">
                  <c:v>-8.941718759048392</c:v>
                </c:pt>
                <c:pt idx="986">
                  <c:v>-8.9417428070994589</c:v>
                </c:pt>
                <c:pt idx="987">
                  <c:v>-8.9417668547843512</c:v>
                </c:pt>
                <c:pt idx="988">
                  <c:v>-8.9417909021030813</c:v>
                </c:pt>
                <c:pt idx="989">
                  <c:v>-8.9418149490556473</c:v>
                </c:pt>
                <c:pt idx="990">
                  <c:v>-8.9418389956420565</c:v>
                </c:pt>
                <c:pt idx="991">
                  <c:v>-8.9418630418623142</c:v>
                </c:pt>
                <c:pt idx="992">
                  <c:v>-8.9418870877164149</c:v>
                </c:pt>
                <c:pt idx="993">
                  <c:v>-8.9419111332043766</c:v>
                </c:pt>
                <c:pt idx="994">
                  <c:v>-8.9419351783261884</c:v>
                </c:pt>
                <c:pt idx="995">
                  <c:v>-8.9419592230818683</c:v>
                </c:pt>
                <c:pt idx="996">
                  <c:v>-8.9419832674714108</c:v>
                </c:pt>
                <c:pt idx="997">
                  <c:v>-8.9420073114948231</c:v>
                </c:pt>
                <c:pt idx="998">
                  <c:v>-8.9420313551521105</c:v>
                </c:pt>
                <c:pt idx="999">
                  <c:v>-8.9420553984432765</c:v>
                </c:pt>
                <c:pt idx="1000">
                  <c:v>-8.9420794413683211</c:v>
                </c:pt>
              </c:numCache>
            </c:numRef>
          </c:yVal>
          <c:smooth val="0"/>
          <c:extLst>
            <c:ext xmlns:c16="http://schemas.microsoft.com/office/drawing/2014/chart" uri="{C3380CC4-5D6E-409C-BE32-E72D297353CC}">
              <c16:uniqueId val="{00000001-BDD6-4E9B-9AFA-2396233049A9}"/>
            </c:ext>
          </c:extLst>
        </c:ser>
        <c:dLbls>
          <c:showLegendKey val="0"/>
          <c:showVal val="0"/>
          <c:showCatName val="0"/>
          <c:showSerName val="0"/>
          <c:showPercent val="0"/>
          <c:showBubbleSize val="0"/>
        </c:dLbls>
        <c:axId val="149575168"/>
        <c:axId val="149577088"/>
      </c:scatterChart>
      <c:valAx>
        <c:axId val="149575168"/>
        <c:scaling>
          <c:orientation val="minMax"/>
        </c:scaling>
        <c:delete val="0"/>
        <c:axPos val="b"/>
        <c:majorGridlines>
          <c:spPr>
            <a:ln w="3175">
              <a:solidFill>
                <a:srgbClr val="000000"/>
              </a:solidFill>
              <a:prstDash val="sysDash"/>
            </a:ln>
          </c:spPr>
        </c:majorGridlines>
        <c:title>
          <c:tx>
            <c:strRef>
              <c:f>Courbes!$B$146</c:f>
              <c:strCache>
                <c:ptCount val="1"/>
                <c:pt idx="0">
                  <c:v>Temps [s]</c:v>
                </c:pt>
              </c:strCache>
            </c:strRef>
          </c:tx>
          <c:overlay val="0"/>
          <c:txPr>
            <a:bodyPr/>
            <a:lstStyle/>
            <a:p>
              <a:pPr>
                <a:defRPr sz="1000" b="1" i="0" u="none" strike="noStrike" baseline="0">
                  <a:solidFill>
                    <a:srgbClr val="000000"/>
                  </a:solidFill>
                  <a:latin typeface="Arial"/>
                  <a:ea typeface="Arial"/>
                  <a:cs typeface="Arial"/>
                </a:defRPr>
              </a:pPr>
              <a:endParaRPr lang="fr-FR"/>
            </a:p>
          </c:txPr>
        </c:title>
        <c:numFmt formatCode="0" sourceLinked="0"/>
        <c:majorTickMark val="out"/>
        <c:minorTickMark val="none"/>
        <c:tickLblPos val="nextTo"/>
        <c:spPr>
          <a:ln w="3175">
            <a:solidFill>
              <a:srgbClr val="000000"/>
            </a:solidFill>
            <a:prstDash val="solid"/>
          </a:ln>
        </c:spPr>
        <c:txPr>
          <a:bodyPr rot="0" vert="horz"/>
          <a:lstStyle/>
          <a:p>
            <a:pPr>
              <a:defRPr sz="1175" b="0" i="0" u="none" strike="noStrike" baseline="0">
                <a:solidFill>
                  <a:srgbClr val="000000"/>
                </a:solidFill>
                <a:latin typeface="Arial"/>
                <a:ea typeface="Arial"/>
                <a:cs typeface="Arial"/>
              </a:defRPr>
            </a:pPr>
            <a:endParaRPr lang="fr-FR"/>
          </a:p>
        </c:txPr>
        <c:crossAx val="149577088"/>
        <c:crosses val="autoZero"/>
        <c:crossBetween val="midCat"/>
      </c:valAx>
      <c:valAx>
        <c:axId val="149577088"/>
        <c:scaling>
          <c:orientation val="minMax"/>
        </c:scaling>
        <c:delete val="0"/>
        <c:axPos val="l"/>
        <c:majorGridlines>
          <c:spPr>
            <a:ln w="3175">
              <a:solidFill>
                <a:srgbClr val="000000"/>
              </a:solidFill>
              <a:prstDash val="sysDash"/>
            </a:ln>
          </c:spPr>
        </c:majorGridlines>
        <c:title>
          <c:tx>
            <c:rich>
              <a:bodyPr/>
              <a:lstStyle/>
              <a:p>
                <a:pPr>
                  <a:defRPr sz="1000" b="1" i="0" u="none" strike="noStrike" baseline="0">
                    <a:solidFill>
                      <a:srgbClr val="000000"/>
                    </a:solidFill>
                    <a:latin typeface="Arial"/>
                    <a:ea typeface="Arial"/>
                    <a:cs typeface="Arial"/>
                  </a:defRPr>
                </a:pPr>
                <a:r>
                  <a:rPr lang="fr-FR"/>
                  <a:t>Accélérations [m/s²]_</a:t>
                </a:r>
              </a:p>
            </c:rich>
          </c:tx>
          <c:layout>
            <c:manualLayout>
              <c:xMode val="edge"/>
              <c:yMode val="edge"/>
              <c:x val="2.712264150943397E-2"/>
              <c:y val="0.2973865266841646"/>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175" b="0" i="0" u="none" strike="noStrike" baseline="0">
                <a:solidFill>
                  <a:srgbClr val="000000"/>
                </a:solidFill>
                <a:latin typeface="Arial"/>
                <a:ea typeface="Arial"/>
                <a:cs typeface="Arial"/>
              </a:defRPr>
            </a:pPr>
            <a:endParaRPr lang="fr-FR"/>
          </a:p>
        </c:txPr>
        <c:crossAx val="149575168"/>
        <c:crosses val="autoZero"/>
        <c:crossBetween val="midCat"/>
      </c:valAx>
      <c:spPr>
        <a:noFill/>
        <a:ln w="12700">
          <a:solidFill>
            <a:srgbClr val="808080"/>
          </a:solidFill>
          <a:prstDash val="solid"/>
        </a:ln>
      </c:spPr>
    </c:plotArea>
    <c:legend>
      <c:legendPos val="r"/>
      <c:layout>
        <c:manualLayout>
          <c:xMode val="edge"/>
          <c:yMode val="edge"/>
          <c:x val="0.66195018075570744"/>
          <c:y val="0.25777777777777783"/>
          <c:w val="0.30974867528351424"/>
          <c:h val="0.15777777777777779"/>
        </c:manualLayout>
      </c:layout>
      <c:overlay val="0"/>
      <c:spPr>
        <a:solidFill>
          <a:srgbClr val="FFFFFF"/>
        </a:solidFill>
        <a:ln w="3175">
          <a:solidFill>
            <a:srgbClr val="000000"/>
          </a:solidFill>
          <a:prstDash val="solid"/>
        </a:ln>
      </c:spPr>
      <c:txPr>
        <a:bodyPr/>
        <a:lstStyle/>
        <a:p>
          <a:pPr>
            <a:defRPr sz="970" b="0" i="0" u="none" strike="noStrike" baseline="0">
              <a:solidFill>
                <a:srgbClr val="000000"/>
              </a:solidFill>
              <a:latin typeface="Arial"/>
              <a:ea typeface="Arial"/>
              <a:cs typeface="Arial"/>
            </a:defRPr>
          </a:pPr>
          <a:endParaRPr lang="fr-FR"/>
        </a:p>
      </c:txPr>
    </c:legend>
    <c:plotVisOnly val="0"/>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51180555555555562" footer="0.51180555555555562"/>
    <c:pageSetup firstPageNumber="0" orientation="landscape" horizontalDpi="1200" verticalDpi="1200"/>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fr-FR"/>
              <a:t>Positions</a:t>
            </a:r>
          </a:p>
        </c:rich>
      </c:tx>
      <c:overlay val="1"/>
    </c:title>
    <c:autoTitleDeleted val="0"/>
    <c:plotArea>
      <c:layout>
        <c:manualLayout>
          <c:layoutTarget val="inner"/>
          <c:xMode val="edge"/>
          <c:yMode val="edge"/>
          <c:x val="0.11674528301886802"/>
          <c:y val="9.4771544282144501E-2"/>
          <c:w val="0.86438679245283023"/>
          <c:h val="0.73856444854360881"/>
        </c:manualLayout>
      </c:layout>
      <c:scatterChart>
        <c:scatterStyle val="lineMarker"/>
        <c:varyColors val="0"/>
        <c:ser>
          <c:idx val="0"/>
          <c:order val="0"/>
          <c:tx>
            <c:strRef>
              <c:f>Courbes!$B$144</c:f>
              <c:strCache>
                <c:ptCount val="1"/>
                <c:pt idx="0">
                  <c:v>Portée</c:v>
                </c:pt>
              </c:strCache>
            </c:strRef>
          </c:tx>
          <c:spPr>
            <a:ln w="25400">
              <a:solidFill>
                <a:srgbClr val="800000"/>
              </a:solidFill>
              <a:prstDash val="solid"/>
            </a:ln>
          </c:spPr>
          <c:marker>
            <c:symbol val="none"/>
          </c:marker>
          <c:xVal>
            <c:numRef>
              <c:f>Calculs!$B$4:$B$1004</c:f>
              <c:numCache>
                <c:formatCode>0.00</c:formatCode>
                <c:ptCount val="1001"/>
                <c:pt idx="0">
                  <c:v>0</c:v>
                </c:pt>
                <c:pt idx="1">
                  <c:v>0.01</c:v>
                </c:pt>
                <c:pt idx="2">
                  <c:v>0.02</c:v>
                </c:pt>
                <c:pt idx="3">
                  <c:v>0.03</c:v>
                </c:pt>
                <c:pt idx="4">
                  <c:v>0.04</c:v>
                </c:pt>
                <c:pt idx="5">
                  <c:v>0.05</c:v>
                </c:pt>
                <c:pt idx="6">
                  <c:v>6.0000000000000005E-2</c:v>
                </c:pt>
                <c:pt idx="7">
                  <c:v>7.0000000000000007E-2</c:v>
                </c:pt>
                <c:pt idx="8">
                  <c:v>0.08</c:v>
                </c:pt>
                <c:pt idx="9">
                  <c:v>0.09</c:v>
                </c:pt>
                <c:pt idx="10">
                  <c:v>9.9999999999999992E-2</c:v>
                </c:pt>
                <c:pt idx="11">
                  <c:v>0.10999999999999999</c:v>
                </c:pt>
                <c:pt idx="12">
                  <c:v>0.11999999999999998</c:v>
                </c:pt>
                <c:pt idx="13">
                  <c:v>0.12999999999999998</c:v>
                </c:pt>
                <c:pt idx="14">
                  <c:v>0.13999999999999999</c:v>
                </c:pt>
                <c:pt idx="15">
                  <c:v>0.15</c:v>
                </c:pt>
                <c:pt idx="16">
                  <c:v>0.16</c:v>
                </c:pt>
                <c:pt idx="17">
                  <c:v>0.17</c:v>
                </c:pt>
                <c:pt idx="18">
                  <c:v>0.18000000000000002</c:v>
                </c:pt>
                <c:pt idx="19">
                  <c:v>0.19000000000000003</c:v>
                </c:pt>
                <c:pt idx="20">
                  <c:v>0.20000000000000004</c:v>
                </c:pt>
                <c:pt idx="21">
                  <c:v>0.21000000000000005</c:v>
                </c:pt>
                <c:pt idx="22">
                  <c:v>0.22000000000000006</c:v>
                </c:pt>
                <c:pt idx="23">
                  <c:v>0.23000000000000007</c:v>
                </c:pt>
                <c:pt idx="24">
                  <c:v>0.24000000000000007</c:v>
                </c:pt>
                <c:pt idx="25">
                  <c:v>0.25000000000000006</c:v>
                </c:pt>
                <c:pt idx="26">
                  <c:v>0.26000000000000006</c:v>
                </c:pt>
                <c:pt idx="27">
                  <c:v>0.27000000000000007</c:v>
                </c:pt>
                <c:pt idx="28">
                  <c:v>0.28000000000000008</c:v>
                </c:pt>
                <c:pt idx="29">
                  <c:v>0.29000000000000009</c:v>
                </c:pt>
                <c:pt idx="30">
                  <c:v>0.3000000000000001</c:v>
                </c:pt>
                <c:pt idx="31">
                  <c:v>0.31000000000000011</c:v>
                </c:pt>
                <c:pt idx="32">
                  <c:v>0.32000000000000012</c:v>
                </c:pt>
                <c:pt idx="33">
                  <c:v>0.33000000000000013</c:v>
                </c:pt>
                <c:pt idx="34">
                  <c:v>0.34000000000000014</c:v>
                </c:pt>
                <c:pt idx="35">
                  <c:v>0.35000000000000014</c:v>
                </c:pt>
                <c:pt idx="36">
                  <c:v>0.36000000000000015</c:v>
                </c:pt>
                <c:pt idx="37">
                  <c:v>0.37000000000000016</c:v>
                </c:pt>
                <c:pt idx="38">
                  <c:v>0.38000000000000017</c:v>
                </c:pt>
                <c:pt idx="39">
                  <c:v>0.39000000000000018</c:v>
                </c:pt>
                <c:pt idx="40">
                  <c:v>0.40000000000000019</c:v>
                </c:pt>
                <c:pt idx="41">
                  <c:v>0.4100000000000002</c:v>
                </c:pt>
                <c:pt idx="42">
                  <c:v>0.42000000000000021</c:v>
                </c:pt>
                <c:pt idx="43">
                  <c:v>0.43000000000000022</c:v>
                </c:pt>
                <c:pt idx="44">
                  <c:v>0.44000000000000022</c:v>
                </c:pt>
                <c:pt idx="45">
                  <c:v>0.45000000000000023</c:v>
                </c:pt>
                <c:pt idx="46">
                  <c:v>0.46000000000000024</c:v>
                </c:pt>
                <c:pt idx="47">
                  <c:v>0.47000000000000025</c:v>
                </c:pt>
                <c:pt idx="48">
                  <c:v>0.48000000000000026</c:v>
                </c:pt>
                <c:pt idx="49">
                  <c:v>0.49000000000000027</c:v>
                </c:pt>
                <c:pt idx="50">
                  <c:v>0.50000000000000022</c:v>
                </c:pt>
                <c:pt idx="51">
                  <c:v>0.51000000000000023</c:v>
                </c:pt>
                <c:pt idx="52">
                  <c:v>0.52000000000000024</c:v>
                </c:pt>
                <c:pt idx="53">
                  <c:v>0.53000000000000025</c:v>
                </c:pt>
                <c:pt idx="54">
                  <c:v>0.54000000000000026</c:v>
                </c:pt>
                <c:pt idx="55">
                  <c:v>0.55000000000000027</c:v>
                </c:pt>
                <c:pt idx="56">
                  <c:v>0.56000000000000028</c:v>
                </c:pt>
                <c:pt idx="57">
                  <c:v>0.57000000000000028</c:v>
                </c:pt>
                <c:pt idx="58">
                  <c:v>0.58000000000000029</c:v>
                </c:pt>
                <c:pt idx="59">
                  <c:v>0.5900000000000003</c:v>
                </c:pt>
                <c:pt idx="60">
                  <c:v>0.60000000000000031</c:v>
                </c:pt>
                <c:pt idx="61">
                  <c:v>0.61000000000000032</c:v>
                </c:pt>
                <c:pt idx="62">
                  <c:v>0.62000000000000033</c:v>
                </c:pt>
                <c:pt idx="63">
                  <c:v>0.63000000000000034</c:v>
                </c:pt>
                <c:pt idx="64">
                  <c:v>0.64000000000000035</c:v>
                </c:pt>
                <c:pt idx="65">
                  <c:v>0.65000000000000036</c:v>
                </c:pt>
                <c:pt idx="66">
                  <c:v>0.66000000000000036</c:v>
                </c:pt>
                <c:pt idx="67">
                  <c:v>0.67000000000000037</c:v>
                </c:pt>
                <c:pt idx="68">
                  <c:v>0.68000000000000038</c:v>
                </c:pt>
                <c:pt idx="69">
                  <c:v>0.69000000000000039</c:v>
                </c:pt>
                <c:pt idx="70">
                  <c:v>0.7000000000000004</c:v>
                </c:pt>
                <c:pt idx="71">
                  <c:v>0.71000000000000041</c:v>
                </c:pt>
                <c:pt idx="72">
                  <c:v>0.72000000000000042</c:v>
                </c:pt>
                <c:pt idx="73">
                  <c:v>0.73000000000000043</c:v>
                </c:pt>
                <c:pt idx="74">
                  <c:v>0.74000000000000044</c:v>
                </c:pt>
                <c:pt idx="75">
                  <c:v>0.75000000000000044</c:v>
                </c:pt>
                <c:pt idx="76">
                  <c:v>0.76000000000000045</c:v>
                </c:pt>
                <c:pt idx="77">
                  <c:v>0.77000000000000046</c:v>
                </c:pt>
                <c:pt idx="78">
                  <c:v>0.78000000000000047</c:v>
                </c:pt>
                <c:pt idx="79">
                  <c:v>0.79000000000000048</c:v>
                </c:pt>
                <c:pt idx="80">
                  <c:v>0.80000000000000049</c:v>
                </c:pt>
                <c:pt idx="81">
                  <c:v>0.8100000000000005</c:v>
                </c:pt>
                <c:pt idx="82">
                  <c:v>0.82000000000000051</c:v>
                </c:pt>
                <c:pt idx="83">
                  <c:v>0.83000000000000052</c:v>
                </c:pt>
                <c:pt idx="84">
                  <c:v>0.84000000000000052</c:v>
                </c:pt>
                <c:pt idx="85">
                  <c:v>0.85000000000000053</c:v>
                </c:pt>
                <c:pt idx="86">
                  <c:v>0.86000000000000054</c:v>
                </c:pt>
                <c:pt idx="87">
                  <c:v>0.87000000000000055</c:v>
                </c:pt>
                <c:pt idx="88">
                  <c:v>0.88000000000000056</c:v>
                </c:pt>
                <c:pt idx="89">
                  <c:v>0.89000000000000057</c:v>
                </c:pt>
                <c:pt idx="90">
                  <c:v>0.90000000000000058</c:v>
                </c:pt>
                <c:pt idx="91">
                  <c:v>0.91000000000000059</c:v>
                </c:pt>
                <c:pt idx="92">
                  <c:v>0.9200000000000006</c:v>
                </c:pt>
                <c:pt idx="93">
                  <c:v>0.9300000000000006</c:v>
                </c:pt>
                <c:pt idx="94">
                  <c:v>0.94000000000000061</c:v>
                </c:pt>
                <c:pt idx="95">
                  <c:v>0.95000000000000062</c:v>
                </c:pt>
                <c:pt idx="96">
                  <c:v>0.96000000000000063</c:v>
                </c:pt>
                <c:pt idx="97">
                  <c:v>0.97000000000000064</c:v>
                </c:pt>
                <c:pt idx="98">
                  <c:v>0.98000000000000065</c:v>
                </c:pt>
                <c:pt idx="99">
                  <c:v>0.99000000000000066</c:v>
                </c:pt>
                <c:pt idx="100">
                  <c:v>1.0000000000000007</c:v>
                </c:pt>
                <c:pt idx="101">
                  <c:v>1.1000000000000008</c:v>
                </c:pt>
                <c:pt idx="102">
                  <c:v>1.2000000000000008</c:v>
                </c:pt>
                <c:pt idx="103">
                  <c:v>1.3000000000000009</c:v>
                </c:pt>
                <c:pt idx="104">
                  <c:v>1.400000000000001</c:v>
                </c:pt>
                <c:pt idx="105">
                  <c:v>1.5000000000000011</c:v>
                </c:pt>
                <c:pt idx="106">
                  <c:v>1.6000000000000012</c:v>
                </c:pt>
                <c:pt idx="107">
                  <c:v>1.7000000000000013</c:v>
                </c:pt>
                <c:pt idx="108">
                  <c:v>1.8000000000000014</c:v>
                </c:pt>
                <c:pt idx="109">
                  <c:v>1.9000000000000015</c:v>
                </c:pt>
                <c:pt idx="110">
                  <c:v>2.0000000000000013</c:v>
                </c:pt>
                <c:pt idx="111">
                  <c:v>2.1000000000000014</c:v>
                </c:pt>
                <c:pt idx="112">
                  <c:v>2.2000000000000015</c:v>
                </c:pt>
                <c:pt idx="113">
                  <c:v>2.3000000000000016</c:v>
                </c:pt>
                <c:pt idx="114">
                  <c:v>2.4000000000000017</c:v>
                </c:pt>
                <c:pt idx="115">
                  <c:v>2.5000000000000018</c:v>
                </c:pt>
                <c:pt idx="116">
                  <c:v>2.6000000000000019</c:v>
                </c:pt>
                <c:pt idx="117">
                  <c:v>2.700000000000002</c:v>
                </c:pt>
                <c:pt idx="118">
                  <c:v>2.800000000000002</c:v>
                </c:pt>
                <c:pt idx="119">
                  <c:v>2.9000000000000021</c:v>
                </c:pt>
                <c:pt idx="120">
                  <c:v>3.0000000000000022</c:v>
                </c:pt>
                <c:pt idx="121">
                  <c:v>3.1000000000000023</c:v>
                </c:pt>
                <c:pt idx="122">
                  <c:v>3.2000000000000024</c:v>
                </c:pt>
                <c:pt idx="123">
                  <c:v>3.3000000000000025</c:v>
                </c:pt>
                <c:pt idx="124">
                  <c:v>3.4000000000000026</c:v>
                </c:pt>
                <c:pt idx="125">
                  <c:v>3.5000000000000027</c:v>
                </c:pt>
                <c:pt idx="126">
                  <c:v>3.6000000000000028</c:v>
                </c:pt>
                <c:pt idx="127">
                  <c:v>3.7000000000000028</c:v>
                </c:pt>
                <c:pt idx="128">
                  <c:v>3.8000000000000029</c:v>
                </c:pt>
                <c:pt idx="129">
                  <c:v>3.900000000000003</c:v>
                </c:pt>
                <c:pt idx="130">
                  <c:v>4.0000000000000027</c:v>
                </c:pt>
                <c:pt idx="131">
                  <c:v>4.1000000000000023</c:v>
                </c:pt>
                <c:pt idx="132">
                  <c:v>4.200000000000002</c:v>
                </c:pt>
                <c:pt idx="133">
                  <c:v>4.3000000000000016</c:v>
                </c:pt>
                <c:pt idx="134">
                  <c:v>4.4000000000000012</c:v>
                </c:pt>
                <c:pt idx="135">
                  <c:v>4.5000000000000009</c:v>
                </c:pt>
                <c:pt idx="136">
                  <c:v>4.6000000000000005</c:v>
                </c:pt>
                <c:pt idx="137">
                  <c:v>4.7</c:v>
                </c:pt>
                <c:pt idx="138">
                  <c:v>4.8</c:v>
                </c:pt>
                <c:pt idx="139">
                  <c:v>4.8999999999999995</c:v>
                </c:pt>
                <c:pt idx="140">
                  <c:v>4.9999999999999991</c:v>
                </c:pt>
                <c:pt idx="141">
                  <c:v>5.0999999999999988</c:v>
                </c:pt>
                <c:pt idx="142">
                  <c:v>5.1999999999999984</c:v>
                </c:pt>
                <c:pt idx="143">
                  <c:v>5.299999999999998</c:v>
                </c:pt>
                <c:pt idx="144">
                  <c:v>5.3999999999999977</c:v>
                </c:pt>
                <c:pt idx="145">
                  <c:v>5.4999999999999973</c:v>
                </c:pt>
                <c:pt idx="146">
                  <c:v>5.599999999999997</c:v>
                </c:pt>
                <c:pt idx="147">
                  <c:v>5.6999999999999966</c:v>
                </c:pt>
                <c:pt idx="148">
                  <c:v>5.7999999999999963</c:v>
                </c:pt>
                <c:pt idx="149">
                  <c:v>5.8999999999999959</c:v>
                </c:pt>
                <c:pt idx="150">
                  <c:v>5.9999999999999956</c:v>
                </c:pt>
                <c:pt idx="151">
                  <c:v>6.0999999999999952</c:v>
                </c:pt>
                <c:pt idx="152">
                  <c:v>6.1999999999999948</c:v>
                </c:pt>
                <c:pt idx="153">
                  <c:v>6.2999999999999945</c:v>
                </c:pt>
                <c:pt idx="154">
                  <c:v>6.3999999999999941</c:v>
                </c:pt>
                <c:pt idx="155">
                  <c:v>6.4999999999999938</c:v>
                </c:pt>
                <c:pt idx="156">
                  <c:v>6.5999999999999934</c:v>
                </c:pt>
                <c:pt idx="157">
                  <c:v>6.6999999999999931</c:v>
                </c:pt>
                <c:pt idx="158">
                  <c:v>6.7999999999999927</c:v>
                </c:pt>
                <c:pt idx="159">
                  <c:v>6.8999999999999924</c:v>
                </c:pt>
                <c:pt idx="160">
                  <c:v>6.999999999999992</c:v>
                </c:pt>
                <c:pt idx="161">
                  <c:v>7.0999999999999917</c:v>
                </c:pt>
                <c:pt idx="162">
                  <c:v>7.1999999999999913</c:v>
                </c:pt>
                <c:pt idx="163">
                  <c:v>7.2999999999999909</c:v>
                </c:pt>
                <c:pt idx="164">
                  <c:v>7.3999999999999906</c:v>
                </c:pt>
                <c:pt idx="165">
                  <c:v>7.4999999999999902</c:v>
                </c:pt>
                <c:pt idx="166">
                  <c:v>7.5999999999999899</c:v>
                </c:pt>
                <c:pt idx="167">
                  <c:v>7.6999999999999895</c:v>
                </c:pt>
                <c:pt idx="168">
                  <c:v>7.7999999999999892</c:v>
                </c:pt>
                <c:pt idx="169">
                  <c:v>7.8999999999999888</c:v>
                </c:pt>
                <c:pt idx="170">
                  <c:v>7.9999999999999885</c:v>
                </c:pt>
                <c:pt idx="171">
                  <c:v>8.099999999999989</c:v>
                </c:pt>
                <c:pt idx="172">
                  <c:v>8.1999999999999886</c:v>
                </c:pt>
                <c:pt idx="173">
                  <c:v>8.2999999999999883</c:v>
                </c:pt>
                <c:pt idx="174">
                  <c:v>8.3999999999999879</c:v>
                </c:pt>
                <c:pt idx="175">
                  <c:v>8.4999999999999876</c:v>
                </c:pt>
                <c:pt idx="176">
                  <c:v>8.5999999999999872</c:v>
                </c:pt>
                <c:pt idx="177">
                  <c:v>8.6999999999999869</c:v>
                </c:pt>
                <c:pt idx="178">
                  <c:v>8.7999999999999865</c:v>
                </c:pt>
                <c:pt idx="179">
                  <c:v>8.8999999999999861</c:v>
                </c:pt>
                <c:pt idx="180">
                  <c:v>8.9999999999999858</c:v>
                </c:pt>
                <c:pt idx="181">
                  <c:v>9.0999999999999854</c:v>
                </c:pt>
                <c:pt idx="182">
                  <c:v>9.1999999999999851</c:v>
                </c:pt>
                <c:pt idx="183">
                  <c:v>9.2999999999999847</c:v>
                </c:pt>
                <c:pt idx="184">
                  <c:v>9.3999999999999844</c:v>
                </c:pt>
                <c:pt idx="185">
                  <c:v>9.499999999999984</c:v>
                </c:pt>
                <c:pt idx="186">
                  <c:v>9.5999999999999837</c:v>
                </c:pt>
                <c:pt idx="187">
                  <c:v>9.6999999999999833</c:v>
                </c:pt>
                <c:pt idx="188">
                  <c:v>9.7999999999999829</c:v>
                </c:pt>
                <c:pt idx="189">
                  <c:v>9.8999999999999826</c:v>
                </c:pt>
                <c:pt idx="190">
                  <c:v>9.9999999999999822</c:v>
                </c:pt>
                <c:pt idx="191">
                  <c:v>10.099999999999982</c:v>
                </c:pt>
                <c:pt idx="192">
                  <c:v>10.199999999999982</c:v>
                </c:pt>
                <c:pt idx="193">
                  <c:v>10.299999999999981</c:v>
                </c:pt>
                <c:pt idx="194">
                  <c:v>10.399999999999981</c:v>
                </c:pt>
                <c:pt idx="195">
                  <c:v>10.49999999999998</c:v>
                </c:pt>
                <c:pt idx="196">
                  <c:v>10.59999999999998</c:v>
                </c:pt>
                <c:pt idx="197">
                  <c:v>10.69999999999998</c:v>
                </c:pt>
                <c:pt idx="198">
                  <c:v>10.799999999999979</c:v>
                </c:pt>
                <c:pt idx="199">
                  <c:v>10.899999999999979</c:v>
                </c:pt>
                <c:pt idx="200">
                  <c:v>10.999999999999979</c:v>
                </c:pt>
                <c:pt idx="201">
                  <c:v>11.099999999999978</c:v>
                </c:pt>
                <c:pt idx="202">
                  <c:v>11.199999999999978</c:v>
                </c:pt>
                <c:pt idx="203">
                  <c:v>11.299999999999978</c:v>
                </c:pt>
                <c:pt idx="204">
                  <c:v>11.399999999999977</c:v>
                </c:pt>
                <c:pt idx="205">
                  <c:v>11.499999999999977</c:v>
                </c:pt>
                <c:pt idx="206">
                  <c:v>11.599999999999977</c:v>
                </c:pt>
                <c:pt idx="207">
                  <c:v>11.699999999999976</c:v>
                </c:pt>
                <c:pt idx="208">
                  <c:v>11.799999999999976</c:v>
                </c:pt>
                <c:pt idx="209">
                  <c:v>11.899999999999975</c:v>
                </c:pt>
                <c:pt idx="210">
                  <c:v>11.999999999999975</c:v>
                </c:pt>
                <c:pt idx="211">
                  <c:v>12.099999999999975</c:v>
                </c:pt>
                <c:pt idx="212">
                  <c:v>12.199999999999974</c:v>
                </c:pt>
                <c:pt idx="213">
                  <c:v>12.299999999999974</c:v>
                </c:pt>
                <c:pt idx="214">
                  <c:v>12.399999999999974</c:v>
                </c:pt>
                <c:pt idx="215">
                  <c:v>12.499999999999973</c:v>
                </c:pt>
                <c:pt idx="216">
                  <c:v>12.599999999999973</c:v>
                </c:pt>
                <c:pt idx="217">
                  <c:v>12.699999999999973</c:v>
                </c:pt>
                <c:pt idx="218">
                  <c:v>12.799999999999972</c:v>
                </c:pt>
                <c:pt idx="219">
                  <c:v>12.899999999999972</c:v>
                </c:pt>
                <c:pt idx="220">
                  <c:v>12.999999999999972</c:v>
                </c:pt>
                <c:pt idx="221">
                  <c:v>13.099999999999971</c:v>
                </c:pt>
                <c:pt idx="222">
                  <c:v>13.199999999999971</c:v>
                </c:pt>
                <c:pt idx="223">
                  <c:v>13.299999999999971</c:v>
                </c:pt>
                <c:pt idx="224">
                  <c:v>13.39999999999997</c:v>
                </c:pt>
                <c:pt idx="225">
                  <c:v>13.49999999999997</c:v>
                </c:pt>
                <c:pt idx="226">
                  <c:v>13.599999999999969</c:v>
                </c:pt>
                <c:pt idx="227">
                  <c:v>13.699999999999969</c:v>
                </c:pt>
                <c:pt idx="228">
                  <c:v>13.799999999999969</c:v>
                </c:pt>
                <c:pt idx="229">
                  <c:v>13.899999999999968</c:v>
                </c:pt>
                <c:pt idx="230">
                  <c:v>13.999999999999968</c:v>
                </c:pt>
                <c:pt idx="231">
                  <c:v>14.099999999999968</c:v>
                </c:pt>
                <c:pt idx="232">
                  <c:v>14.199999999999967</c:v>
                </c:pt>
                <c:pt idx="233">
                  <c:v>14.299999999999967</c:v>
                </c:pt>
                <c:pt idx="234">
                  <c:v>14.399999999999967</c:v>
                </c:pt>
                <c:pt idx="235">
                  <c:v>14.499999999999966</c:v>
                </c:pt>
                <c:pt idx="236">
                  <c:v>14.599999999999966</c:v>
                </c:pt>
                <c:pt idx="237">
                  <c:v>14.699999999999966</c:v>
                </c:pt>
                <c:pt idx="238">
                  <c:v>14.799999999999965</c:v>
                </c:pt>
                <c:pt idx="239">
                  <c:v>14.899999999999965</c:v>
                </c:pt>
                <c:pt idx="240">
                  <c:v>14.999999999999964</c:v>
                </c:pt>
                <c:pt idx="241">
                  <c:v>15.099999999999964</c:v>
                </c:pt>
                <c:pt idx="242">
                  <c:v>15.199999999999964</c:v>
                </c:pt>
                <c:pt idx="243">
                  <c:v>15.299999999999963</c:v>
                </c:pt>
                <c:pt idx="244">
                  <c:v>15.399999999999963</c:v>
                </c:pt>
                <c:pt idx="245">
                  <c:v>15.499999999999963</c:v>
                </c:pt>
                <c:pt idx="246">
                  <c:v>15.599999999999962</c:v>
                </c:pt>
                <c:pt idx="247">
                  <c:v>15.699999999999962</c:v>
                </c:pt>
                <c:pt idx="248">
                  <c:v>15.799999999999962</c:v>
                </c:pt>
                <c:pt idx="249">
                  <c:v>15.899999999999961</c:v>
                </c:pt>
                <c:pt idx="250">
                  <c:v>15.999999999999961</c:v>
                </c:pt>
                <c:pt idx="251">
                  <c:v>16.099999999999962</c:v>
                </c:pt>
                <c:pt idx="252">
                  <c:v>16.199999999999964</c:v>
                </c:pt>
                <c:pt idx="253">
                  <c:v>16.299999999999965</c:v>
                </c:pt>
                <c:pt idx="254">
                  <c:v>16.399999999999967</c:v>
                </c:pt>
                <c:pt idx="255">
                  <c:v>16.499999999999968</c:v>
                </c:pt>
                <c:pt idx="256">
                  <c:v>16.599999999999969</c:v>
                </c:pt>
                <c:pt idx="257">
                  <c:v>16.699999999999971</c:v>
                </c:pt>
                <c:pt idx="258">
                  <c:v>16.799999999999972</c:v>
                </c:pt>
                <c:pt idx="259">
                  <c:v>16.899999999999974</c:v>
                </c:pt>
                <c:pt idx="260">
                  <c:v>16.999999999999975</c:v>
                </c:pt>
                <c:pt idx="261">
                  <c:v>17.099999999999977</c:v>
                </c:pt>
                <c:pt idx="262">
                  <c:v>17.199999999999978</c:v>
                </c:pt>
                <c:pt idx="263">
                  <c:v>17.299999999999979</c:v>
                </c:pt>
                <c:pt idx="264">
                  <c:v>17.399999999999981</c:v>
                </c:pt>
                <c:pt idx="265">
                  <c:v>17.499999999999982</c:v>
                </c:pt>
                <c:pt idx="266">
                  <c:v>17.599999999999984</c:v>
                </c:pt>
                <c:pt idx="267">
                  <c:v>17.699999999999985</c:v>
                </c:pt>
                <c:pt idx="268">
                  <c:v>17.799999999999986</c:v>
                </c:pt>
                <c:pt idx="269">
                  <c:v>17.899999999999988</c:v>
                </c:pt>
                <c:pt idx="270">
                  <c:v>17.999999999999989</c:v>
                </c:pt>
                <c:pt idx="271">
                  <c:v>18.099999999999991</c:v>
                </c:pt>
                <c:pt idx="272">
                  <c:v>18.199999999999992</c:v>
                </c:pt>
                <c:pt idx="273">
                  <c:v>18.299999999999994</c:v>
                </c:pt>
                <c:pt idx="274">
                  <c:v>18.399999999999995</c:v>
                </c:pt>
                <c:pt idx="275">
                  <c:v>18.499999999999996</c:v>
                </c:pt>
                <c:pt idx="276">
                  <c:v>18.599999999999998</c:v>
                </c:pt>
                <c:pt idx="277">
                  <c:v>18.7</c:v>
                </c:pt>
                <c:pt idx="278">
                  <c:v>18.8</c:v>
                </c:pt>
                <c:pt idx="279">
                  <c:v>18.900000000000002</c:v>
                </c:pt>
                <c:pt idx="280">
                  <c:v>19.000000000000004</c:v>
                </c:pt>
                <c:pt idx="281">
                  <c:v>19.100000000000005</c:v>
                </c:pt>
                <c:pt idx="282">
                  <c:v>19.200000000000006</c:v>
                </c:pt>
                <c:pt idx="283">
                  <c:v>19.300000000000008</c:v>
                </c:pt>
                <c:pt idx="284">
                  <c:v>19.400000000000009</c:v>
                </c:pt>
                <c:pt idx="285">
                  <c:v>19.500000000000011</c:v>
                </c:pt>
                <c:pt idx="286">
                  <c:v>19.600000000000012</c:v>
                </c:pt>
                <c:pt idx="287">
                  <c:v>19.700000000000014</c:v>
                </c:pt>
                <c:pt idx="288">
                  <c:v>19.800000000000015</c:v>
                </c:pt>
                <c:pt idx="289">
                  <c:v>19.900000000000016</c:v>
                </c:pt>
                <c:pt idx="290">
                  <c:v>20.000000000000018</c:v>
                </c:pt>
                <c:pt idx="291">
                  <c:v>20.100000000000019</c:v>
                </c:pt>
                <c:pt idx="292">
                  <c:v>20.200000000000021</c:v>
                </c:pt>
                <c:pt idx="293">
                  <c:v>20.300000000000022</c:v>
                </c:pt>
                <c:pt idx="294">
                  <c:v>20.400000000000023</c:v>
                </c:pt>
                <c:pt idx="295">
                  <c:v>20.500000000000025</c:v>
                </c:pt>
                <c:pt idx="296">
                  <c:v>20.600000000000026</c:v>
                </c:pt>
                <c:pt idx="297">
                  <c:v>20.700000000000028</c:v>
                </c:pt>
                <c:pt idx="298">
                  <c:v>20.800000000000029</c:v>
                </c:pt>
                <c:pt idx="299">
                  <c:v>20.900000000000031</c:v>
                </c:pt>
                <c:pt idx="300">
                  <c:v>21.000000000000032</c:v>
                </c:pt>
                <c:pt idx="301">
                  <c:v>21.100000000000033</c:v>
                </c:pt>
                <c:pt idx="302">
                  <c:v>21.200000000000035</c:v>
                </c:pt>
                <c:pt idx="303">
                  <c:v>21.300000000000036</c:v>
                </c:pt>
                <c:pt idx="304">
                  <c:v>21.400000000000038</c:v>
                </c:pt>
                <c:pt idx="305">
                  <c:v>21.500000000000039</c:v>
                </c:pt>
                <c:pt idx="306">
                  <c:v>21.600000000000041</c:v>
                </c:pt>
                <c:pt idx="307">
                  <c:v>21.700000000000042</c:v>
                </c:pt>
                <c:pt idx="308">
                  <c:v>21.800000000000043</c:v>
                </c:pt>
                <c:pt idx="309">
                  <c:v>21.900000000000045</c:v>
                </c:pt>
                <c:pt idx="310">
                  <c:v>22.000000000000046</c:v>
                </c:pt>
                <c:pt idx="311">
                  <c:v>22.100000000000048</c:v>
                </c:pt>
                <c:pt idx="312">
                  <c:v>22.200000000000049</c:v>
                </c:pt>
                <c:pt idx="313">
                  <c:v>22.30000000000005</c:v>
                </c:pt>
                <c:pt idx="314">
                  <c:v>22.400000000000052</c:v>
                </c:pt>
                <c:pt idx="315">
                  <c:v>22.500000000000053</c:v>
                </c:pt>
                <c:pt idx="316">
                  <c:v>22.600000000000055</c:v>
                </c:pt>
                <c:pt idx="317">
                  <c:v>22.700000000000056</c:v>
                </c:pt>
                <c:pt idx="318">
                  <c:v>22.800000000000058</c:v>
                </c:pt>
                <c:pt idx="319">
                  <c:v>22.900000000000059</c:v>
                </c:pt>
                <c:pt idx="320">
                  <c:v>23.00000000000006</c:v>
                </c:pt>
                <c:pt idx="321">
                  <c:v>23.100000000000062</c:v>
                </c:pt>
                <c:pt idx="322">
                  <c:v>23.200000000000063</c:v>
                </c:pt>
                <c:pt idx="323">
                  <c:v>23.300000000000065</c:v>
                </c:pt>
                <c:pt idx="324">
                  <c:v>23.400000000000066</c:v>
                </c:pt>
                <c:pt idx="325">
                  <c:v>23.500000000000068</c:v>
                </c:pt>
                <c:pt idx="326">
                  <c:v>23.600000000000069</c:v>
                </c:pt>
                <c:pt idx="327">
                  <c:v>23.70000000000007</c:v>
                </c:pt>
                <c:pt idx="328">
                  <c:v>23.800000000000072</c:v>
                </c:pt>
                <c:pt idx="329">
                  <c:v>23.900000000000073</c:v>
                </c:pt>
                <c:pt idx="330">
                  <c:v>24.000000000000075</c:v>
                </c:pt>
                <c:pt idx="331">
                  <c:v>24.100000000000076</c:v>
                </c:pt>
                <c:pt idx="332">
                  <c:v>24.200000000000077</c:v>
                </c:pt>
                <c:pt idx="333">
                  <c:v>24.300000000000079</c:v>
                </c:pt>
                <c:pt idx="334">
                  <c:v>24.40000000000008</c:v>
                </c:pt>
                <c:pt idx="335">
                  <c:v>24.500000000000082</c:v>
                </c:pt>
                <c:pt idx="336">
                  <c:v>24.600000000000083</c:v>
                </c:pt>
                <c:pt idx="337">
                  <c:v>24.700000000000085</c:v>
                </c:pt>
                <c:pt idx="338">
                  <c:v>24.800000000000086</c:v>
                </c:pt>
                <c:pt idx="339">
                  <c:v>24.900000000000087</c:v>
                </c:pt>
                <c:pt idx="340">
                  <c:v>25.000000000000089</c:v>
                </c:pt>
                <c:pt idx="341">
                  <c:v>25.10000000000009</c:v>
                </c:pt>
                <c:pt idx="342">
                  <c:v>25.200000000000092</c:v>
                </c:pt>
                <c:pt idx="343">
                  <c:v>25.300000000000093</c:v>
                </c:pt>
                <c:pt idx="344">
                  <c:v>25.400000000000095</c:v>
                </c:pt>
                <c:pt idx="345">
                  <c:v>25.500000000000096</c:v>
                </c:pt>
                <c:pt idx="346">
                  <c:v>25.600000000000097</c:v>
                </c:pt>
                <c:pt idx="347">
                  <c:v>25.700000000000099</c:v>
                </c:pt>
                <c:pt idx="348">
                  <c:v>25.8000000000001</c:v>
                </c:pt>
                <c:pt idx="349">
                  <c:v>25.900000000000102</c:v>
                </c:pt>
                <c:pt idx="350">
                  <c:v>26.000000000000103</c:v>
                </c:pt>
                <c:pt idx="351">
                  <c:v>26.100000000000104</c:v>
                </c:pt>
                <c:pt idx="352">
                  <c:v>26.200000000000106</c:v>
                </c:pt>
                <c:pt idx="353">
                  <c:v>26.300000000000107</c:v>
                </c:pt>
                <c:pt idx="354">
                  <c:v>26.400000000000109</c:v>
                </c:pt>
                <c:pt idx="355">
                  <c:v>26.50000000000011</c:v>
                </c:pt>
                <c:pt idx="356">
                  <c:v>26.600000000000112</c:v>
                </c:pt>
                <c:pt idx="357">
                  <c:v>26.700000000000113</c:v>
                </c:pt>
                <c:pt idx="358">
                  <c:v>26.800000000000114</c:v>
                </c:pt>
                <c:pt idx="359">
                  <c:v>26.900000000000116</c:v>
                </c:pt>
                <c:pt idx="360">
                  <c:v>27.000000000000117</c:v>
                </c:pt>
                <c:pt idx="361">
                  <c:v>27.100000000000119</c:v>
                </c:pt>
                <c:pt idx="362">
                  <c:v>27.20000000000012</c:v>
                </c:pt>
                <c:pt idx="363">
                  <c:v>27.300000000000122</c:v>
                </c:pt>
                <c:pt idx="364">
                  <c:v>27.400000000000123</c:v>
                </c:pt>
                <c:pt idx="365">
                  <c:v>27.500000000000124</c:v>
                </c:pt>
                <c:pt idx="366">
                  <c:v>27.600000000000126</c:v>
                </c:pt>
                <c:pt idx="367">
                  <c:v>27.700000000000127</c:v>
                </c:pt>
                <c:pt idx="368">
                  <c:v>27.800000000000129</c:v>
                </c:pt>
                <c:pt idx="369">
                  <c:v>27.90000000000013</c:v>
                </c:pt>
                <c:pt idx="370">
                  <c:v>28.000000000000131</c:v>
                </c:pt>
                <c:pt idx="371">
                  <c:v>28.100000000000133</c:v>
                </c:pt>
                <c:pt idx="372">
                  <c:v>28.200000000000134</c:v>
                </c:pt>
                <c:pt idx="373">
                  <c:v>28.300000000000136</c:v>
                </c:pt>
                <c:pt idx="374">
                  <c:v>28.400000000000137</c:v>
                </c:pt>
                <c:pt idx="375">
                  <c:v>28.500000000000139</c:v>
                </c:pt>
                <c:pt idx="376">
                  <c:v>28.60000000000014</c:v>
                </c:pt>
                <c:pt idx="377">
                  <c:v>28.60010000000014</c:v>
                </c:pt>
                <c:pt idx="378">
                  <c:v>28.60020000000014</c:v>
                </c:pt>
                <c:pt idx="379">
                  <c:v>28.600300000000139</c:v>
                </c:pt>
                <c:pt idx="380">
                  <c:v>28.600400000000139</c:v>
                </c:pt>
                <c:pt idx="381">
                  <c:v>28.600500000000139</c:v>
                </c:pt>
                <c:pt idx="382">
                  <c:v>28.600600000000139</c:v>
                </c:pt>
                <c:pt idx="383">
                  <c:v>28.600700000000138</c:v>
                </c:pt>
                <c:pt idx="384">
                  <c:v>28.600800000000138</c:v>
                </c:pt>
                <c:pt idx="385">
                  <c:v>28.600900000000138</c:v>
                </c:pt>
                <c:pt idx="386">
                  <c:v>28.601000000000138</c:v>
                </c:pt>
                <c:pt idx="387">
                  <c:v>28.601100000000137</c:v>
                </c:pt>
                <c:pt idx="388">
                  <c:v>28.601200000000137</c:v>
                </c:pt>
                <c:pt idx="389">
                  <c:v>28.601300000000137</c:v>
                </c:pt>
                <c:pt idx="390">
                  <c:v>28.601400000000137</c:v>
                </c:pt>
                <c:pt idx="391">
                  <c:v>28.601500000000136</c:v>
                </c:pt>
                <c:pt idx="392">
                  <c:v>28.601600000000136</c:v>
                </c:pt>
                <c:pt idx="393">
                  <c:v>28.601700000000136</c:v>
                </c:pt>
                <c:pt idx="394">
                  <c:v>28.601800000000136</c:v>
                </c:pt>
                <c:pt idx="395">
                  <c:v>28.601900000000136</c:v>
                </c:pt>
                <c:pt idx="396">
                  <c:v>28.602000000000135</c:v>
                </c:pt>
                <c:pt idx="397">
                  <c:v>28.602100000000135</c:v>
                </c:pt>
                <c:pt idx="398">
                  <c:v>28.602200000000135</c:v>
                </c:pt>
                <c:pt idx="399">
                  <c:v>28.602300000000135</c:v>
                </c:pt>
                <c:pt idx="400">
                  <c:v>28.602400000000134</c:v>
                </c:pt>
                <c:pt idx="401">
                  <c:v>28.602500000000134</c:v>
                </c:pt>
                <c:pt idx="402">
                  <c:v>28.602600000000134</c:v>
                </c:pt>
                <c:pt idx="403">
                  <c:v>28.602700000000134</c:v>
                </c:pt>
                <c:pt idx="404">
                  <c:v>28.602800000000133</c:v>
                </c:pt>
                <c:pt idx="405">
                  <c:v>28.602900000000133</c:v>
                </c:pt>
                <c:pt idx="406">
                  <c:v>28.603000000000133</c:v>
                </c:pt>
                <c:pt idx="407">
                  <c:v>28.603100000000133</c:v>
                </c:pt>
                <c:pt idx="408">
                  <c:v>28.603200000000133</c:v>
                </c:pt>
                <c:pt idx="409">
                  <c:v>28.603300000000132</c:v>
                </c:pt>
                <c:pt idx="410">
                  <c:v>28.603400000000132</c:v>
                </c:pt>
                <c:pt idx="411">
                  <c:v>28.603500000000132</c:v>
                </c:pt>
                <c:pt idx="412">
                  <c:v>28.603600000000132</c:v>
                </c:pt>
                <c:pt idx="413">
                  <c:v>28.603700000000131</c:v>
                </c:pt>
                <c:pt idx="414">
                  <c:v>28.603800000000131</c:v>
                </c:pt>
                <c:pt idx="415">
                  <c:v>28.603900000000131</c:v>
                </c:pt>
                <c:pt idx="416">
                  <c:v>28.604000000000131</c:v>
                </c:pt>
                <c:pt idx="417">
                  <c:v>28.60410000000013</c:v>
                </c:pt>
                <c:pt idx="418">
                  <c:v>28.60420000000013</c:v>
                </c:pt>
                <c:pt idx="419">
                  <c:v>28.60430000000013</c:v>
                </c:pt>
                <c:pt idx="420">
                  <c:v>28.60440000000013</c:v>
                </c:pt>
                <c:pt idx="421">
                  <c:v>28.604500000000129</c:v>
                </c:pt>
                <c:pt idx="422">
                  <c:v>28.604600000000129</c:v>
                </c:pt>
                <c:pt idx="423">
                  <c:v>28.604700000000129</c:v>
                </c:pt>
                <c:pt idx="424">
                  <c:v>28.604800000000129</c:v>
                </c:pt>
                <c:pt idx="425">
                  <c:v>28.604900000000129</c:v>
                </c:pt>
                <c:pt idx="426">
                  <c:v>28.605000000000128</c:v>
                </c:pt>
                <c:pt idx="427">
                  <c:v>28.605100000000128</c:v>
                </c:pt>
                <c:pt idx="428">
                  <c:v>28.605200000000128</c:v>
                </c:pt>
                <c:pt idx="429">
                  <c:v>28.605300000000128</c:v>
                </c:pt>
                <c:pt idx="430">
                  <c:v>28.605400000000127</c:v>
                </c:pt>
                <c:pt idx="431">
                  <c:v>28.605500000000127</c:v>
                </c:pt>
                <c:pt idx="432">
                  <c:v>28.605600000000127</c:v>
                </c:pt>
                <c:pt idx="433">
                  <c:v>28.605700000000127</c:v>
                </c:pt>
                <c:pt idx="434">
                  <c:v>28.605800000000126</c:v>
                </c:pt>
                <c:pt idx="435">
                  <c:v>28.605900000000126</c:v>
                </c:pt>
                <c:pt idx="436">
                  <c:v>28.606000000000126</c:v>
                </c:pt>
                <c:pt idx="437">
                  <c:v>28.606100000000126</c:v>
                </c:pt>
                <c:pt idx="438">
                  <c:v>28.606200000000126</c:v>
                </c:pt>
                <c:pt idx="439">
                  <c:v>28.606300000000125</c:v>
                </c:pt>
                <c:pt idx="440">
                  <c:v>28.606400000000125</c:v>
                </c:pt>
                <c:pt idx="441">
                  <c:v>28.606500000000125</c:v>
                </c:pt>
                <c:pt idx="442">
                  <c:v>28.606600000000125</c:v>
                </c:pt>
                <c:pt idx="443">
                  <c:v>28.606700000000124</c:v>
                </c:pt>
                <c:pt idx="444">
                  <c:v>28.606800000000124</c:v>
                </c:pt>
                <c:pt idx="445">
                  <c:v>28.606900000000124</c:v>
                </c:pt>
                <c:pt idx="446">
                  <c:v>28.607000000000124</c:v>
                </c:pt>
                <c:pt idx="447">
                  <c:v>28.607100000000123</c:v>
                </c:pt>
                <c:pt idx="448">
                  <c:v>28.607200000000123</c:v>
                </c:pt>
                <c:pt idx="449">
                  <c:v>28.607300000000123</c:v>
                </c:pt>
                <c:pt idx="450">
                  <c:v>28.607400000000123</c:v>
                </c:pt>
                <c:pt idx="451">
                  <c:v>28.607500000000122</c:v>
                </c:pt>
                <c:pt idx="452">
                  <c:v>28.607600000000122</c:v>
                </c:pt>
                <c:pt idx="453">
                  <c:v>28.607700000000122</c:v>
                </c:pt>
                <c:pt idx="454">
                  <c:v>28.607800000000122</c:v>
                </c:pt>
                <c:pt idx="455">
                  <c:v>28.607900000000122</c:v>
                </c:pt>
                <c:pt idx="456">
                  <c:v>28.608000000000121</c:v>
                </c:pt>
                <c:pt idx="457">
                  <c:v>28.608100000000121</c:v>
                </c:pt>
                <c:pt idx="458">
                  <c:v>28.608200000000121</c:v>
                </c:pt>
                <c:pt idx="459">
                  <c:v>28.608300000000121</c:v>
                </c:pt>
                <c:pt idx="460">
                  <c:v>28.60840000000012</c:v>
                </c:pt>
                <c:pt idx="461">
                  <c:v>28.60850000000012</c:v>
                </c:pt>
                <c:pt idx="462">
                  <c:v>28.60860000000012</c:v>
                </c:pt>
                <c:pt idx="463">
                  <c:v>28.60870000000012</c:v>
                </c:pt>
                <c:pt idx="464">
                  <c:v>28.608800000000119</c:v>
                </c:pt>
                <c:pt idx="465">
                  <c:v>28.608900000000119</c:v>
                </c:pt>
                <c:pt idx="466">
                  <c:v>28.609000000000119</c:v>
                </c:pt>
                <c:pt idx="467">
                  <c:v>28.609100000000119</c:v>
                </c:pt>
                <c:pt idx="468">
                  <c:v>28.609200000000119</c:v>
                </c:pt>
                <c:pt idx="469">
                  <c:v>28.609300000000118</c:v>
                </c:pt>
                <c:pt idx="470">
                  <c:v>28.609400000000118</c:v>
                </c:pt>
                <c:pt idx="471">
                  <c:v>28.609500000000118</c:v>
                </c:pt>
                <c:pt idx="472">
                  <c:v>28.609600000000118</c:v>
                </c:pt>
                <c:pt idx="473">
                  <c:v>28.609700000000117</c:v>
                </c:pt>
                <c:pt idx="474">
                  <c:v>28.609800000000117</c:v>
                </c:pt>
                <c:pt idx="475">
                  <c:v>28.609900000000117</c:v>
                </c:pt>
                <c:pt idx="476">
                  <c:v>28.610000000000117</c:v>
                </c:pt>
                <c:pt idx="477">
                  <c:v>28.610100000000116</c:v>
                </c:pt>
                <c:pt idx="478">
                  <c:v>28.610200000000116</c:v>
                </c:pt>
                <c:pt idx="479">
                  <c:v>28.610300000000116</c:v>
                </c:pt>
                <c:pt idx="480">
                  <c:v>28.610400000000116</c:v>
                </c:pt>
                <c:pt idx="481">
                  <c:v>28.610500000000116</c:v>
                </c:pt>
                <c:pt idx="482">
                  <c:v>28.610600000000115</c:v>
                </c:pt>
                <c:pt idx="483">
                  <c:v>28.610700000000115</c:v>
                </c:pt>
                <c:pt idx="484">
                  <c:v>28.610800000000115</c:v>
                </c:pt>
                <c:pt idx="485">
                  <c:v>28.610900000000115</c:v>
                </c:pt>
                <c:pt idx="486">
                  <c:v>28.611000000000114</c:v>
                </c:pt>
                <c:pt idx="487">
                  <c:v>28.611100000000114</c:v>
                </c:pt>
                <c:pt idx="488">
                  <c:v>28.611200000000114</c:v>
                </c:pt>
                <c:pt idx="489">
                  <c:v>28.611300000000114</c:v>
                </c:pt>
                <c:pt idx="490">
                  <c:v>28.611400000000113</c:v>
                </c:pt>
                <c:pt idx="491">
                  <c:v>28.611500000000113</c:v>
                </c:pt>
                <c:pt idx="492">
                  <c:v>28.611600000000113</c:v>
                </c:pt>
                <c:pt idx="493">
                  <c:v>28.611700000000113</c:v>
                </c:pt>
                <c:pt idx="494">
                  <c:v>28.611800000000112</c:v>
                </c:pt>
                <c:pt idx="495">
                  <c:v>28.611900000000112</c:v>
                </c:pt>
                <c:pt idx="496">
                  <c:v>28.612000000000112</c:v>
                </c:pt>
                <c:pt idx="497">
                  <c:v>28.612100000000112</c:v>
                </c:pt>
                <c:pt idx="498">
                  <c:v>28.612200000000112</c:v>
                </c:pt>
                <c:pt idx="499">
                  <c:v>28.612300000000111</c:v>
                </c:pt>
                <c:pt idx="500">
                  <c:v>28.612400000000111</c:v>
                </c:pt>
                <c:pt idx="501">
                  <c:v>28.612500000000111</c:v>
                </c:pt>
                <c:pt idx="502">
                  <c:v>28.612600000000111</c:v>
                </c:pt>
                <c:pt idx="503">
                  <c:v>28.61270000000011</c:v>
                </c:pt>
                <c:pt idx="504">
                  <c:v>28.61280000000011</c:v>
                </c:pt>
                <c:pt idx="505">
                  <c:v>28.61290000000011</c:v>
                </c:pt>
                <c:pt idx="506">
                  <c:v>28.61300000000011</c:v>
                </c:pt>
                <c:pt idx="507">
                  <c:v>28.613100000000109</c:v>
                </c:pt>
                <c:pt idx="508">
                  <c:v>28.613200000000109</c:v>
                </c:pt>
                <c:pt idx="509">
                  <c:v>28.613300000000109</c:v>
                </c:pt>
                <c:pt idx="510">
                  <c:v>28.613400000000109</c:v>
                </c:pt>
                <c:pt idx="511">
                  <c:v>28.613500000000109</c:v>
                </c:pt>
                <c:pt idx="512">
                  <c:v>28.613600000000108</c:v>
                </c:pt>
                <c:pt idx="513">
                  <c:v>28.613700000000108</c:v>
                </c:pt>
                <c:pt idx="514">
                  <c:v>28.613800000000108</c:v>
                </c:pt>
                <c:pt idx="515">
                  <c:v>28.613900000000108</c:v>
                </c:pt>
                <c:pt idx="516">
                  <c:v>28.614000000000107</c:v>
                </c:pt>
                <c:pt idx="517">
                  <c:v>28.614100000000107</c:v>
                </c:pt>
                <c:pt idx="518">
                  <c:v>28.614200000000107</c:v>
                </c:pt>
                <c:pt idx="519">
                  <c:v>28.614300000000107</c:v>
                </c:pt>
                <c:pt idx="520">
                  <c:v>28.614400000000106</c:v>
                </c:pt>
                <c:pt idx="521">
                  <c:v>28.614500000000106</c:v>
                </c:pt>
                <c:pt idx="522">
                  <c:v>28.614600000000106</c:v>
                </c:pt>
                <c:pt idx="523">
                  <c:v>28.614700000000106</c:v>
                </c:pt>
                <c:pt idx="524">
                  <c:v>28.614800000000105</c:v>
                </c:pt>
                <c:pt idx="525">
                  <c:v>28.614900000000105</c:v>
                </c:pt>
                <c:pt idx="526">
                  <c:v>28.615000000000105</c:v>
                </c:pt>
                <c:pt idx="527">
                  <c:v>28.615100000000105</c:v>
                </c:pt>
                <c:pt idx="528">
                  <c:v>28.615200000000105</c:v>
                </c:pt>
                <c:pt idx="529">
                  <c:v>28.615300000000104</c:v>
                </c:pt>
                <c:pt idx="530">
                  <c:v>28.615400000000104</c:v>
                </c:pt>
                <c:pt idx="531">
                  <c:v>28.615500000000104</c:v>
                </c:pt>
                <c:pt idx="532">
                  <c:v>28.615600000000104</c:v>
                </c:pt>
                <c:pt idx="533">
                  <c:v>28.615700000000103</c:v>
                </c:pt>
                <c:pt idx="534">
                  <c:v>28.615800000000103</c:v>
                </c:pt>
                <c:pt idx="535">
                  <c:v>28.615900000000103</c:v>
                </c:pt>
                <c:pt idx="536">
                  <c:v>28.616000000000103</c:v>
                </c:pt>
                <c:pt idx="537">
                  <c:v>28.616100000000102</c:v>
                </c:pt>
                <c:pt idx="538">
                  <c:v>28.616200000000102</c:v>
                </c:pt>
                <c:pt idx="539">
                  <c:v>28.616300000000102</c:v>
                </c:pt>
                <c:pt idx="540">
                  <c:v>28.616400000000102</c:v>
                </c:pt>
                <c:pt idx="541">
                  <c:v>28.616500000000102</c:v>
                </c:pt>
                <c:pt idx="542">
                  <c:v>28.616600000000101</c:v>
                </c:pt>
                <c:pt idx="543">
                  <c:v>28.616700000000101</c:v>
                </c:pt>
                <c:pt idx="544">
                  <c:v>28.616800000000101</c:v>
                </c:pt>
                <c:pt idx="545">
                  <c:v>28.616900000000101</c:v>
                </c:pt>
                <c:pt idx="546">
                  <c:v>28.6170000000001</c:v>
                </c:pt>
                <c:pt idx="547">
                  <c:v>28.6171000000001</c:v>
                </c:pt>
                <c:pt idx="548">
                  <c:v>28.6172000000001</c:v>
                </c:pt>
                <c:pt idx="549">
                  <c:v>28.6173000000001</c:v>
                </c:pt>
                <c:pt idx="550">
                  <c:v>28.617400000000099</c:v>
                </c:pt>
                <c:pt idx="551">
                  <c:v>28.617500000000099</c:v>
                </c:pt>
                <c:pt idx="552">
                  <c:v>28.617600000000099</c:v>
                </c:pt>
                <c:pt idx="553">
                  <c:v>28.617700000000099</c:v>
                </c:pt>
                <c:pt idx="554">
                  <c:v>28.617800000000098</c:v>
                </c:pt>
                <c:pt idx="555">
                  <c:v>28.617900000000098</c:v>
                </c:pt>
                <c:pt idx="556">
                  <c:v>28.618000000000098</c:v>
                </c:pt>
                <c:pt idx="557">
                  <c:v>28.618100000000098</c:v>
                </c:pt>
                <c:pt idx="558">
                  <c:v>28.618200000000098</c:v>
                </c:pt>
                <c:pt idx="559">
                  <c:v>28.618300000000097</c:v>
                </c:pt>
                <c:pt idx="560">
                  <c:v>28.618400000000097</c:v>
                </c:pt>
                <c:pt idx="561">
                  <c:v>28.618500000000097</c:v>
                </c:pt>
                <c:pt idx="562">
                  <c:v>28.618600000000097</c:v>
                </c:pt>
                <c:pt idx="563">
                  <c:v>28.618700000000096</c:v>
                </c:pt>
                <c:pt idx="564">
                  <c:v>28.618800000000096</c:v>
                </c:pt>
                <c:pt idx="565">
                  <c:v>28.618900000000096</c:v>
                </c:pt>
                <c:pt idx="566">
                  <c:v>28.619000000000096</c:v>
                </c:pt>
                <c:pt idx="567">
                  <c:v>28.619100000000095</c:v>
                </c:pt>
                <c:pt idx="568">
                  <c:v>28.619200000000095</c:v>
                </c:pt>
                <c:pt idx="569">
                  <c:v>28.619300000000095</c:v>
                </c:pt>
                <c:pt idx="570">
                  <c:v>28.619400000000095</c:v>
                </c:pt>
                <c:pt idx="571">
                  <c:v>28.619500000000095</c:v>
                </c:pt>
                <c:pt idx="572">
                  <c:v>28.619600000000094</c:v>
                </c:pt>
                <c:pt idx="573">
                  <c:v>28.619700000000094</c:v>
                </c:pt>
                <c:pt idx="574">
                  <c:v>28.619800000000094</c:v>
                </c:pt>
                <c:pt idx="575">
                  <c:v>28.619900000000094</c:v>
                </c:pt>
                <c:pt idx="576">
                  <c:v>28.620000000000093</c:v>
                </c:pt>
                <c:pt idx="577">
                  <c:v>28.620100000000093</c:v>
                </c:pt>
                <c:pt idx="578">
                  <c:v>28.620200000000093</c:v>
                </c:pt>
                <c:pt idx="579">
                  <c:v>28.620300000000093</c:v>
                </c:pt>
                <c:pt idx="580">
                  <c:v>28.620400000000092</c:v>
                </c:pt>
                <c:pt idx="581">
                  <c:v>28.620500000000092</c:v>
                </c:pt>
                <c:pt idx="582">
                  <c:v>28.620600000000092</c:v>
                </c:pt>
                <c:pt idx="583">
                  <c:v>28.620700000000092</c:v>
                </c:pt>
                <c:pt idx="584">
                  <c:v>28.620800000000092</c:v>
                </c:pt>
                <c:pt idx="585">
                  <c:v>28.620900000000091</c:v>
                </c:pt>
                <c:pt idx="586">
                  <c:v>28.621000000000091</c:v>
                </c:pt>
                <c:pt idx="587">
                  <c:v>28.621100000000091</c:v>
                </c:pt>
                <c:pt idx="588">
                  <c:v>28.621200000000091</c:v>
                </c:pt>
                <c:pt idx="589">
                  <c:v>28.62130000000009</c:v>
                </c:pt>
                <c:pt idx="590">
                  <c:v>28.62140000000009</c:v>
                </c:pt>
                <c:pt idx="591">
                  <c:v>28.62150000000009</c:v>
                </c:pt>
                <c:pt idx="592">
                  <c:v>28.62160000000009</c:v>
                </c:pt>
                <c:pt idx="593">
                  <c:v>28.621700000000089</c:v>
                </c:pt>
                <c:pt idx="594">
                  <c:v>28.621800000000089</c:v>
                </c:pt>
                <c:pt idx="595">
                  <c:v>28.621900000000089</c:v>
                </c:pt>
                <c:pt idx="596">
                  <c:v>28.622000000000089</c:v>
                </c:pt>
                <c:pt idx="597">
                  <c:v>28.622100000000088</c:v>
                </c:pt>
                <c:pt idx="598">
                  <c:v>28.622200000000088</c:v>
                </c:pt>
                <c:pt idx="599">
                  <c:v>28.622300000000088</c:v>
                </c:pt>
                <c:pt idx="600">
                  <c:v>28.622400000000088</c:v>
                </c:pt>
                <c:pt idx="601">
                  <c:v>28.622500000000088</c:v>
                </c:pt>
                <c:pt idx="602">
                  <c:v>28.622600000000087</c:v>
                </c:pt>
                <c:pt idx="603">
                  <c:v>28.622700000000087</c:v>
                </c:pt>
                <c:pt idx="604">
                  <c:v>28.622800000000087</c:v>
                </c:pt>
                <c:pt idx="605">
                  <c:v>28.622900000000087</c:v>
                </c:pt>
                <c:pt idx="606">
                  <c:v>28.623000000000086</c:v>
                </c:pt>
                <c:pt idx="607">
                  <c:v>28.623100000000086</c:v>
                </c:pt>
                <c:pt idx="608">
                  <c:v>28.623200000000086</c:v>
                </c:pt>
                <c:pt idx="609">
                  <c:v>28.623300000000086</c:v>
                </c:pt>
                <c:pt idx="610">
                  <c:v>28.623400000000085</c:v>
                </c:pt>
                <c:pt idx="611">
                  <c:v>28.623500000000085</c:v>
                </c:pt>
                <c:pt idx="612">
                  <c:v>28.623600000000085</c:v>
                </c:pt>
                <c:pt idx="613">
                  <c:v>28.623700000000085</c:v>
                </c:pt>
                <c:pt idx="614">
                  <c:v>28.623800000000085</c:v>
                </c:pt>
                <c:pt idx="615">
                  <c:v>28.623900000000084</c:v>
                </c:pt>
                <c:pt idx="616">
                  <c:v>28.624000000000084</c:v>
                </c:pt>
                <c:pt idx="617">
                  <c:v>28.624100000000084</c:v>
                </c:pt>
                <c:pt idx="618">
                  <c:v>28.624200000000084</c:v>
                </c:pt>
                <c:pt idx="619">
                  <c:v>28.624300000000083</c:v>
                </c:pt>
                <c:pt idx="620">
                  <c:v>28.624400000000083</c:v>
                </c:pt>
                <c:pt idx="621">
                  <c:v>28.624500000000083</c:v>
                </c:pt>
                <c:pt idx="622">
                  <c:v>28.624600000000083</c:v>
                </c:pt>
                <c:pt idx="623">
                  <c:v>28.624700000000082</c:v>
                </c:pt>
                <c:pt idx="624">
                  <c:v>28.624800000000082</c:v>
                </c:pt>
                <c:pt idx="625">
                  <c:v>28.624900000000082</c:v>
                </c:pt>
                <c:pt idx="626">
                  <c:v>28.625000000000082</c:v>
                </c:pt>
                <c:pt idx="627">
                  <c:v>28.625100000000081</c:v>
                </c:pt>
                <c:pt idx="628">
                  <c:v>28.625200000000081</c:v>
                </c:pt>
                <c:pt idx="629">
                  <c:v>28.625300000000081</c:v>
                </c:pt>
                <c:pt idx="630">
                  <c:v>28.625400000000081</c:v>
                </c:pt>
                <c:pt idx="631">
                  <c:v>28.625500000000081</c:v>
                </c:pt>
                <c:pt idx="632">
                  <c:v>28.62560000000008</c:v>
                </c:pt>
                <c:pt idx="633">
                  <c:v>28.62570000000008</c:v>
                </c:pt>
                <c:pt idx="634">
                  <c:v>28.62580000000008</c:v>
                </c:pt>
                <c:pt idx="635">
                  <c:v>28.62590000000008</c:v>
                </c:pt>
                <c:pt idx="636">
                  <c:v>28.626000000000079</c:v>
                </c:pt>
                <c:pt idx="637">
                  <c:v>28.626100000000079</c:v>
                </c:pt>
                <c:pt idx="638">
                  <c:v>28.626200000000079</c:v>
                </c:pt>
                <c:pt idx="639">
                  <c:v>28.626300000000079</c:v>
                </c:pt>
                <c:pt idx="640">
                  <c:v>28.626400000000078</c:v>
                </c:pt>
                <c:pt idx="641">
                  <c:v>28.626500000000078</c:v>
                </c:pt>
                <c:pt idx="642">
                  <c:v>28.626600000000078</c:v>
                </c:pt>
                <c:pt idx="643">
                  <c:v>28.626700000000078</c:v>
                </c:pt>
                <c:pt idx="644">
                  <c:v>28.626800000000078</c:v>
                </c:pt>
                <c:pt idx="645">
                  <c:v>28.626900000000077</c:v>
                </c:pt>
                <c:pt idx="646">
                  <c:v>28.627000000000077</c:v>
                </c:pt>
                <c:pt idx="647">
                  <c:v>28.627100000000077</c:v>
                </c:pt>
                <c:pt idx="648">
                  <c:v>28.627200000000077</c:v>
                </c:pt>
                <c:pt idx="649">
                  <c:v>28.627300000000076</c:v>
                </c:pt>
                <c:pt idx="650">
                  <c:v>28.627400000000076</c:v>
                </c:pt>
                <c:pt idx="651">
                  <c:v>28.627500000000076</c:v>
                </c:pt>
                <c:pt idx="652">
                  <c:v>28.627600000000076</c:v>
                </c:pt>
                <c:pt idx="653">
                  <c:v>28.627700000000075</c:v>
                </c:pt>
                <c:pt idx="654">
                  <c:v>28.627800000000075</c:v>
                </c:pt>
                <c:pt idx="655">
                  <c:v>28.627900000000075</c:v>
                </c:pt>
                <c:pt idx="656">
                  <c:v>28.628000000000075</c:v>
                </c:pt>
                <c:pt idx="657">
                  <c:v>28.628100000000074</c:v>
                </c:pt>
                <c:pt idx="658">
                  <c:v>28.628200000000074</c:v>
                </c:pt>
                <c:pt idx="659">
                  <c:v>28.628300000000074</c:v>
                </c:pt>
                <c:pt idx="660">
                  <c:v>28.628400000000074</c:v>
                </c:pt>
                <c:pt idx="661">
                  <c:v>28.628500000000074</c:v>
                </c:pt>
                <c:pt idx="662">
                  <c:v>28.628600000000073</c:v>
                </c:pt>
                <c:pt idx="663">
                  <c:v>28.628700000000073</c:v>
                </c:pt>
                <c:pt idx="664">
                  <c:v>28.628800000000073</c:v>
                </c:pt>
                <c:pt idx="665">
                  <c:v>28.628900000000073</c:v>
                </c:pt>
                <c:pt idx="666">
                  <c:v>28.629000000000072</c:v>
                </c:pt>
                <c:pt idx="667">
                  <c:v>28.629100000000072</c:v>
                </c:pt>
                <c:pt idx="668">
                  <c:v>28.629200000000072</c:v>
                </c:pt>
                <c:pt idx="669">
                  <c:v>28.629300000000072</c:v>
                </c:pt>
                <c:pt idx="670">
                  <c:v>28.629400000000071</c:v>
                </c:pt>
                <c:pt idx="671">
                  <c:v>28.629500000000071</c:v>
                </c:pt>
                <c:pt idx="672">
                  <c:v>28.629600000000071</c:v>
                </c:pt>
                <c:pt idx="673">
                  <c:v>28.629700000000071</c:v>
                </c:pt>
                <c:pt idx="674">
                  <c:v>28.629800000000071</c:v>
                </c:pt>
                <c:pt idx="675">
                  <c:v>28.62990000000007</c:v>
                </c:pt>
                <c:pt idx="676">
                  <c:v>28.63000000000007</c:v>
                </c:pt>
                <c:pt idx="677">
                  <c:v>28.63010000000007</c:v>
                </c:pt>
                <c:pt idx="678">
                  <c:v>28.63020000000007</c:v>
                </c:pt>
                <c:pt idx="679">
                  <c:v>28.630300000000069</c:v>
                </c:pt>
                <c:pt idx="680">
                  <c:v>28.630400000000069</c:v>
                </c:pt>
                <c:pt idx="681">
                  <c:v>28.630500000000069</c:v>
                </c:pt>
                <c:pt idx="682">
                  <c:v>28.630600000000069</c:v>
                </c:pt>
                <c:pt idx="683">
                  <c:v>28.630700000000068</c:v>
                </c:pt>
                <c:pt idx="684">
                  <c:v>28.630800000000068</c:v>
                </c:pt>
                <c:pt idx="685">
                  <c:v>28.630900000000068</c:v>
                </c:pt>
                <c:pt idx="686">
                  <c:v>28.631000000000068</c:v>
                </c:pt>
                <c:pt idx="687">
                  <c:v>28.631100000000067</c:v>
                </c:pt>
                <c:pt idx="688">
                  <c:v>28.631200000000067</c:v>
                </c:pt>
                <c:pt idx="689">
                  <c:v>28.631300000000067</c:v>
                </c:pt>
                <c:pt idx="690">
                  <c:v>28.631400000000067</c:v>
                </c:pt>
                <c:pt idx="691">
                  <c:v>28.631500000000067</c:v>
                </c:pt>
                <c:pt idx="692">
                  <c:v>28.631600000000066</c:v>
                </c:pt>
                <c:pt idx="693">
                  <c:v>28.631700000000066</c:v>
                </c:pt>
                <c:pt idx="694">
                  <c:v>28.631800000000066</c:v>
                </c:pt>
                <c:pt idx="695">
                  <c:v>28.631900000000066</c:v>
                </c:pt>
                <c:pt idx="696">
                  <c:v>28.632000000000065</c:v>
                </c:pt>
                <c:pt idx="697">
                  <c:v>28.632100000000065</c:v>
                </c:pt>
                <c:pt idx="698">
                  <c:v>28.632200000000065</c:v>
                </c:pt>
                <c:pt idx="699">
                  <c:v>28.632300000000065</c:v>
                </c:pt>
                <c:pt idx="700">
                  <c:v>28.632400000000064</c:v>
                </c:pt>
                <c:pt idx="701">
                  <c:v>28.632500000000064</c:v>
                </c:pt>
                <c:pt idx="702">
                  <c:v>28.632600000000064</c:v>
                </c:pt>
                <c:pt idx="703">
                  <c:v>28.632700000000064</c:v>
                </c:pt>
                <c:pt idx="704">
                  <c:v>28.632800000000064</c:v>
                </c:pt>
                <c:pt idx="705">
                  <c:v>28.632900000000063</c:v>
                </c:pt>
                <c:pt idx="706">
                  <c:v>28.633000000000063</c:v>
                </c:pt>
                <c:pt idx="707">
                  <c:v>28.633100000000063</c:v>
                </c:pt>
                <c:pt idx="708">
                  <c:v>28.633200000000063</c:v>
                </c:pt>
                <c:pt idx="709">
                  <c:v>28.633300000000062</c:v>
                </c:pt>
                <c:pt idx="710">
                  <c:v>28.633400000000062</c:v>
                </c:pt>
                <c:pt idx="711">
                  <c:v>28.633500000000062</c:v>
                </c:pt>
                <c:pt idx="712">
                  <c:v>28.633600000000062</c:v>
                </c:pt>
                <c:pt idx="713">
                  <c:v>28.633700000000061</c:v>
                </c:pt>
                <c:pt idx="714">
                  <c:v>28.633800000000061</c:v>
                </c:pt>
                <c:pt idx="715">
                  <c:v>28.633900000000061</c:v>
                </c:pt>
                <c:pt idx="716">
                  <c:v>28.634000000000061</c:v>
                </c:pt>
                <c:pt idx="717">
                  <c:v>28.634100000000061</c:v>
                </c:pt>
                <c:pt idx="718">
                  <c:v>28.63420000000006</c:v>
                </c:pt>
                <c:pt idx="719">
                  <c:v>28.63430000000006</c:v>
                </c:pt>
                <c:pt idx="720">
                  <c:v>28.63440000000006</c:v>
                </c:pt>
                <c:pt idx="721">
                  <c:v>28.63450000000006</c:v>
                </c:pt>
                <c:pt idx="722">
                  <c:v>28.634600000000059</c:v>
                </c:pt>
                <c:pt idx="723">
                  <c:v>28.634700000000059</c:v>
                </c:pt>
                <c:pt idx="724">
                  <c:v>28.634800000000059</c:v>
                </c:pt>
                <c:pt idx="725">
                  <c:v>28.634900000000059</c:v>
                </c:pt>
                <c:pt idx="726">
                  <c:v>28.635000000000058</c:v>
                </c:pt>
                <c:pt idx="727">
                  <c:v>28.635100000000058</c:v>
                </c:pt>
                <c:pt idx="728">
                  <c:v>28.635200000000058</c:v>
                </c:pt>
                <c:pt idx="729">
                  <c:v>28.635300000000058</c:v>
                </c:pt>
                <c:pt idx="730">
                  <c:v>28.635400000000057</c:v>
                </c:pt>
                <c:pt idx="731">
                  <c:v>28.635500000000057</c:v>
                </c:pt>
                <c:pt idx="732">
                  <c:v>28.635600000000057</c:v>
                </c:pt>
                <c:pt idx="733">
                  <c:v>28.635700000000057</c:v>
                </c:pt>
                <c:pt idx="734">
                  <c:v>28.635800000000057</c:v>
                </c:pt>
                <c:pt idx="735">
                  <c:v>28.635900000000056</c:v>
                </c:pt>
                <c:pt idx="736">
                  <c:v>28.636000000000056</c:v>
                </c:pt>
                <c:pt idx="737">
                  <c:v>28.636100000000056</c:v>
                </c:pt>
                <c:pt idx="738">
                  <c:v>28.636200000000056</c:v>
                </c:pt>
                <c:pt idx="739">
                  <c:v>28.636300000000055</c:v>
                </c:pt>
                <c:pt idx="740">
                  <c:v>28.636400000000055</c:v>
                </c:pt>
                <c:pt idx="741">
                  <c:v>28.636500000000055</c:v>
                </c:pt>
                <c:pt idx="742">
                  <c:v>28.636600000000055</c:v>
                </c:pt>
                <c:pt idx="743">
                  <c:v>28.636700000000054</c:v>
                </c:pt>
                <c:pt idx="744">
                  <c:v>28.636800000000054</c:v>
                </c:pt>
                <c:pt idx="745">
                  <c:v>28.636900000000054</c:v>
                </c:pt>
                <c:pt idx="746">
                  <c:v>28.637000000000054</c:v>
                </c:pt>
                <c:pt idx="747">
                  <c:v>28.637100000000054</c:v>
                </c:pt>
                <c:pt idx="748">
                  <c:v>28.637200000000053</c:v>
                </c:pt>
                <c:pt idx="749">
                  <c:v>28.637300000000053</c:v>
                </c:pt>
                <c:pt idx="750">
                  <c:v>28.637400000000053</c:v>
                </c:pt>
                <c:pt idx="751">
                  <c:v>28.637500000000053</c:v>
                </c:pt>
                <c:pt idx="752">
                  <c:v>28.637600000000052</c:v>
                </c:pt>
                <c:pt idx="753">
                  <c:v>28.637700000000052</c:v>
                </c:pt>
                <c:pt idx="754">
                  <c:v>28.637800000000052</c:v>
                </c:pt>
                <c:pt idx="755">
                  <c:v>28.637900000000052</c:v>
                </c:pt>
                <c:pt idx="756">
                  <c:v>28.638000000000051</c:v>
                </c:pt>
                <c:pt idx="757">
                  <c:v>28.638100000000051</c:v>
                </c:pt>
                <c:pt idx="758">
                  <c:v>28.638200000000051</c:v>
                </c:pt>
                <c:pt idx="759">
                  <c:v>28.638300000000051</c:v>
                </c:pt>
                <c:pt idx="760">
                  <c:v>28.63840000000005</c:v>
                </c:pt>
                <c:pt idx="761">
                  <c:v>28.63850000000005</c:v>
                </c:pt>
                <c:pt idx="762">
                  <c:v>28.63860000000005</c:v>
                </c:pt>
                <c:pt idx="763">
                  <c:v>28.63870000000005</c:v>
                </c:pt>
                <c:pt idx="764">
                  <c:v>28.63880000000005</c:v>
                </c:pt>
                <c:pt idx="765">
                  <c:v>28.638900000000049</c:v>
                </c:pt>
                <c:pt idx="766">
                  <c:v>28.639000000000049</c:v>
                </c:pt>
                <c:pt idx="767">
                  <c:v>28.639100000000049</c:v>
                </c:pt>
                <c:pt idx="768">
                  <c:v>28.639200000000049</c:v>
                </c:pt>
                <c:pt idx="769">
                  <c:v>28.639300000000048</c:v>
                </c:pt>
                <c:pt idx="770">
                  <c:v>28.639400000000048</c:v>
                </c:pt>
                <c:pt idx="771">
                  <c:v>28.639500000000048</c:v>
                </c:pt>
                <c:pt idx="772">
                  <c:v>28.639600000000048</c:v>
                </c:pt>
                <c:pt idx="773">
                  <c:v>28.639700000000047</c:v>
                </c:pt>
                <c:pt idx="774">
                  <c:v>28.639800000000047</c:v>
                </c:pt>
                <c:pt idx="775">
                  <c:v>28.639900000000047</c:v>
                </c:pt>
                <c:pt idx="776">
                  <c:v>28.640000000000047</c:v>
                </c:pt>
                <c:pt idx="777">
                  <c:v>28.640100000000047</c:v>
                </c:pt>
                <c:pt idx="778">
                  <c:v>28.640200000000046</c:v>
                </c:pt>
                <c:pt idx="779">
                  <c:v>28.640300000000046</c:v>
                </c:pt>
                <c:pt idx="780">
                  <c:v>28.640400000000046</c:v>
                </c:pt>
                <c:pt idx="781">
                  <c:v>28.640500000000046</c:v>
                </c:pt>
                <c:pt idx="782">
                  <c:v>28.640600000000045</c:v>
                </c:pt>
                <c:pt idx="783">
                  <c:v>28.640700000000045</c:v>
                </c:pt>
                <c:pt idx="784">
                  <c:v>28.640800000000045</c:v>
                </c:pt>
                <c:pt idx="785">
                  <c:v>28.640900000000045</c:v>
                </c:pt>
                <c:pt idx="786">
                  <c:v>28.641000000000044</c:v>
                </c:pt>
                <c:pt idx="787">
                  <c:v>28.641100000000044</c:v>
                </c:pt>
                <c:pt idx="788">
                  <c:v>28.641200000000044</c:v>
                </c:pt>
                <c:pt idx="789">
                  <c:v>28.641300000000044</c:v>
                </c:pt>
                <c:pt idx="790">
                  <c:v>28.641400000000043</c:v>
                </c:pt>
                <c:pt idx="791">
                  <c:v>28.641500000000043</c:v>
                </c:pt>
                <c:pt idx="792">
                  <c:v>28.641600000000043</c:v>
                </c:pt>
                <c:pt idx="793">
                  <c:v>28.641700000000043</c:v>
                </c:pt>
                <c:pt idx="794">
                  <c:v>28.641800000000043</c:v>
                </c:pt>
                <c:pt idx="795">
                  <c:v>28.641900000000042</c:v>
                </c:pt>
                <c:pt idx="796">
                  <c:v>28.642000000000042</c:v>
                </c:pt>
                <c:pt idx="797">
                  <c:v>28.642100000000042</c:v>
                </c:pt>
                <c:pt idx="798">
                  <c:v>28.642200000000042</c:v>
                </c:pt>
                <c:pt idx="799">
                  <c:v>28.642300000000041</c:v>
                </c:pt>
                <c:pt idx="800">
                  <c:v>28.642400000000041</c:v>
                </c:pt>
                <c:pt idx="801">
                  <c:v>28.642500000000041</c:v>
                </c:pt>
                <c:pt idx="802">
                  <c:v>28.642600000000041</c:v>
                </c:pt>
                <c:pt idx="803">
                  <c:v>28.64270000000004</c:v>
                </c:pt>
                <c:pt idx="804">
                  <c:v>28.64280000000004</c:v>
                </c:pt>
                <c:pt idx="805">
                  <c:v>28.64290000000004</c:v>
                </c:pt>
                <c:pt idx="806">
                  <c:v>28.64300000000004</c:v>
                </c:pt>
                <c:pt idx="807">
                  <c:v>28.64310000000004</c:v>
                </c:pt>
                <c:pt idx="808">
                  <c:v>28.643200000000039</c:v>
                </c:pt>
                <c:pt idx="809">
                  <c:v>28.643300000000039</c:v>
                </c:pt>
                <c:pt idx="810">
                  <c:v>28.643400000000039</c:v>
                </c:pt>
                <c:pt idx="811">
                  <c:v>28.643500000000039</c:v>
                </c:pt>
                <c:pt idx="812">
                  <c:v>28.643600000000038</c:v>
                </c:pt>
                <c:pt idx="813">
                  <c:v>28.643700000000038</c:v>
                </c:pt>
                <c:pt idx="814">
                  <c:v>28.643800000000038</c:v>
                </c:pt>
                <c:pt idx="815">
                  <c:v>28.643900000000038</c:v>
                </c:pt>
                <c:pt idx="816">
                  <c:v>28.644000000000037</c:v>
                </c:pt>
                <c:pt idx="817">
                  <c:v>28.644100000000037</c:v>
                </c:pt>
                <c:pt idx="818">
                  <c:v>28.644200000000037</c:v>
                </c:pt>
                <c:pt idx="819">
                  <c:v>28.644300000000037</c:v>
                </c:pt>
                <c:pt idx="820">
                  <c:v>28.644400000000036</c:v>
                </c:pt>
                <c:pt idx="821">
                  <c:v>28.644500000000036</c:v>
                </c:pt>
                <c:pt idx="822">
                  <c:v>28.644600000000036</c:v>
                </c:pt>
                <c:pt idx="823">
                  <c:v>28.644700000000036</c:v>
                </c:pt>
                <c:pt idx="824">
                  <c:v>28.644800000000036</c:v>
                </c:pt>
                <c:pt idx="825">
                  <c:v>28.644900000000035</c:v>
                </c:pt>
                <c:pt idx="826">
                  <c:v>28.645000000000035</c:v>
                </c:pt>
                <c:pt idx="827">
                  <c:v>28.645100000000035</c:v>
                </c:pt>
                <c:pt idx="828">
                  <c:v>28.645200000000035</c:v>
                </c:pt>
                <c:pt idx="829">
                  <c:v>28.645300000000034</c:v>
                </c:pt>
                <c:pt idx="830">
                  <c:v>28.645400000000034</c:v>
                </c:pt>
                <c:pt idx="831">
                  <c:v>28.645500000000034</c:v>
                </c:pt>
                <c:pt idx="832">
                  <c:v>28.645600000000034</c:v>
                </c:pt>
                <c:pt idx="833">
                  <c:v>28.645700000000033</c:v>
                </c:pt>
                <c:pt idx="834">
                  <c:v>28.645800000000033</c:v>
                </c:pt>
                <c:pt idx="835">
                  <c:v>28.645900000000033</c:v>
                </c:pt>
                <c:pt idx="836">
                  <c:v>28.646000000000033</c:v>
                </c:pt>
                <c:pt idx="837">
                  <c:v>28.646100000000033</c:v>
                </c:pt>
                <c:pt idx="838">
                  <c:v>28.646200000000032</c:v>
                </c:pt>
                <c:pt idx="839">
                  <c:v>28.646300000000032</c:v>
                </c:pt>
                <c:pt idx="840">
                  <c:v>28.646400000000032</c:v>
                </c:pt>
                <c:pt idx="841">
                  <c:v>28.646500000000032</c:v>
                </c:pt>
                <c:pt idx="842">
                  <c:v>28.646600000000031</c:v>
                </c:pt>
                <c:pt idx="843">
                  <c:v>28.646700000000031</c:v>
                </c:pt>
                <c:pt idx="844">
                  <c:v>28.646800000000031</c:v>
                </c:pt>
                <c:pt idx="845">
                  <c:v>28.646900000000031</c:v>
                </c:pt>
                <c:pt idx="846">
                  <c:v>28.64700000000003</c:v>
                </c:pt>
                <c:pt idx="847">
                  <c:v>28.64710000000003</c:v>
                </c:pt>
                <c:pt idx="848">
                  <c:v>28.64720000000003</c:v>
                </c:pt>
                <c:pt idx="849">
                  <c:v>28.64730000000003</c:v>
                </c:pt>
                <c:pt idx="850">
                  <c:v>28.64740000000003</c:v>
                </c:pt>
                <c:pt idx="851">
                  <c:v>28.647500000000029</c:v>
                </c:pt>
                <c:pt idx="852">
                  <c:v>28.647600000000029</c:v>
                </c:pt>
                <c:pt idx="853">
                  <c:v>28.647700000000029</c:v>
                </c:pt>
                <c:pt idx="854">
                  <c:v>28.647800000000029</c:v>
                </c:pt>
                <c:pt idx="855">
                  <c:v>28.647900000000028</c:v>
                </c:pt>
                <c:pt idx="856">
                  <c:v>28.648000000000028</c:v>
                </c:pt>
                <c:pt idx="857">
                  <c:v>28.648100000000028</c:v>
                </c:pt>
                <c:pt idx="858">
                  <c:v>28.648200000000028</c:v>
                </c:pt>
                <c:pt idx="859">
                  <c:v>28.648300000000027</c:v>
                </c:pt>
                <c:pt idx="860">
                  <c:v>28.648400000000027</c:v>
                </c:pt>
                <c:pt idx="861">
                  <c:v>28.648500000000027</c:v>
                </c:pt>
                <c:pt idx="862">
                  <c:v>28.648600000000027</c:v>
                </c:pt>
                <c:pt idx="863">
                  <c:v>28.648700000000026</c:v>
                </c:pt>
                <c:pt idx="864">
                  <c:v>28.648800000000026</c:v>
                </c:pt>
                <c:pt idx="865">
                  <c:v>28.648900000000026</c:v>
                </c:pt>
                <c:pt idx="866">
                  <c:v>28.649000000000026</c:v>
                </c:pt>
                <c:pt idx="867">
                  <c:v>28.649100000000026</c:v>
                </c:pt>
                <c:pt idx="868">
                  <c:v>28.649200000000025</c:v>
                </c:pt>
                <c:pt idx="869">
                  <c:v>28.649300000000025</c:v>
                </c:pt>
                <c:pt idx="870">
                  <c:v>28.649400000000025</c:v>
                </c:pt>
                <c:pt idx="871">
                  <c:v>28.649500000000025</c:v>
                </c:pt>
                <c:pt idx="872">
                  <c:v>28.649600000000024</c:v>
                </c:pt>
                <c:pt idx="873">
                  <c:v>28.649700000000024</c:v>
                </c:pt>
                <c:pt idx="874">
                  <c:v>28.649800000000024</c:v>
                </c:pt>
                <c:pt idx="875">
                  <c:v>28.649900000000024</c:v>
                </c:pt>
                <c:pt idx="876">
                  <c:v>28.650000000000023</c:v>
                </c:pt>
                <c:pt idx="877">
                  <c:v>28.650100000000023</c:v>
                </c:pt>
                <c:pt idx="878">
                  <c:v>28.650200000000023</c:v>
                </c:pt>
                <c:pt idx="879">
                  <c:v>28.650300000000023</c:v>
                </c:pt>
                <c:pt idx="880">
                  <c:v>28.650400000000023</c:v>
                </c:pt>
                <c:pt idx="881">
                  <c:v>28.650500000000022</c:v>
                </c:pt>
                <c:pt idx="882">
                  <c:v>28.650600000000022</c:v>
                </c:pt>
                <c:pt idx="883">
                  <c:v>28.650700000000022</c:v>
                </c:pt>
                <c:pt idx="884">
                  <c:v>28.650800000000022</c:v>
                </c:pt>
                <c:pt idx="885">
                  <c:v>28.650900000000021</c:v>
                </c:pt>
                <c:pt idx="886">
                  <c:v>28.651000000000021</c:v>
                </c:pt>
                <c:pt idx="887">
                  <c:v>28.651100000000021</c:v>
                </c:pt>
                <c:pt idx="888">
                  <c:v>28.651200000000021</c:v>
                </c:pt>
                <c:pt idx="889">
                  <c:v>28.65130000000002</c:v>
                </c:pt>
                <c:pt idx="890">
                  <c:v>28.65140000000002</c:v>
                </c:pt>
                <c:pt idx="891">
                  <c:v>28.65150000000002</c:v>
                </c:pt>
                <c:pt idx="892">
                  <c:v>28.65160000000002</c:v>
                </c:pt>
                <c:pt idx="893">
                  <c:v>28.651700000000019</c:v>
                </c:pt>
                <c:pt idx="894">
                  <c:v>28.651800000000019</c:v>
                </c:pt>
                <c:pt idx="895">
                  <c:v>28.651900000000019</c:v>
                </c:pt>
                <c:pt idx="896">
                  <c:v>28.652000000000019</c:v>
                </c:pt>
                <c:pt idx="897">
                  <c:v>28.652100000000019</c:v>
                </c:pt>
                <c:pt idx="898">
                  <c:v>28.652200000000018</c:v>
                </c:pt>
                <c:pt idx="899">
                  <c:v>28.652300000000018</c:v>
                </c:pt>
                <c:pt idx="900">
                  <c:v>28.652400000000018</c:v>
                </c:pt>
                <c:pt idx="901">
                  <c:v>28.652500000000018</c:v>
                </c:pt>
                <c:pt idx="902">
                  <c:v>28.652600000000017</c:v>
                </c:pt>
                <c:pt idx="903">
                  <c:v>28.652700000000017</c:v>
                </c:pt>
                <c:pt idx="904">
                  <c:v>28.652800000000017</c:v>
                </c:pt>
                <c:pt idx="905">
                  <c:v>28.652900000000017</c:v>
                </c:pt>
                <c:pt idx="906">
                  <c:v>28.653000000000016</c:v>
                </c:pt>
                <c:pt idx="907">
                  <c:v>28.653100000000016</c:v>
                </c:pt>
                <c:pt idx="908">
                  <c:v>28.653200000000016</c:v>
                </c:pt>
                <c:pt idx="909">
                  <c:v>28.653300000000016</c:v>
                </c:pt>
                <c:pt idx="910">
                  <c:v>28.653400000000016</c:v>
                </c:pt>
                <c:pt idx="911">
                  <c:v>28.653500000000015</c:v>
                </c:pt>
                <c:pt idx="912">
                  <c:v>28.653600000000015</c:v>
                </c:pt>
                <c:pt idx="913">
                  <c:v>28.653700000000015</c:v>
                </c:pt>
                <c:pt idx="914">
                  <c:v>28.653800000000015</c:v>
                </c:pt>
                <c:pt idx="915">
                  <c:v>28.653900000000014</c:v>
                </c:pt>
                <c:pt idx="916">
                  <c:v>28.654000000000014</c:v>
                </c:pt>
                <c:pt idx="917">
                  <c:v>28.654100000000014</c:v>
                </c:pt>
                <c:pt idx="918">
                  <c:v>28.654200000000014</c:v>
                </c:pt>
                <c:pt idx="919">
                  <c:v>28.654300000000013</c:v>
                </c:pt>
                <c:pt idx="920">
                  <c:v>28.654400000000013</c:v>
                </c:pt>
                <c:pt idx="921">
                  <c:v>28.654500000000013</c:v>
                </c:pt>
                <c:pt idx="922">
                  <c:v>28.654600000000013</c:v>
                </c:pt>
                <c:pt idx="923">
                  <c:v>28.654700000000012</c:v>
                </c:pt>
                <c:pt idx="924">
                  <c:v>28.654800000000012</c:v>
                </c:pt>
                <c:pt idx="925">
                  <c:v>28.654900000000012</c:v>
                </c:pt>
                <c:pt idx="926">
                  <c:v>28.655000000000012</c:v>
                </c:pt>
                <c:pt idx="927">
                  <c:v>28.655100000000012</c:v>
                </c:pt>
                <c:pt idx="928">
                  <c:v>28.655200000000011</c:v>
                </c:pt>
                <c:pt idx="929">
                  <c:v>28.655300000000011</c:v>
                </c:pt>
                <c:pt idx="930">
                  <c:v>28.655400000000011</c:v>
                </c:pt>
                <c:pt idx="931">
                  <c:v>28.655500000000011</c:v>
                </c:pt>
                <c:pt idx="932">
                  <c:v>28.65560000000001</c:v>
                </c:pt>
                <c:pt idx="933">
                  <c:v>28.65570000000001</c:v>
                </c:pt>
                <c:pt idx="934">
                  <c:v>28.65580000000001</c:v>
                </c:pt>
                <c:pt idx="935">
                  <c:v>28.65590000000001</c:v>
                </c:pt>
                <c:pt idx="936">
                  <c:v>28.656000000000009</c:v>
                </c:pt>
                <c:pt idx="937">
                  <c:v>28.656100000000009</c:v>
                </c:pt>
                <c:pt idx="938">
                  <c:v>28.656200000000009</c:v>
                </c:pt>
                <c:pt idx="939">
                  <c:v>28.656300000000009</c:v>
                </c:pt>
                <c:pt idx="940">
                  <c:v>28.656400000000009</c:v>
                </c:pt>
                <c:pt idx="941">
                  <c:v>28.656500000000008</c:v>
                </c:pt>
                <c:pt idx="942">
                  <c:v>28.656600000000008</c:v>
                </c:pt>
                <c:pt idx="943">
                  <c:v>28.656700000000008</c:v>
                </c:pt>
                <c:pt idx="944">
                  <c:v>28.656800000000008</c:v>
                </c:pt>
                <c:pt idx="945">
                  <c:v>28.656900000000007</c:v>
                </c:pt>
                <c:pt idx="946">
                  <c:v>28.657000000000007</c:v>
                </c:pt>
                <c:pt idx="947">
                  <c:v>28.657100000000007</c:v>
                </c:pt>
                <c:pt idx="948">
                  <c:v>28.657200000000007</c:v>
                </c:pt>
                <c:pt idx="949">
                  <c:v>28.657300000000006</c:v>
                </c:pt>
                <c:pt idx="950">
                  <c:v>28.657400000000006</c:v>
                </c:pt>
                <c:pt idx="951">
                  <c:v>28.657500000000006</c:v>
                </c:pt>
                <c:pt idx="952">
                  <c:v>28.657600000000006</c:v>
                </c:pt>
                <c:pt idx="953">
                  <c:v>28.657700000000006</c:v>
                </c:pt>
                <c:pt idx="954">
                  <c:v>28.657800000000005</c:v>
                </c:pt>
                <c:pt idx="955">
                  <c:v>28.657900000000005</c:v>
                </c:pt>
                <c:pt idx="956">
                  <c:v>28.658000000000005</c:v>
                </c:pt>
                <c:pt idx="957">
                  <c:v>28.658100000000005</c:v>
                </c:pt>
                <c:pt idx="958">
                  <c:v>28.658200000000004</c:v>
                </c:pt>
                <c:pt idx="959">
                  <c:v>28.658300000000004</c:v>
                </c:pt>
                <c:pt idx="960">
                  <c:v>28.658400000000004</c:v>
                </c:pt>
                <c:pt idx="961">
                  <c:v>28.658500000000004</c:v>
                </c:pt>
                <c:pt idx="962">
                  <c:v>28.658600000000003</c:v>
                </c:pt>
                <c:pt idx="963">
                  <c:v>28.658700000000003</c:v>
                </c:pt>
                <c:pt idx="964">
                  <c:v>28.658800000000003</c:v>
                </c:pt>
                <c:pt idx="965">
                  <c:v>28.658900000000003</c:v>
                </c:pt>
                <c:pt idx="966">
                  <c:v>28.659000000000002</c:v>
                </c:pt>
                <c:pt idx="967">
                  <c:v>28.659100000000002</c:v>
                </c:pt>
                <c:pt idx="968">
                  <c:v>28.659200000000002</c:v>
                </c:pt>
                <c:pt idx="969">
                  <c:v>28.659300000000002</c:v>
                </c:pt>
                <c:pt idx="970">
                  <c:v>28.659400000000002</c:v>
                </c:pt>
                <c:pt idx="971">
                  <c:v>28.659500000000001</c:v>
                </c:pt>
                <c:pt idx="972">
                  <c:v>28.659600000000001</c:v>
                </c:pt>
                <c:pt idx="973">
                  <c:v>28.659700000000001</c:v>
                </c:pt>
                <c:pt idx="974">
                  <c:v>28.659800000000001</c:v>
                </c:pt>
                <c:pt idx="975">
                  <c:v>28.6599</c:v>
                </c:pt>
                <c:pt idx="976">
                  <c:v>28.66</c:v>
                </c:pt>
                <c:pt idx="977">
                  <c:v>28.6601</c:v>
                </c:pt>
                <c:pt idx="978">
                  <c:v>28.6602</c:v>
                </c:pt>
                <c:pt idx="979">
                  <c:v>28.660299999999999</c:v>
                </c:pt>
                <c:pt idx="980">
                  <c:v>28.660399999999999</c:v>
                </c:pt>
                <c:pt idx="981">
                  <c:v>28.660499999999999</c:v>
                </c:pt>
                <c:pt idx="982">
                  <c:v>28.660599999999999</c:v>
                </c:pt>
                <c:pt idx="983">
                  <c:v>28.660699999999999</c:v>
                </c:pt>
                <c:pt idx="984">
                  <c:v>28.660799999999998</c:v>
                </c:pt>
                <c:pt idx="985">
                  <c:v>28.660899999999998</c:v>
                </c:pt>
                <c:pt idx="986">
                  <c:v>28.660999999999998</c:v>
                </c:pt>
                <c:pt idx="987">
                  <c:v>28.661099999999998</c:v>
                </c:pt>
                <c:pt idx="988">
                  <c:v>28.661199999999997</c:v>
                </c:pt>
                <c:pt idx="989">
                  <c:v>28.661299999999997</c:v>
                </c:pt>
                <c:pt idx="990">
                  <c:v>28.661399999999997</c:v>
                </c:pt>
                <c:pt idx="991">
                  <c:v>28.661499999999997</c:v>
                </c:pt>
                <c:pt idx="992">
                  <c:v>28.661599999999996</c:v>
                </c:pt>
                <c:pt idx="993">
                  <c:v>28.661699999999996</c:v>
                </c:pt>
                <c:pt idx="994">
                  <c:v>28.661799999999996</c:v>
                </c:pt>
                <c:pt idx="995">
                  <c:v>28.661899999999996</c:v>
                </c:pt>
                <c:pt idx="996">
                  <c:v>28.661999999999995</c:v>
                </c:pt>
                <c:pt idx="997">
                  <c:v>28.662099999999995</c:v>
                </c:pt>
                <c:pt idx="998">
                  <c:v>28.662199999999995</c:v>
                </c:pt>
                <c:pt idx="999">
                  <c:v>28.662299999999995</c:v>
                </c:pt>
                <c:pt idx="1000">
                  <c:v>28.662399999999995</c:v>
                </c:pt>
              </c:numCache>
            </c:numRef>
          </c:xVal>
          <c:yVal>
            <c:numRef>
              <c:f>Calculs!$J$4:$J$1004</c:f>
              <c:numCache>
                <c:formatCode>0.00</c:formatCode>
                <c:ptCount val="1001"/>
                <c:pt idx="0">
                  <c:v>132.07618777215259</c:v>
                </c:pt>
                <c:pt idx="1">
                  <c:v>132.46412905976854</c:v>
                </c:pt>
                <c:pt idx="2">
                  <c:v>132.85155166492726</c:v>
                </c:pt>
                <c:pt idx="3">
                  <c:v>133.23845737472485</c:v>
                </c:pt>
                <c:pt idx="4">
                  <c:v>133.62484796756877</c:v>
                </c:pt>
                <c:pt idx="5">
                  <c:v>134.01072521323539</c:v>
                </c:pt>
                <c:pt idx="6">
                  <c:v>134.39609087292706</c:v>
                </c:pt>
                <c:pt idx="7">
                  <c:v>134.78094669932881</c:v>
                </c:pt>
                <c:pt idx="8">
                  <c:v>135.1652944366644</c:v>
                </c:pt>
                <c:pt idx="9">
                  <c:v>135.54913582075207</c:v>
                </c:pt>
                <c:pt idx="10">
                  <c:v>135.93247257905978</c:v>
                </c:pt>
                <c:pt idx="11">
                  <c:v>136.31530642791085</c:v>
                </c:pt>
                <c:pt idx="12">
                  <c:v>136.69763906974825</c:v>
                </c:pt>
                <c:pt idx="13">
                  <c:v>137.07947219615855</c:v>
                </c:pt>
                <c:pt idx="14">
                  <c:v>137.46080749083512</c:v>
                </c:pt>
                <c:pt idx="15">
                  <c:v>137.84164662962786</c:v>
                </c:pt>
                <c:pt idx="16">
                  <c:v>138.22199128059273</c:v>
                </c:pt>
                <c:pt idx="17">
                  <c:v>138.60184310404082</c:v>
                </c:pt>
                <c:pt idx="18">
                  <c:v>138.98120375258705</c:v>
                </c:pt>
                <c:pt idx="19">
                  <c:v>139.36007487119841</c:v>
                </c:pt>
                <c:pt idx="20">
                  <c:v>139.73845809724193</c:v>
                </c:pt>
                <c:pt idx="21">
                  <c:v>140.11635506196703</c:v>
                </c:pt>
                <c:pt idx="22">
                  <c:v>140.49376739195887</c:v>
                </c:pt>
                <c:pt idx="23">
                  <c:v>140.87069670769199</c:v>
                </c:pt>
                <c:pt idx="24">
                  <c:v>141.2471446221127</c:v>
                </c:pt>
                <c:pt idx="25">
                  <c:v>141.62311274068671</c:v>
                </c:pt>
                <c:pt idx="26">
                  <c:v>141.99860266144628</c:v>
                </c:pt>
                <c:pt idx="27">
                  <c:v>142.3736159750371</c:v>
                </c:pt>
                <c:pt idx="28">
                  <c:v>142.74815426476471</c:v>
                </c:pt>
                <c:pt idx="29">
                  <c:v>143.12221910664067</c:v>
                </c:pt>
                <c:pt idx="30">
                  <c:v>143.49581206942824</c:v>
                </c:pt>
                <c:pt idx="31">
                  <c:v>143.86893471468775</c:v>
                </c:pt>
                <c:pt idx="32">
                  <c:v>144.24158859682171</c:v>
                </c:pt>
                <c:pt idx="33">
                  <c:v>144.61377526311938</c:v>
                </c:pt>
                <c:pt idx="34">
                  <c:v>144.98549625380113</c:v>
                </c:pt>
                <c:pt idx="35">
                  <c:v>145.35675310206247</c:v>
                </c:pt>
                <c:pt idx="36">
                  <c:v>145.72754733411765</c:v>
                </c:pt>
                <c:pt idx="37">
                  <c:v>146.09788046924291</c:v>
                </c:pt>
                <c:pt idx="38">
                  <c:v>146.46775401981955</c:v>
                </c:pt>
                <c:pt idx="39">
                  <c:v>146.83716949137647</c:v>
                </c:pt>
                <c:pt idx="40">
                  <c:v>147.20612838263253</c:v>
                </c:pt>
                <c:pt idx="41">
                  <c:v>147.57463218553849</c:v>
                </c:pt>
                <c:pt idx="42">
                  <c:v>147.94268238531868</c:v>
                </c:pt>
                <c:pt idx="43">
                  <c:v>148.3102804605123</c:v>
                </c:pt>
                <c:pt idx="44">
                  <c:v>148.67742788301453</c:v>
                </c:pt>
                <c:pt idx="45">
                  <c:v>149.04412611811708</c:v>
                </c:pt>
                <c:pt idx="46">
                  <c:v>149.41037662454875</c:v>
                </c:pt>
                <c:pt idx="47">
                  <c:v>149.77618085451533</c:v>
                </c:pt>
                <c:pt idx="48">
                  <c:v>150.14154025373958</c:v>
                </c:pt>
                <c:pt idx="49">
                  <c:v>150.50645626150049</c:v>
                </c:pt>
                <c:pt idx="50">
                  <c:v>150.87093031067261</c:v>
                </c:pt>
                <c:pt idx="51">
                  <c:v>151.23496382776483</c:v>
                </c:pt>
                <c:pt idx="52">
                  <c:v>151.59855823295902</c:v>
                </c:pt>
                <c:pt idx="53">
                  <c:v>151.96171494014831</c:v>
                </c:pt>
                <c:pt idx="54">
                  <c:v>152.32443535697504</c:v>
                </c:pt>
                <c:pt idx="55">
                  <c:v>152.68672088486855</c:v>
                </c:pt>
                <c:pt idx="56">
                  <c:v>153.04857291908252</c:v>
                </c:pt>
                <c:pt idx="57">
                  <c:v>153.40999284873214</c:v>
                </c:pt>
                <c:pt idx="58">
                  <c:v>153.77098205683106</c:v>
                </c:pt>
                <c:pt idx="59">
                  <c:v>154.13154192032783</c:v>
                </c:pt>
                <c:pt idx="60">
                  <c:v>154.4916738101424</c:v>
                </c:pt>
                <c:pt idx="61">
                  <c:v>154.85137909120198</c:v>
                </c:pt>
                <c:pt idx="62">
                  <c:v>155.21065912247693</c:v>
                </c:pt>
                <c:pt idx="63">
                  <c:v>155.56951525701626</c:v>
                </c:pt>
                <c:pt idx="64">
                  <c:v>155.92794884198281</c:v>
                </c:pt>
                <c:pt idx="65">
                  <c:v>156.28596121868833</c:v>
                </c:pt>
                <c:pt idx="66">
                  <c:v>156.64355372262807</c:v>
                </c:pt>
                <c:pt idx="67">
                  <c:v>157.00072768351541</c:v>
                </c:pt>
                <c:pt idx="68">
                  <c:v>157.35748442531593</c:v>
                </c:pt>
                <c:pt idx="69">
                  <c:v>157.71382526628145</c:v>
                </c:pt>
                <c:pt idx="70">
                  <c:v>158.06975151898368</c:v>
                </c:pt>
                <c:pt idx="71">
                  <c:v>158.42526449034773</c:v>
                </c:pt>
                <c:pt idx="72">
                  <c:v>158.78036548168529</c:v>
                </c:pt>
                <c:pt idx="73">
                  <c:v>159.13505578872764</c:v>
                </c:pt>
                <c:pt idx="74">
                  <c:v>159.48933670165829</c:v>
                </c:pt>
                <c:pt idx="75">
                  <c:v>159.84320950514558</c:v>
                </c:pt>
                <c:pt idx="76">
                  <c:v>160.19667547837486</c:v>
                </c:pt>
                <c:pt idx="77">
                  <c:v>160.54973589508049</c:v>
                </c:pt>
                <c:pt idx="78">
                  <c:v>160.90239202357768</c:v>
                </c:pt>
                <c:pt idx="79">
                  <c:v>161.25464512679403</c:v>
                </c:pt>
                <c:pt idx="80">
                  <c:v>161.60649646230078</c:v>
                </c:pt>
                <c:pt idx="81">
                  <c:v>161.95794728234401</c:v>
                </c:pt>
                <c:pt idx="82">
                  <c:v>162.30899883387542</c:v>
                </c:pt>
                <c:pt idx="83">
                  <c:v>162.65965235858303</c:v>
                </c:pt>
                <c:pt idx="84">
                  <c:v>163.00990909292153</c:v>
                </c:pt>
                <c:pt idx="85">
                  <c:v>163.35977026814263</c:v>
                </c:pt>
                <c:pt idx="86">
                  <c:v>163.70923711032484</c:v>
                </c:pt>
                <c:pt idx="87">
                  <c:v>164.05831084040344</c:v>
                </c:pt>
                <c:pt idx="88">
                  <c:v>164.40699267419993</c:v>
                </c:pt>
                <c:pt idx="89">
                  <c:v>164.75528382245136</c:v>
                </c:pt>
                <c:pt idx="90">
                  <c:v>165.10318549083954</c:v>
                </c:pt>
                <c:pt idx="91">
                  <c:v>165.4506988800199</c:v>
                </c:pt>
                <c:pt idx="92">
                  <c:v>165.79782518565025</c:v>
                </c:pt>
                <c:pt idx="93">
                  <c:v>166.14456559841929</c:v>
                </c:pt>
                <c:pt idx="94">
                  <c:v>166.49092130407487</c:v>
                </c:pt>
                <c:pt idx="95">
                  <c:v>166.83689348345217</c:v>
                </c:pt>
                <c:pt idx="96">
                  <c:v>167.1824833125016</c:v>
                </c:pt>
                <c:pt idx="97">
                  <c:v>167.52769196231645</c:v>
                </c:pt>
                <c:pt idx="98">
                  <c:v>167.87252059916051</c:v>
                </c:pt>
                <c:pt idx="99">
                  <c:v>168.21697038449531</c:v>
                </c:pt>
                <c:pt idx="100">
                  <c:v>168.56104247500727</c:v>
                </c:pt>
                <c:pt idx="101">
                  <c:v>171.98107938681989</c:v>
                </c:pt>
                <c:pt idx="102">
                  <c:v>175.36408768810614</c:v>
                </c:pt>
                <c:pt idx="103">
                  <c:v>178.71118093815957</c:v>
                </c:pt>
                <c:pt idx="104">
                  <c:v>182.02342826581781</c:v>
                </c:pt>
                <c:pt idx="105">
                  <c:v>185.30185678220144</c:v>
                </c:pt>
                <c:pt idx="106">
                  <c:v>188.54745383166855</c:v>
                </c:pt>
                <c:pt idx="107">
                  <c:v>191.76116909387937</c:v>
                </c:pt>
                <c:pt idx="108">
                  <c:v>194.94391654867624</c:v>
                </c:pt>
                <c:pt idx="109">
                  <c:v>198.09657631441877</c:v>
                </c:pt>
                <c:pt idx="110">
                  <c:v>201.21999636945836</c:v>
                </c:pt>
                <c:pt idx="111">
                  <c:v>204.31499416557733</c:v>
                </c:pt>
                <c:pt idx="112">
                  <c:v>207.38235814144483</c:v>
                </c:pt>
                <c:pt idx="113">
                  <c:v>210.42284914344566</c:v>
                </c:pt>
                <c:pt idx="114">
                  <c:v>213.43720176060936</c:v>
                </c:pt>
                <c:pt idx="115">
                  <c:v>216.42612557979865</c:v>
                </c:pt>
                <c:pt idx="116">
                  <c:v>219.39030636680317</c:v>
                </c:pt>
                <c:pt idx="117">
                  <c:v>222.3304071785179</c:v>
                </c:pt>
                <c:pt idx="118">
                  <c:v>225.24706941096372</c:v>
                </c:pt>
                <c:pt idx="119">
                  <c:v>228.14091378752391</c:v>
                </c:pt>
                <c:pt idx="120">
                  <c:v>231.01254129142086</c:v>
                </c:pt>
                <c:pt idx="121">
                  <c:v>233.86253404613979</c:v>
                </c:pt>
                <c:pt idx="122">
                  <c:v>236.69145614721648</c:v>
                </c:pt>
                <c:pt idx="123">
                  <c:v>239.49985444854138</c:v>
                </c:pt>
                <c:pt idx="124">
                  <c:v>242.28825930609057</c:v>
                </c:pt>
                <c:pt idx="125">
                  <c:v>245.05718528177306</c:v>
                </c:pt>
                <c:pt idx="126">
                  <c:v>247.8071318098811</c:v>
                </c:pt>
                <c:pt idx="127">
                  <c:v>250.53858382844393</c:v>
                </c:pt>
                <c:pt idx="128">
                  <c:v>253.25201237761527</c:v>
                </c:pt>
                <c:pt idx="129">
                  <c:v>255.94787516706694</c:v>
                </c:pt>
                <c:pt idx="130">
                  <c:v>258.62661711421714</c:v>
                </c:pt>
                <c:pt idx="131">
                  <c:v>261.28867085498808</c:v>
                </c:pt>
                <c:pt idx="132">
                  <c:v>263.93445722866448</c:v>
                </c:pt>
                <c:pt idx="133">
                  <c:v>266.56438573831082</c:v>
                </c:pt>
                <c:pt idx="134">
                  <c:v>269.1788549880996</c:v>
                </c:pt>
                <c:pt idx="135">
                  <c:v>271.77825309880473</c:v>
                </c:pt>
                <c:pt idx="136">
                  <c:v>274.36295810262362</c:v>
                </c:pt>
                <c:pt idx="137">
                  <c:v>276.93333831840658</c:v>
                </c:pt>
                <c:pt idx="138">
                  <c:v>279.48975270829266</c:v>
                </c:pt>
                <c:pt idx="139">
                  <c:v>282.03255121667792</c:v>
                </c:pt>
                <c:pt idx="140">
                  <c:v>284.56207509237214</c:v>
                </c:pt>
                <c:pt idx="141">
                  <c:v>287.07865719473477</c:v>
                </c:pt>
                <c:pt idx="142">
                  <c:v>289.58262228451963</c:v>
                </c:pt>
                <c:pt idx="143">
                  <c:v>292.07428730009951</c:v>
                </c:pt>
                <c:pt idx="144">
                  <c:v>294.5539616196869</c:v>
                </c:pt>
                <c:pt idx="145">
                  <c:v>297.02194731011338</c:v>
                </c:pt>
                <c:pt idx="146">
                  <c:v>299.47853936268137</c:v>
                </c:pt>
                <c:pt idx="147">
                  <c:v>301.92402591655201</c:v>
                </c:pt>
                <c:pt idx="148">
                  <c:v>304.35868847008686</c:v>
                </c:pt>
                <c:pt idx="149">
                  <c:v>306.78280208051547</c:v>
                </c:pt>
                <c:pt idx="150">
                  <c:v>309.19663555225674</c:v>
                </c:pt>
                <c:pt idx="151">
                  <c:v>311.6004516141777</c:v>
                </c:pt>
                <c:pt idx="152">
                  <c:v>313.99450708603177</c:v>
                </c:pt>
                <c:pt idx="153">
                  <c:v>316.3790530342747</c:v>
                </c:pt>
                <c:pt idx="154">
                  <c:v>318.75433491741484</c:v>
                </c:pt>
                <c:pt idx="155">
                  <c:v>321.12059272101163</c:v>
                </c:pt>
                <c:pt idx="156">
                  <c:v>323.47806108239428</c:v>
                </c:pt>
                <c:pt idx="157">
                  <c:v>325.82696940512847</c:v>
                </c:pt>
                <c:pt idx="158">
                  <c:v>328.1675419632171</c:v>
                </c:pt>
                <c:pt idx="159">
                  <c:v>330.4999979949763</c:v>
                </c:pt>
                <c:pt idx="160">
                  <c:v>332.82455178648371</c:v>
                </c:pt>
                <c:pt idx="161">
                  <c:v>335.14141274445262</c:v>
                </c:pt>
                <c:pt idx="162">
                  <c:v>337.45078545833923</c:v>
                </c:pt>
                <c:pt idx="163">
                  <c:v>339.75286975144707</c:v>
                </c:pt>
                <c:pt idx="164">
                  <c:v>342.04786072074853</c:v>
                </c:pt>
                <c:pt idx="165">
                  <c:v>344.33594876510136</c:v>
                </c:pt>
                <c:pt idx="166">
                  <c:v>346.61731960149831</c:v>
                </c:pt>
                <c:pt idx="167">
                  <c:v>348.89215426895271</c:v>
                </c:pt>
                <c:pt idx="168">
                  <c:v>351.16062911959295</c:v>
                </c:pt>
                <c:pt idx="169">
                  <c:v>353.42291579651641</c:v>
                </c:pt>
                <c:pt idx="170">
                  <c:v>355.67918119794331</c:v>
                </c:pt>
                <c:pt idx="171">
                  <c:v>357.92958742721407</c:v>
                </c:pt>
                <c:pt idx="172">
                  <c:v>360.17429172819556</c:v>
                </c:pt>
                <c:pt idx="173">
                  <c:v>362.41344640570873</c:v>
                </c:pt>
                <c:pt idx="174">
                  <c:v>364.64719873066502</c:v>
                </c:pt>
                <c:pt idx="175">
                  <c:v>366.87569082971135</c:v>
                </c:pt>
                <c:pt idx="176">
                  <c:v>369.0990595593392</c:v>
                </c:pt>
                <c:pt idx="177">
                  <c:v>371.31743636462068</c:v>
                </c:pt>
                <c:pt idx="178">
                  <c:v>373.53094712299901</c:v>
                </c:pt>
                <c:pt idx="179">
                  <c:v>375.73971197389176</c:v>
                </c:pt>
                <c:pt idx="180">
                  <c:v>377.94384513526484</c:v>
                </c:pt>
                <c:pt idx="181">
                  <c:v>380.14345470880505</c:v>
                </c:pt>
                <c:pt idx="182">
                  <c:v>382.3386424758562</c:v>
                </c:pt>
                <c:pt idx="183">
                  <c:v>384.5295036868776</c:v>
                </c:pt>
                <c:pt idx="184">
                  <c:v>386.71612684781547</c:v>
                </c:pt>
                <c:pt idx="185">
                  <c:v>388.89859350741983</c:v>
                </c:pt>
                <c:pt idx="186">
                  <c:v>391.07697805015437</c:v>
                </c:pt>
                <c:pt idx="187">
                  <c:v>393.25134749988518</c:v>
                </c:pt>
                <c:pt idx="188">
                  <c:v>395.42176133994587</c:v>
                </c:pt>
                <c:pt idx="189">
                  <c:v>397.58827135539894</c:v>
                </c:pt>
                <c:pt idx="190">
                  <c:v>399.75092150330113</c:v>
                </c:pt>
                <c:pt idx="191">
                  <c:v>401.90974781648515</c:v>
                </c:pt>
                <c:pt idx="192">
                  <c:v>404.06477834577618</c:v>
                </c:pt>
                <c:pt idx="193">
                  <c:v>406.21603314466967</c:v>
                </c:pt>
                <c:pt idx="194">
                  <c:v>408.36352429934408</c:v>
                </c:pt>
                <c:pt idx="195">
                  <c:v>410.50725600553022</c:v>
                </c:pt>
                <c:pt idx="196">
                  <c:v>412.6472246922973</c:v>
                </c:pt>
                <c:pt idx="197">
                  <c:v>414.78341919134357</c:v>
                </c:pt>
                <c:pt idx="198">
                  <c:v>416.91582094900434</c:v>
                </c:pt>
                <c:pt idx="199">
                  <c:v>419.04440427699762</c:v>
                </c:pt>
                <c:pt idx="200">
                  <c:v>421.16913663699466</c:v>
                </c:pt>
                <c:pt idx="201">
                  <c:v>423.28997895346538</c:v>
                </c:pt>
                <c:pt idx="202">
                  <c:v>425.40688594891924</c:v>
                </c:pt>
                <c:pt idx="203">
                  <c:v>427.51980649562586</c:v>
                </c:pt>
                <c:pt idx="204">
                  <c:v>429.62868397811218</c:v>
                </c:pt>
                <c:pt idx="205">
                  <c:v>431.7334566611483</c:v>
                </c:pt>
                <c:pt idx="206">
                  <c:v>433.83405805848884</c:v>
                </c:pt>
                <c:pt idx="207">
                  <c:v>435.93041729827621</c:v>
                </c:pt>
                <c:pt idx="208">
                  <c:v>438.02245948168542</c:v>
                </c:pt>
                <c:pt idx="209">
                  <c:v>440.1101060320571</c:v>
                </c:pt>
                <c:pt idx="210">
                  <c:v>442.19327503239265</c:v>
                </c:pt>
                <c:pt idx="211">
                  <c:v>444.2718815496554</c:v>
                </c:pt>
                <c:pt idx="212">
                  <c:v>446.34583794482228</c:v>
                </c:pt>
                <c:pt idx="213">
                  <c:v>448.4150541680537</c:v>
                </c:pt>
                <c:pt idx="214">
                  <c:v>450.47943803870248</c:v>
                </c:pt>
                <c:pt idx="215">
                  <c:v>452.53889551016493</c:v>
                </c:pt>
                <c:pt idx="216">
                  <c:v>454.59333091979704</c:v>
                </c:pt>
                <c:pt idx="217">
                  <c:v>456.64264722428555</c:v>
                </c:pt>
                <c:pt idx="218">
                  <c:v>458.68674622098388</c:v>
                </c:pt>
                <c:pt idx="219">
                  <c:v>460.72552875580493</c:v>
                </c:pt>
                <c:pt idx="220">
                  <c:v>462.75889491831373</c:v>
                </c:pt>
                <c:pt idx="221">
                  <c:v>464.78674422468987</c:v>
                </c:pt>
                <c:pt idx="222">
                  <c:v>466.80897578923691</c:v>
                </c:pt>
                <c:pt idx="223">
                  <c:v>468.82548848510982</c:v>
                </c:pt>
                <c:pt idx="224">
                  <c:v>470.83618109491374</c:v>
                </c:pt>
                <c:pt idx="225">
                  <c:v>472.84095245180293</c:v>
                </c:pt>
                <c:pt idx="226">
                  <c:v>474.83970157167926</c:v>
                </c:pt>
                <c:pt idx="227">
                  <c:v>476.83232777705678</c:v>
                </c:pt>
                <c:pt idx="228">
                  <c:v>478.818730813125</c:v>
                </c:pt>
                <c:pt idx="229">
                  <c:v>480.79881095650859</c:v>
                </c:pt>
                <c:pt idx="230">
                  <c:v>482.77246911718748</c:v>
                </c:pt>
                <c:pt idx="231">
                  <c:v>484.73960693400761</c:v>
                </c:pt>
                <c:pt idx="232">
                  <c:v>486.70012686418147</c:v>
                </c:pt>
                <c:pt idx="233">
                  <c:v>488.65393226714673</c:v>
                </c:pt>
                <c:pt idx="234">
                  <c:v>490.60092748312366</c:v>
                </c:pt>
                <c:pt idx="235">
                  <c:v>492.541017906685</c:v>
                </c:pt>
                <c:pt idx="236">
                  <c:v>494.4741100556281</c:v>
                </c:pt>
                <c:pt idx="237">
                  <c:v>496.40011163541567</c:v>
                </c:pt>
                <c:pt idx="238">
                  <c:v>498.31893159943138</c:v>
                </c:pt>
                <c:pt idx="239">
                  <c:v>500.23048020527739</c:v>
                </c:pt>
                <c:pt idx="240">
                  <c:v>502.13466906732276</c:v>
                </c:pt>
                <c:pt idx="241">
                  <c:v>504.03141120569632</c:v>
                </c:pt>
                <c:pt idx="242">
                  <c:v>505.92062109190323</c:v>
                </c:pt>
                <c:pt idx="243">
                  <c:v>507.80221469123006</c:v>
                </c:pt>
                <c:pt idx="244">
                  <c:v>509.67610950209308</c:v>
                </c:pt>
                <c:pt idx="245">
                  <c:v>511.54222459247154</c:v>
                </c:pt>
                <c:pt idx="246">
                  <c:v>513.40048063355914</c:v>
                </c:pt>
                <c:pt idx="247">
                  <c:v>515.25079993075769</c:v>
                </c:pt>
                <c:pt idx="248">
                  <c:v>517.09310645212838</c:v>
                </c:pt>
                <c:pt idx="249">
                  <c:v>518.92732585440888</c:v>
                </c:pt>
                <c:pt idx="250">
                  <c:v>520.75338550669869</c:v>
                </c:pt>
                <c:pt idx="251">
                  <c:v>522.5712145119071</c:v>
                </c:pt>
                <c:pt idx="252">
                  <c:v>524.38074372605536</c:v>
                </c:pt>
                <c:pt idx="253">
                  <c:v>526.18190577551695</c:v>
                </c:pt>
                <c:pt idx="254">
                  <c:v>527.97463507227758</c:v>
                </c:pt>
                <c:pt idx="255">
                  <c:v>529.75886782729071</c:v>
                </c:pt>
                <c:pt idx="256">
                  <c:v>531.53454206200263</c:v>
                </c:pt>
                <c:pt idx="257">
                  <c:v>533.30159761811512</c:v>
                </c:pt>
                <c:pt idx="258">
                  <c:v>535.05997616565367</c:v>
                </c:pt>
                <c:pt idx="259">
                  <c:v>536.80962120940364</c:v>
                </c:pt>
                <c:pt idx="260">
                  <c:v>538.55047809377629</c:v>
                </c:pt>
                <c:pt idx="261">
                  <c:v>540.28249400616335</c:v>
                </c:pt>
                <c:pt idx="262">
                  <c:v>542.00561797883631</c:v>
                </c:pt>
                <c:pt idx="263">
                  <c:v>543.71980088944565</c:v>
                </c:pt>
                <c:pt idx="264">
                  <c:v>545.42499546017223</c:v>
                </c:pt>
                <c:pt idx="265">
                  <c:v>547.12115625558306</c:v>
                </c:pt>
                <c:pt idx="266">
                  <c:v>548.8082396792397</c:v>
                </c:pt>
                <c:pt idx="267">
                  <c:v>550.48620396910871</c:v>
                </c:pt>
                <c:pt idx="268">
                  <c:v>552.15500919182023</c:v>
                </c:pt>
                <c:pt idx="269">
                  <c:v>553.81461723582072</c:v>
                </c:pt>
                <c:pt idx="270">
                  <c:v>555.46499180346382</c:v>
                </c:pt>
                <c:pt idx="271">
                  <c:v>557.10609840208281</c:v>
                </c:pt>
                <c:pt idx="272">
                  <c:v>558.73790433408726</c:v>
                </c:pt>
                <c:pt idx="273">
                  <c:v>560.36037868612448</c:v>
                </c:pt>
                <c:pt idx="274">
                  <c:v>561.9734923173462</c:v>
                </c:pt>
                <c:pt idx="275">
                  <c:v>563.57721784682008</c:v>
                </c:pt>
                <c:pt idx="276">
                  <c:v>565.17152964012416</c:v>
                </c:pt>
                <c:pt idx="277">
                  <c:v>566.75640379516176</c:v>
                </c:pt>
                <c:pt idx="278">
                  <c:v>568.33181812723433</c:v>
                </c:pt>
                <c:pt idx="279">
                  <c:v>569.89775215340683</c:v>
                </c:pt>
                <c:pt idx="280">
                  <c:v>571.45418707620229</c:v>
                </c:pt>
                <c:pt idx="281">
                  <c:v>573.0011057666585</c:v>
                </c:pt>
                <c:pt idx="282">
                  <c:v>574.53849274678157</c:v>
                </c:pt>
                <c:pt idx="283">
                  <c:v>576.06633417142893</c:v>
                </c:pt>
                <c:pt idx="284">
                  <c:v>577.5846178096532</c:v>
                </c:pt>
                <c:pt idx="285">
                  <c:v>579.09333302553898</c:v>
                </c:pt>
                <c:pt idx="286">
                  <c:v>580.59247075856365</c:v>
                </c:pt>
                <c:pt idx="287">
                  <c:v>582.08202350351098</c:v>
                </c:pt>
                <c:pt idx="288">
                  <c:v>583.56198528996788</c:v>
                </c:pt>
                <c:pt idx="289">
                  <c:v>585.03235166143236</c:v>
                </c:pt>
                <c:pt idx="290">
                  <c:v>586.49311965406048</c:v>
                </c:pt>
                <c:pt idx="291">
                  <c:v>587.94428777507972</c:v>
                </c:pt>
                <c:pt idx="292">
                  <c:v>589.38585598089549</c:v>
                </c:pt>
                <c:pt idx="293">
                  <c:v>590.81782565491585</c:v>
                </c:pt>
                <c:pt idx="294">
                  <c:v>592.24019958512031</c:v>
                </c:pt>
                <c:pt idx="295">
                  <c:v>593.65298194139666</c:v>
                </c:pt>
                <c:pt idx="296">
                  <c:v>595.05617825267018</c:v>
                </c:pt>
                <c:pt idx="297">
                  <c:v>596.44979538384791</c:v>
                </c:pt>
                <c:pt idx="298">
                  <c:v>597.8338415126002</c:v>
                </c:pt>
                <c:pt idx="299">
                  <c:v>599.20832610600246</c:v>
                </c:pt>
                <c:pt idx="300">
                  <c:v>600.5732598970568</c:v>
                </c:pt>
                <c:pt idx="301">
                  <c:v>601.92865486111532</c:v>
                </c:pt>
                <c:pt idx="302">
                  <c:v>603.27452419222402</c:v>
                </c:pt>
                <c:pt idx="303">
                  <c:v>604.61088227940741</c:v>
                </c:pt>
                <c:pt idx="304">
                  <c:v>605.93774468291144</c:v>
                </c:pt>
                <c:pt idx="305">
                  <c:v>607.25512811042347</c:v>
                </c:pt>
                <c:pt idx="306">
                  <c:v>608.56305039328663</c:v>
                </c:pt>
                <c:pt idx="307">
                  <c:v>609.86153046272455</c:v>
                </c:pt>
                <c:pt idx="308">
                  <c:v>611.15058832609361</c:v>
                </c:pt>
                <c:pt idx="309">
                  <c:v>612.43024504317759</c:v>
                </c:pt>
                <c:pt idx="310">
                  <c:v>613.70052270253996</c:v>
                </c:pt>
                <c:pt idx="311">
                  <c:v>614.9614443979475</c:v>
                </c:pt>
                <c:pt idx="312">
                  <c:v>616.2130342048805</c:v>
                </c:pt>
                <c:pt idx="313">
                  <c:v>617.45531715714128</c:v>
                </c:pt>
                <c:pt idx="314">
                  <c:v>618.68831922357424</c:v>
                </c:pt>
                <c:pt idx="315">
                  <c:v>619.91206728490988</c:v>
                </c:pt>
                <c:pt idx="316">
                  <c:v>621.12658911074402</c:v>
                </c:pt>
                <c:pt idx="317">
                  <c:v>622.33191333666286</c:v>
                </c:pt>
                <c:pt idx="318">
                  <c:v>623.52806944152564</c:v>
                </c:pt>
                <c:pt idx="319">
                  <c:v>624.71508772491359</c:v>
                </c:pt>
                <c:pt idx="320">
                  <c:v>625.89299928475532</c:v>
                </c:pt>
                <c:pt idx="321">
                  <c:v>627.0618359951377</c:v>
                </c:pt>
                <c:pt idx="322">
                  <c:v>628.22163048431059</c:v>
                </c:pt>
                <c:pt idx="323">
                  <c:v>629.37241611289369</c:v>
                </c:pt>
                <c:pt idx="324">
                  <c:v>630.51422695229257</c:v>
                </c:pt>
                <c:pt idx="325">
                  <c:v>631.64709776333223</c:v>
                </c:pt>
                <c:pt idx="326">
                  <c:v>632.77106397511318</c:v>
                </c:pt>
                <c:pt idx="327">
                  <c:v>633.88616166409815</c:v>
                </c:pt>
                <c:pt idx="328">
                  <c:v>634.99242753343435</c:v>
                </c:pt>
                <c:pt idx="329">
                  <c:v>636.0898988925162</c:v>
                </c:pt>
                <c:pt idx="330">
                  <c:v>637.17861363679503</c:v>
                </c:pt>
                <c:pt idx="331">
                  <c:v>638.25861022783965</c:v>
                </c:pt>
                <c:pt idx="332">
                  <c:v>639.3299276736517</c:v>
                </c:pt>
                <c:pt idx="333">
                  <c:v>640.39260550924075</c:v>
                </c:pt>
                <c:pt idx="334">
                  <c:v>641.44668377746189</c:v>
                </c:pt>
                <c:pt idx="335">
                  <c:v>642.49220301011951</c:v>
                </c:pt>
                <c:pt idx="336">
                  <c:v>643.52920420934049</c:v>
                </c:pt>
                <c:pt idx="337">
                  <c:v>644.55772882921826</c:v>
                </c:pt>
                <c:pt idx="338">
                  <c:v>645.57781875773173</c:v>
                </c:pt>
                <c:pt idx="339">
                  <c:v>646.58951629893954</c:v>
                </c:pt>
                <c:pt idx="340">
                  <c:v>647.5928641554525</c:v>
                </c:pt>
                <c:pt idx="341">
                  <c:v>648.58790541118492</c:v>
                </c:pt>
                <c:pt idx="342">
                  <c:v>649.57468351438638</c:v>
                </c:pt>
                <c:pt idx="343">
                  <c:v>650.55324226095468</c:v>
                </c:pt>
                <c:pt idx="344">
                  <c:v>651.52362577803103</c:v>
                </c:pt>
                <c:pt idx="345">
                  <c:v>652.48587850787715</c:v>
                </c:pt>
                <c:pt idx="346">
                  <c:v>653.44004519203554</c:v>
                </c:pt>
                <c:pt idx="347">
                  <c:v>654.38617085577187</c:v>
                </c:pt>
                <c:pt idx="348">
                  <c:v>655.32430079279948</c:v>
                </c:pt>
                <c:pt idx="349">
                  <c:v>656.25448055028687</c:v>
                </c:pt>
                <c:pt idx="350">
                  <c:v>657.17675591414513</c:v>
                </c:pt>
                <c:pt idx="351">
                  <c:v>658.09117289459698</c:v>
                </c:pt>
                <c:pt idx="352">
                  <c:v>658.99777771202446</c:v>
                </c:pt>
                <c:pt idx="353">
                  <c:v>659.89661678309562</c:v>
                </c:pt>
                <c:pt idx="354">
                  <c:v>660.78773670716782</c:v>
                </c:pt>
                <c:pt idx="355">
                  <c:v>661.67118425296701</c:v>
                </c:pt>
                <c:pt idx="356">
                  <c:v>662.54700634554069</c:v>
                </c:pt>
                <c:pt idx="357">
                  <c:v>663.41525005348319</c:v>
                </c:pt>
                <c:pt idx="358">
                  <c:v>664.2759625764312</c:v>
                </c:pt>
                <c:pt idx="359">
                  <c:v>665.12919123282825</c:v>
                </c:pt>
                <c:pt idx="360">
                  <c:v>665.97498344795451</c:v>
                </c:pt>
                <c:pt idx="361">
                  <c:v>666.8133867422215</c:v>
                </c:pt>
                <c:pt idx="362">
                  <c:v>667.64444871972819</c:v>
                </c:pt>
                <c:pt idx="363">
                  <c:v>668.46821705707623</c:v>
                </c:pt>
                <c:pt idx="364">
                  <c:v>669.28473949244233</c:v>
                </c:pt>
                <c:pt idx="365">
                  <c:v>670.09406381490476</c:v>
                </c:pt>
                <c:pt idx="366">
                  <c:v>670.89623785402148</c:v>
                </c:pt>
                <c:pt idx="367">
                  <c:v>671.69130946965663</c:v>
                </c:pt>
                <c:pt idx="368">
                  <c:v>672.47932654205385</c:v>
                </c:pt>
                <c:pt idx="369">
                  <c:v>673.26033696215222</c:v>
                </c:pt>
                <c:pt idx="370">
                  <c:v>674.03438862214227</c:v>
                </c:pt>
                <c:pt idx="371">
                  <c:v>674.80152940625987</c:v>
                </c:pt>
                <c:pt idx="372">
                  <c:v>675.56180718181395</c:v>
                </c:pt>
                <c:pt idx="373">
                  <c:v>676.31526979044531</c:v>
                </c:pt>
                <c:pt idx="374">
                  <c:v>677.06196503961394</c:v>
                </c:pt>
                <c:pt idx="375">
                  <c:v>677.8019406943107</c:v>
                </c:pt>
                <c:pt idx="376">
                  <c:v>678.53524446899166</c:v>
                </c:pt>
                <c:pt idx="377">
                  <c:v>678.53524446899166</c:v>
                </c:pt>
                <c:pt idx="378">
                  <c:v>678.53524446899166</c:v>
                </c:pt>
                <c:pt idx="379">
                  <c:v>678.53524446899166</c:v>
                </c:pt>
                <c:pt idx="380">
                  <c:v>678.53524446899166</c:v>
                </c:pt>
                <c:pt idx="381">
                  <c:v>678.53524446899166</c:v>
                </c:pt>
                <c:pt idx="382">
                  <c:v>678.53524446899166</c:v>
                </c:pt>
                <c:pt idx="383">
                  <c:v>678.53524446899166</c:v>
                </c:pt>
                <c:pt idx="384">
                  <c:v>678.53524446899166</c:v>
                </c:pt>
                <c:pt idx="385">
                  <c:v>678.53524446899166</c:v>
                </c:pt>
                <c:pt idx="386">
                  <c:v>678.53524446899166</c:v>
                </c:pt>
                <c:pt idx="387">
                  <c:v>678.53524446899166</c:v>
                </c:pt>
                <c:pt idx="388">
                  <c:v>678.53524446899166</c:v>
                </c:pt>
                <c:pt idx="389">
                  <c:v>678.53524446899166</c:v>
                </c:pt>
                <c:pt idx="390">
                  <c:v>678.53524446899166</c:v>
                </c:pt>
                <c:pt idx="391">
                  <c:v>678.53524446899166</c:v>
                </c:pt>
                <c:pt idx="392">
                  <c:v>678.53524446899166</c:v>
                </c:pt>
                <c:pt idx="393">
                  <c:v>678.53524446899166</c:v>
                </c:pt>
                <c:pt idx="394">
                  <c:v>678.53524446899166</c:v>
                </c:pt>
                <c:pt idx="395">
                  <c:v>678.53524446899166</c:v>
                </c:pt>
                <c:pt idx="396">
                  <c:v>678.53524446899166</c:v>
                </c:pt>
                <c:pt idx="397">
                  <c:v>678.53524446899166</c:v>
                </c:pt>
                <c:pt idx="398">
                  <c:v>678.53524446899166</c:v>
                </c:pt>
                <c:pt idx="399">
                  <c:v>678.53524446899166</c:v>
                </c:pt>
                <c:pt idx="400">
                  <c:v>678.53524446899166</c:v>
                </c:pt>
                <c:pt idx="401">
                  <c:v>678.53524446899166</c:v>
                </c:pt>
                <c:pt idx="402">
                  <c:v>678.53524446899166</c:v>
                </c:pt>
                <c:pt idx="403">
                  <c:v>678.53524446899166</c:v>
                </c:pt>
                <c:pt idx="404">
                  <c:v>678.53524446899166</c:v>
                </c:pt>
                <c:pt idx="405">
                  <c:v>678.53524446899166</c:v>
                </c:pt>
                <c:pt idx="406">
                  <c:v>678.53524446899166</c:v>
                </c:pt>
                <c:pt idx="407">
                  <c:v>678.53524446899166</c:v>
                </c:pt>
                <c:pt idx="408">
                  <c:v>678.53524446899166</c:v>
                </c:pt>
                <c:pt idx="409">
                  <c:v>678.53524446899166</c:v>
                </c:pt>
                <c:pt idx="410">
                  <c:v>678.53524446899166</c:v>
                </c:pt>
                <c:pt idx="411">
                  <c:v>678.53524446899166</c:v>
                </c:pt>
                <c:pt idx="412">
                  <c:v>678.53524446899166</c:v>
                </c:pt>
                <c:pt idx="413">
                  <c:v>678.53524446899166</c:v>
                </c:pt>
                <c:pt idx="414">
                  <c:v>678.53524446899166</c:v>
                </c:pt>
                <c:pt idx="415">
                  <c:v>678.53524446899166</c:v>
                </c:pt>
                <c:pt idx="416">
                  <c:v>678.53524446899166</c:v>
                </c:pt>
                <c:pt idx="417">
                  <c:v>678.53524446899166</c:v>
                </c:pt>
                <c:pt idx="418">
                  <c:v>678.53524446899166</c:v>
                </c:pt>
                <c:pt idx="419">
                  <c:v>678.53524446899166</c:v>
                </c:pt>
                <c:pt idx="420">
                  <c:v>678.53524446899166</c:v>
                </c:pt>
                <c:pt idx="421">
                  <c:v>678.53524446899166</c:v>
                </c:pt>
                <c:pt idx="422">
                  <c:v>678.53524446899166</c:v>
                </c:pt>
                <c:pt idx="423">
                  <c:v>678.53524446899166</c:v>
                </c:pt>
                <c:pt idx="424">
                  <c:v>678.53524446899166</c:v>
                </c:pt>
                <c:pt idx="425">
                  <c:v>678.53524446899166</c:v>
                </c:pt>
                <c:pt idx="426">
                  <c:v>678.53524446899166</c:v>
                </c:pt>
                <c:pt idx="427">
                  <c:v>678.53524446899166</c:v>
                </c:pt>
                <c:pt idx="428">
                  <c:v>678.53524446899166</c:v>
                </c:pt>
                <c:pt idx="429">
                  <c:v>678.53524446899166</c:v>
                </c:pt>
                <c:pt idx="430">
                  <c:v>678.53524446899166</c:v>
                </c:pt>
                <c:pt idx="431">
                  <c:v>678.53524446899166</c:v>
                </c:pt>
                <c:pt idx="432">
                  <c:v>678.53524446899166</c:v>
                </c:pt>
                <c:pt idx="433">
                  <c:v>678.53524446899166</c:v>
                </c:pt>
                <c:pt idx="434">
                  <c:v>678.53524446899166</c:v>
                </c:pt>
                <c:pt idx="435">
                  <c:v>678.53524446899166</c:v>
                </c:pt>
                <c:pt idx="436">
                  <c:v>678.53524446899166</c:v>
                </c:pt>
                <c:pt idx="437">
                  <c:v>678.53524446899166</c:v>
                </c:pt>
                <c:pt idx="438">
                  <c:v>678.53524446899166</c:v>
                </c:pt>
                <c:pt idx="439">
                  <c:v>678.53524446899166</c:v>
                </c:pt>
                <c:pt idx="440">
                  <c:v>678.53524446899166</c:v>
                </c:pt>
                <c:pt idx="441">
                  <c:v>678.53524446899166</c:v>
                </c:pt>
                <c:pt idx="442">
                  <c:v>678.53524446899166</c:v>
                </c:pt>
                <c:pt idx="443">
                  <c:v>678.53524446899166</c:v>
                </c:pt>
                <c:pt idx="444">
                  <c:v>678.53524446899166</c:v>
                </c:pt>
                <c:pt idx="445">
                  <c:v>678.53524446899166</c:v>
                </c:pt>
                <c:pt idx="446">
                  <c:v>678.53524446899166</c:v>
                </c:pt>
                <c:pt idx="447">
                  <c:v>678.53524446899166</c:v>
                </c:pt>
                <c:pt idx="448">
                  <c:v>678.53524446899166</c:v>
                </c:pt>
                <c:pt idx="449">
                  <c:v>678.53524446899166</c:v>
                </c:pt>
                <c:pt idx="450">
                  <c:v>678.53524446899166</c:v>
                </c:pt>
                <c:pt idx="451">
                  <c:v>678.53524446899166</c:v>
                </c:pt>
                <c:pt idx="452">
                  <c:v>678.53524446899166</c:v>
                </c:pt>
                <c:pt idx="453">
                  <c:v>678.53524446899166</c:v>
                </c:pt>
                <c:pt idx="454">
                  <c:v>678.53524446899166</c:v>
                </c:pt>
                <c:pt idx="455">
                  <c:v>678.53524446899166</c:v>
                </c:pt>
                <c:pt idx="456">
                  <c:v>678.53524446899166</c:v>
                </c:pt>
                <c:pt idx="457">
                  <c:v>678.53524446899166</c:v>
                </c:pt>
                <c:pt idx="458">
                  <c:v>678.53524446899166</c:v>
                </c:pt>
                <c:pt idx="459">
                  <c:v>678.53524446899166</c:v>
                </c:pt>
                <c:pt idx="460">
                  <c:v>678.53524446899166</c:v>
                </c:pt>
                <c:pt idx="461">
                  <c:v>678.53524446899166</c:v>
                </c:pt>
                <c:pt idx="462">
                  <c:v>678.53524446899166</c:v>
                </c:pt>
                <c:pt idx="463">
                  <c:v>678.53524446899166</c:v>
                </c:pt>
                <c:pt idx="464">
                  <c:v>678.53524446899166</c:v>
                </c:pt>
                <c:pt idx="465">
                  <c:v>678.53524446899166</c:v>
                </c:pt>
                <c:pt idx="466">
                  <c:v>678.53524446899166</c:v>
                </c:pt>
                <c:pt idx="467">
                  <c:v>678.53524446899166</c:v>
                </c:pt>
                <c:pt idx="468">
                  <c:v>678.53524446899166</c:v>
                </c:pt>
                <c:pt idx="469">
                  <c:v>678.53524446899166</c:v>
                </c:pt>
                <c:pt idx="470">
                  <c:v>678.53524446899166</c:v>
                </c:pt>
                <c:pt idx="471">
                  <c:v>678.53524446899166</c:v>
                </c:pt>
                <c:pt idx="472">
                  <c:v>678.53524446899166</c:v>
                </c:pt>
                <c:pt idx="473">
                  <c:v>678.53524446899166</c:v>
                </c:pt>
                <c:pt idx="474">
                  <c:v>678.53524446899166</c:v>
                </c:pt>
                <c:pt idx="475">
                  <c:v>678.53524446899166</c:v>
                </c:pt>
                <c:pt idx="476">
                  <c:v>678.53524446899166</c:v>
                </c:pt>
                <c:pt idx="477">
                  <c:v>678.53524446899166</c:v>
                </c:pt>
                <c:pt idx="478">
                  <c:v>678.53524446899166</c:v>
                </c:pt>
                <c:pt idx="479">
                  <c:v>678.53524446899166</c:v>
                </c:pt>
                <c:pt idx="480">
                  <c:v>678.53524446899166</c:v>
                </c:pt>
                <c:pt idx="481">
                  <c:v>678.53524446899166</c:v>
                </c:pt>
                <c:pt idx="482">
                  <c:v>678.53524446899166</c:v>
                </c:pt>
                <c:pt idx="483">
                  <c:v>678.53524446899166</c:v>
                </c:pt>
                <c:pt idx="484">
                  <c:v>678.53524446899166</c:v>
                </c:pt>
                <c:pt idx="485">
                  <c:v>678.53524446899166</c:v>
                </c:pt>
                <c:pt idx="486">
                  <c:v>678.53524446899166</c:v>
                </c:pt>
                <c:pt idx="487">
                  <c:v>678.53524446899166</c:v>
                </c:pt>
                <c:pt idx="488">
                  <c:v>678.53524446899166</c:v>
                </c:pt>
                <c:pt idx="489">
                  <c:v>678.53524446899166</c:v>
                </c:pt>
                <c:pt idx="490">
                  <c:v>678.53524446899166</c:v>
                </c:pt>
                <c:pt idx="491">
                  <c:v>678.53524446899166</c:v>
                </c:pt>
                <c:pt idx="492">
                  <c:v>678.53524446899166</c:v>
                </c:pt>
                <c:pt idx="493">
                  <c:v>678.53524446899166</c:v>
                </c:pt>
                <c:pt idx="494">
                  <c:v>678.53524446899166</c:v>
                </c:pt>
                <c:pt idx="495">
                  <c:v>678.53524446899166</c:v>
                </c:pt>
                <c:pt idx="496">
                  <c:v>678.53524446899166</c:v>
                </c:pt>
                <c:pt idx="497">
                  <c:v>678.53524446899166</c:v>
                </c:pt>
                <c:pt idx="498">
                  <c:v>678.53524446899166</c:v>
                </c:pt>
                <c:pt idx="499">
                  <c:v>678.53524446899166</c:v>
                </c:pt>
                <c:pt idx="500">
                  <c:v>678.53524446899166</c:v>
                </c:pt>
                <c:pt idx="501">
                  <c:v>678.53524446899166</c:v>
                </c:pt>
                <c:pt idx="502">
                  <c:v>678.53524446899166</c:v>
                </c:pt>
                <c:pt idx="503">
                  <c:v>678.53524446899166</c:v>
                </c:pt>
                <c:pt idx="504">
                  <c:v>678.53524446899166</c:v>
                </c:pt>
                <c:pt idx="505">
                  <c:v>678.53524446899166</c:v>
                </c:pt>
                <c:pt idx="506">
                  <c:v>678.53524446899166</c:v>
                </c:pt>
                <c:pt idx="507">
                  <c:v>678.53524446899166</c:v>
                </c:pt>
                <c:pt idx="508">
                  <c:v>678.53524446899166</c:v>
                </c:pt>
                <c:pt idx="509">
                  <c:v>678.53524446899166</c:v>
                </c:pt>
                <c:pt idx="510">
                  <c:v>678.53524446899166</c:v>
                </c:pt>
                <c:pt idx="511">
                  <c:v>678.53524446899166</c:v>
                </c:pt>
                <c:pt idx="512">
                  <c:v>678.53524446899166</c:v>
                </c:pt>
                <c:pt idx="513">
                  <c:v>678.53524446899166</c:v>
                </c:pt>
                <c:pt idx="514">
                  <c:v>678.53524446899166</c:v>
                </c:pt>
                <c:pt idx="515">
                  <c:v>678.53524446899166</c:v>
                </c:pt>
                <c:pt idx="516">
                  <c:v>678.53524446899166</c:v>
                </c:pt>
                <c:pt idx="517">
                  <c:v>678.53524446899166</c:v>
                </c:pt>
                <c:pt idx="518">
                  <c:v>678.53524446899166</c:v>
                </c:pt>
                <c:pt idx="519">
                  <c:v>678.53524446899166</c:v>
                </c:pt>
                <c:pt idx="520">
                  <c:v>678.53524446899166</c:v>
                </c:pt>
                <c:pt idx="521">
                  <c:v>678.53524446899166</c:v>
                </c:pt>
                <c:pt idx="522">
                  <c:v>678.53524446899166</c:v>
                </c:pt>
                <c:pt idx="523">
                  <c:v>678.53524446899166</c:v>
                </c:pt>
                <c:pt idx="524">
                  <c:v>678.53524446899166</c:v>
                </c:pt>
                <c:pt idx="525">
                  <c:v>678.53524446899166</c:v>
                </c:pt>
                <c:pt idx="526">
                  <c:v>678.53524446899166</c:v>
                </c:pt>
                <c:pt idx="527">
                  <c:v>678.53524446899166</c:v>
                </c:pt>
                <c:pt idx="528">
                  <c:v>678.53524446899166</c:v>
                </c:pt>
                <c:pt idx="529">
                  <c:v>678.53524446899166</c:v>
                </c:pt>
                <c:pt idx="530">
                  <c:v>678.53524446899166</c:v>
                </c:pt>
                <c:pt idx="531">
                  <c:v>678.53524446899166</c:v>
                </c:pt>
                <c:pt idx="532">
                  <c:v>678.53524446899166</c:v>
                </c:pt>
                <c:pt idx="533">
                  <c:v>678.53524446899166</c:v>
                </c:pt>
                <c:pt idx="534">
                  <c:v>678.53524446899166</c:v>
                </c:pt>
                <c:pt idx="535">
                  <c:v>678.53524446899166</c:v>
                </c:pt>
                <c:pt idx="536">
                  <c:v>678.53524446899166</c:v>
                </c:pt>
                <c:pt idx="537">
                  <c:v>678.53524446899166</c:v>
                </c:pt>
                <c:pt idx="538">
                  <c:v>678.53524446899166</c:v>
                </c:pt>
                <c:pt idx="539">
                  <c:v>678.53524446899166</c:v>
                </c:pt>
                <c:pt idx="540">
                  <c:v>678.53524446899166</c:v>
                </c:pt>
                <c:pt idx="541">
                  <c:v>678.53524446899166</c:v>
                </c:pt>
                <c:pt idx="542">
                  <c:v>678.53524446899166</c:v>
                </c:pt>
                <c:pt idx="543">
                  <c:v>678.53524446899166</c:v>
                </c:pt>
                <c:pt idx="544">
                  <c:v>678.53524446899166</c:v>
                </c:pt>
                <c:pt idx="545">
                  <c:v>678.53524446899166</c:v>
                </c:pt>
                <c:pt idx="546">
                  <c:v>678.53524446899166</c:v>
                </c:pt>
                <c:pt idx="547">
                  <c:v>678.53524446899166</c:v>
                </c:pt>
                <c:pt idx="548">
                  <c:v>678.53524446899166</c:v>
                </c:pt>
                <c:pt idx="549">
                  <c:v>678.53524446899166</c:v>
                </c:pt>
                <c:pt idx="550">
                  <c:v>678.53524446899166</c:v>
                </c:pt>
                <c:pt idx="551">
                  <c:v>678.53524446899166</c:v>
                </c:pt>
                <c:pt idx="552">
                  <c:v>678.53524446899166</c:v>
                </c:pt>
                <c:pt idx="553">
                  <c:v>678.53524446899166</c:v>
                </c:pt>
                <c:pt idx="554">
                  <c:v>678.53524446899166</c:v>
                </c:pt>
                <c:pt idx="555">
                  <c:v>678.53524446899166</c:v>
                </c:pt>
                <c:pt idx="556">
                  <c:v>678.53524446899166</c:v>
                </c:pt>
                <c:pt idx="557">
                  <c:v>678.53524446899166</c:v>
                </c:pt>
                <c:pt idx="558">
                  <c:v>678.53524446899166</c:v>
                </c:pt>
                <c:pt idx="559">
                  <c:v>678.53524446899166</c:v>
                </c:pt>
                <c:pt idx="560">
                  <c:v>678.53524446899166</c:v>
                </c:pt>
                <c:pt idx="561">
                  <c:v>678.53524446899166</c:v>
                </c:pt>
                <c:pt idx="562">
                  <c:v>678.53524446899166</c:v>
                </c:pt>
                <c:pt idx="563">
                  <c:v>678.53524446899166</c:v>
                </c:pt>
                <c:pt idx="564">
                  <c:v>678.53524446899166</c:v>
                </c:pt>
                <c:pt idx="565">
                  <c:v>678.53524446899166</c:v>
                </c:pt>
                <c:pt idx="566">
                  <c:v>678.53524446899166</c:v>
                </c:pt>
                <c:pt idx="567">
                  <c:v>678.53524446899166</c:v>
                </c:pt>
                <c:pt idx="568">
                  <c:v>678.53524446899166</c:v>
                </c:pt>
                <c:pt idx="569">
                  <c:v>678.53524446899166</c:v>
                </c:pt>
                <c:pt idx="570">
                  <c:v>678.53524446899166</c:v>
                </c:pt>
                <c:pt idx="571">
                  <c:v>678.53524446899166</c:v>
                </c:pt>
                <c:pt idx="572">
                  <c:v>678.53524446899166</c:v>
                </c:pt>
                <c:pt idx="573">
                  <c:v>678.53524446899166</c:v>
                </c:pt>
                <c:pt idx="574">
                  <c:v>678.53524446899166</c:v>
                </c:pt>
                <c:pt idx="575">
                  <c:v>678.53524446899166</c:v>
                </c:pt>
                <c:pt idx="576">
                  <c:v>678.53524446899166</c:v>
                </c:pt>
                <c:pt idx="577">
                  <c:v>678.53524446899166</c:v>
                </c:pt>
                <c:pt idx="578">
                  <c:v>678.53524446899166</c:v>
                </c:pt>
                <c:pt idx="579">
                  <c:v>678.53524446899166</c:v>
                </c:pt>
                <c:pt idx="580">
                  <c:v>678.53524446899166</c:v>
                </c:pt>
                <c:pt idx="581">
                  <c:v>678.53524446899166</c:v>
                </c:pt>
                <c:pt idx="582">
                  <c:v>678.53524446899166</c:v>
                </c:pt>
                <c:pt idx="583">
                  <c:v>678.53524446899166</c:v>
                </c:pt>
                <c:pt idx="584">
                  <c:v>678.53524446899166</c:v>
                </c:pt>
                <c:pt idx="585">
                  <c:v>678.53524446899166</c:v>
                </c:pt>
                <c:pt idx="586">
                  <c:v>678.53524446899166</c:v>
                </c:pt>
                <c:pt idx="587">
                  <c:v>678.53524446899166</c:v>
                </c:pt>
                <c:pt idx="588">
                  <c:v>678.53524446899166</c:v>
                </c:pt>
                <c:pt idx="589">
                  <c:v>678.53524446899166</c:v>
                </c:pt>
                <c:pt idx="590">
                  <c:v>678.53524446899166</c:v>
                </c:pt>
                <c:pt idx="591">
                  <c:v>678.53524446899166</c:v>
                </c:pt>
                <c:pt idx="592">
                  <c:v>678.53524446899166</c:v>
                </c:pt>
                <c:pt idx="593">
                  <c:v>678.53524446899166</c:v>
                </c:pt>
                <c:pt idx="594">
                  <c:v>678.53524446899166</c:v>
                </c:pt>
                <c:pt idx="595">
                  <c:v>678.53524446899166</c:v>
                </c:pt>
                <c:pt idx="596">
                  <c:v>678.53524446899166</c:v>
                </c:pt>
                <c:pt idx="597">
                  <c:v>678.53524446899166</c:v>
                </c:pt>
                <c:pt idx="598">
                  <c:v>678.53524446899166</c:v>
                </c:pt>
                <c:pt idx="599">
                  <c:v>678.53524446899166</c:v>
                </c:pt>
                <c:pt idx="600">
                  <c:v>678.53524446899166</c:v>
                </c:pt>
                <c:pt idx="601">
                  <c:v>678.53524446899166</c:v>
                </c:pt>
                <c:pt idx="602">
                  <c:v>678.53524446899166</c:v>
                </c:pt>
                <c:pt idx="603">
                  <c:v>678.53524446899166</c:v>
                </c:pt>
                <c:pt idx="604">
                  <c:v>678.53524446899166</c:v>
                </c:pt>
                <c:pt idx="605">
                  <c:v>678.53524446899166</c:v>
                </c:pt>
                <c:pt idx="606">
                  <c:v>678.53524446899166</c:v>
                </c:pt>
                <c:pt idx="607">
                  <c:v>678.53524446899166</c:v>
                </c:pt>
                <c:pt idx="608">
                  <c:v>678.53524446899166</c:v>
                </c:pt>
                <c:pt idx="609">
                  <c:v>678.53524446899166</c:v>
                </c:pt>
                <c:pt idx="610">
                  <c:v>678.53524446899166</c:v>
                </c:pt>
                <c:pt idx="611">
                  <c:v>678.53524446899166</c:v>
                </c:pt>
                <c:pt idx="612">
                  <c:v>678.53524446899166</c:v>
                </c:pt>
                <c:pt idx="613">
                  <c:v>678.53524446899166</c:v>
                </c:pt>
                <c:pt idx="614">
                  <c:v>678.53524446899166</c:v>
                </c:pt>
                <c:pt idx="615">
                  <c:v>678.53524446899166</c:v>
                </c:pt>
                <c:pt idx="616">
                  <c:v>678.53524446899166</c:v>
                </c:pt>
                <c:pt idx="617">
                  <c:v>678.53524446899166</c:v>
                </c:pt>
                <c:pt idx="618">
                  <c:v>678.53524446899166</c:v>
                </c:pt>
                <c:pt idx="619">
                  <c:v>678.53524446899166</c:v>
                </c:pt>
                <c:pt idx="620">
                  <c:v>678.53524446899166</c:v>
                </c:pt>
                <c:pt idx="621">
                  <c:v>678.53524446899166</c:v>
                </c:pt>
                <c:pt idx="622">
                  <c:v>678.53524446899166</c:v>
                </c:pt>
                <c:pt idx="623">
                  <c:v>678.53524446899166</c:v>
                </c:pt>
                <c:pt idx="624">
                  <c:v>678.53524446899166</c:v>
                </c:pt>
                <c:pt idx="625">
                  <c:v>678.53524446899166</c:v>
                </c:pt>
                <c:pt idx="626">
                  <c:v>678.53524446899166</c:v>
                </c:pt>
                <c:pt idx="627">
                  <c:v>678.53524446899166</c:v>
                </c:pt>
                <c:pt idx="628">
                  <c:v>678.53524446899166</c:v>
                </c:pt>
                <c:pt idx="629">
                  <c:v>678.53524446899166</c:v>
                </c:pt>
                <c:pt idx="630">
                  <c:v>678.53524446899166</c:v>
                </c:pt>
                <c:pt idx="631">
                  <c:v>678.53524446899166</c:v>
                </c:pt>
                <c:pt idx="632">
                  <c:v>678.53524446899166</c:v>
                </c:pt>
                <c:pt idx="633">
                  <c:v>678.53524446899166</c:v>
                </c:pt>
                <c:pt idx="634">
                  <c:v>678.53524446899166</c:v>
                </c:pt>
                <c:pt idx="635">
                  <c:v>678.53524446899166</c:v>
                </c:pt>
                <c:pt idx="636">
                  <c:v>678.53524446899166</c:v>
                </c:pt>
                <c:pt idx="637">
                  <c:v>678.53524446899166</c:v>
                </c:pt>
                <c:pt idx="638">
                  <c:v>678.53524446899166</c:v>
                </c:pt>
                <c:pt idx="639">
                  <c:v>678.53524446899166</c:v>
                </c:pt>
                <c:pt idx="640">
                  <c:v>678.53524446899166</c:v>
                </c:pt>
                <c:pt idx="641">
                  <c:v>678.53524446899166</c:v>
                </c:pt>
                <c:pt idx="642">
                  <c:v>678.53524446899166</c:v>
                </c:pt>
                <c:pt idx="643">
                  <c:v>678.53524446899166</c:v>
                </c:pt>
                <c:pt idx="644">
                  <c:v>678.53524446899166</c:v>
                </c:pt>
                <c:pt idx="645">
                  <c:v>678.53524446899166</c:v>
                </c:pt>
                <c:pt idx="646">
                  <c:v>678.53524446899166</c:v>
                </c:pt>
                <c:pt idx="647">
                  <c:v>678.53524446899166</c:v>
                </c:pt>
                <c:pt idx="648">
                  <c:v>678.53524446899166</c:v>
                </c:pt>
                <c:pt idx="649">
                  <c:v>678.53524446899166</c:v>
                </c:pt>
                <c:pt idx="650">
                  <c:v>678.53524446899166</c:v>
                </c:pt>
                <c:pt idx="651">
                  <c:v>678.53524446899166</c:v>
                </c:pt>
                <c:pt idx="652">
                  <c:v>678.53524446899166</c:v>
                </c:pt>
                <c:pt idx="653">
                  <c:v>678.53524446899166</c:v>
                </c:pt>
                <c:pt idx="654">
                  <c:v>678.53524446899166</c:v>
                </c:pt>
                <c:pt idx="655">
                  <c:v>678.53524446899166</c:v>
                </c:pt>
                <c:pt idx="656">
                  <c:v>678.53524446899166</c:v>
                </c:pt>
                <c:pt idx="657">
                  <c:v>678.53524446899166</c:v>
                </c:pt>
                <c:pt idx="658">
                  <c:v>678.53524446899166</c:v>
                </c:pt>
                <c:pt idx="659">
                  <c:v>678.53524446899166</c:v>
                </c:pt>
                <c:pt idx="660">
                  <c:v>678.53524446899166</c:v>
                </c:pt>
                <c:pt idx="661">
                  <c:v>678.53524446899166</c:v>
                </c:pt>
                <c:pt idx="662">
                  <c:v>678.53524446899166</c:v>
                </c:pt>
                <c:pt idx="663">
                  <c:v>678.53524446899166</c:v>
                </c:pt>
                <c:pt idx="664">
                  <c:v>678.53524446899166</c:v>
                </c:pt>
                <c:pt idx="665">
                  <c:v>678.53524446899166</c:v>
                </c:pt>
                <c:pt idx="666">
                  <c:v>678.53524446899166</c:v>
                </c:pt>
                <c:pt idx="667">
                  <c:v>678.53524446899166</c:v>
                </c:pt>
                <c:pt idx="668">
                  <c:v>678.53524446899166</c:v>
                </c:pt>
                <c:pt idx="669">
                  <c:v>678.53524446899166</c:v>
                </c:pt>
                <c:pt idx="670">
                  <c:v>678.53524446899166</c:v>
                </c:pt>
                <c:pt idx="671">
                  <c:v>678.53524446899166</c:v>
                </c:pt>
                <c:pt idx="672">
                  <c:v>678.53524446899166</c:v>
                </c:pt>
                <c:pt idx="673">
                  <c:v>678.53524446899166</c:v>
                </c:pt>
                <c:pt idx="674">
                  <c:v>678.53524446899166</c:v>
                </c:pt>
                <c:pt idx="675">
                  <c:v>678.53524446899166</c:v>
                </c:pt>
                <c:pt idx="676">
                  <c:v>678.53524446899166</c:v>
                </c:pt>
                <c:pt idx="677">
                  <c:v>678.53524446899166</c:v>
                </c:pt>
                <c:pt idx="678">
                  <c:v>678.53524446899166</c:v>
                </c:pt>
                <c:pt idx="679">
                  <c:v>678.53524446899166</c:v>
                </c:pt>
                <c:pt idx="680">
                  <c:v>678.53524446899166</c:v>
                </c:pt>
                <c:pt idx="681">
                  <c:v>678.53524446899166</c:v>
                </c:pt>
                <c:pt idx="682">
                  <c:v>678.53524446899166</c:v>
                </c:pt>
                <c:pt idx="683">
                  <c:v>678.53524446899166</c:v>
                </c:pt>
                <c:pt idx="684">
                  <c:v>678.53524446899166</c:v>
                </c:pt>
                <c:pt idx="685">
                  <c:v>678.53524446899166</c:v>
                </c:pt>
                <c:pt idx="686">
                  <c:v>678.53524446899166</c:v>
                </c:pt>
                <c:pt idx="687">
                  <c:v>678.53524446899166</c:v>
                </c:pt>
                <c:pt idx="688">
                  <c:v>678.53524446899166</c:v>
                </c:pt>
                <c:pt idx="689">
                  <c:v>678.53524446899166</c:v>
                </c:pt>
                <c:pt idx="690">
                  <c:v>678.53524446899166</c:v>
                </c:pt>
                <c:pt idx="691">
                  <c:v>678.53524446899166</c:v>
                </c:pt>
                <c:pt idx="692">
                  <c:v>678.53524446899166</c:v>
                </c:pt>
                <c:pt idx="693">
                  <c:v>678.53524446899166</c:v>
                </c:pt>
                <c:pt idx="694">
                  <c:v>678.53524446899166</c:v>
                </c:pt>
                <c:pt idx="695">
                  <c:v>678.53524446899166</c:v>
                </c:pt>
                <c:pt idx="696">
                  <c:v>678.53524446899166</c:v>
                </c:pt>
                <c:pt idx="697">
                  <c:v>678.53524446899166</c:v>
                </c:pt>
                <c:pt idx="698">
                  <c:v>678.53524446899166</c:v>
                </c:pt>
                <c:pt idx="699">
                  <c:v>678.53524446899166</c:v>
                </c:pt>
                <c:pt idx="700">
                  <c:v>678.53524446899166</c:v>
                </c:pt>
                <c:pt idx="701">
                  <c:v>678.53524446899166</c:v>
                </c:pt>
                <c:pt idx="702">
                  <c:v>678.53524446899166</c:v>
                </c:pt>
                <c:pt idx="703">
                  <c:v>678.53524446899166</c:v>
                </c:pt>
                <c:pt idx="704">
                  <c:v>678.53524446899166</c:v>
                </c:pt>
                <c:pt idx="705">
                  <c:v>678.53524446899166</c:v>
                </c:pt>
                <c:pt idx="706">
                  <c:v>678.53524446899166</c:v>
                </c:pt>
                <c:pt idx="707">
                  <c:v>678.53524446899166</c:v>
                </c:pt>
                <c:pt idx="708">
                  <c:v>678.53524446899166</c:v>
                </c:pt>
                <c:pt idx="709">
                  <c:v>678.53524446899166</c:v>
                </c:pt>
                <c:pt idx="710">
                  <c:v>678.53524446899166</c:v>
                </c:pt>
                <c:pt idx="711">
                  <c:v>678.53524446899166</c:v>
                </c:pt>
                <c:pt idx="712">
                  <c:v>678.53524446899166</c:v>
                </c:pt>
                <c:pt idx="713">
                  <c:v>678.53524446899166</c:v>
                </c:pt>
                <c:pt idx="714">
                  <c:v>678.53524446899166</c:v>
                </c:pt>
                <c:pt idx="715">
                  <c:v>678.53524446899166</c:v>
                </c:pt>
                <c:pt idx="716">
                  <c:v>678.53524446899166</c:v>
                </c:pt>
                <c:pt idx="717">
                  <c:v>678.53524446899166</c:v>
                </c:pt>
                <c:pt idx="718">
                  <c:v>678.53524446899166</c:v>
                </c:pt>
                <c:pt idx="719">
                  <c:v>678.53524446899166</c:v>
                </c:pt>
                <c:pt idx="720">
                  <c:v>678.53524446899166</c:v>
                </c:pt>
                <c:pt idx="721">
                  <c:v>678.53524446899166</c:v>
                </c:pt>
                <c:pt idx="722">
                  <c:v>678.53524446899166</c:v>
                </c:pt>
                <c:pt idx="723">
                  <c:v>678.53524446899166</c:v>
                </c:pt>
                <c:pt idx="724">
                  <c:v>678.53524446899166</c:v>
                </c:pt>
                <c:pt idx="725">
                  <c:v>678.53524446899166</c:v>
                </c:pt>
                <c:pt idx="726">
                  <c:v>678.53524446899166</c:v>
                </c:pt>
                <c:pt idx="727">
                  <c:v>678.53524446899166</c:v>
                </c:pt>
                <c:pt idx="728">
                  <c:v>678.53524446899166</c:v>
                </c:pt>
                <c:pt idx="729">
                  <c:v>678.53524446899166</c:v>
                </c:pt>
                <c:pt idx="730">
                  <c:v>678.53524446899166</c:v>
                </c:pt>
                <c:pt idx="731">
                  <c:v>678.53524446899166</c:v>
                </c:pt>
                <c:pt idx="732">
                  <c:v>678.53524446899166</c:v>
                </c:pt>
                <c:pt idx="733">
                  <c:v>678.53524446899166</c:v>
                </c:pt>
                <c:pt idx="734">
                  <c:v>678.53524446899166</c:v>
                </c:pt>
                <c:pt idx="735">
                  <c:v>678.53524446899166</c:v>
                </c:pt>
                <c:pt idx="736">
                  <c:v>678.53524446899166</c:v>
                </c:pt>
                <c:pt idx="737">
                  <c:v>678.53524446899166</c:v>
                </c:pt>
                <c:pt idx="738">
                  <c:v>678.53524446899166</c:v>
                </c:pt>
                <c:pt idx="739">
                  <c:v>678.53524446899166</c:v>
                </c:pt>
                <c:pt idx="740">
                  <c:v>678.53524446899166</c:v>
                </c:pt>
                <c:pt idx="741">
                  <c:v>678.53524446899166</c:v>
                </c:pt>
                <c:pt idx="742">
                  <c:v>678.53524446899166</c:v>
                </c:pt>
                <c:pt idx="743">
                  <c:v>678.53524446899166</c:v>
                </c:pt>
                <c:pt idx="744">
                  <c:v>678.53524446899166</c:v>
                </c:pt>
                <c:pt idx="745">
                  <c:v>678.53524446899166</c:v>
                </c:pt>
                <c:pt idx="746">
                  <c:v>678.53524446899166</c:v>
                </c:pt>
                <c:pt idx="747">
                  <c:v>678.53524446899166</c:v>
                </c:pt>
                <c:pt idx="748">
                  <c:v>678.53524446899166</c:v>
                </c:pt>
                <c:pt idx="749">
                  <c:v>678.53524446899166</c:v>
                </c:pt>
                <c:pt idx="750">
                  <c:v>678.53524446899166</c:v>
                </c:pt>
                <c:pt idx="751">
                  <c:v>678.53524446899166</c:v>
                </c:pt>
                <c:pt idx="752">
                  <c:v>678.53524446899166</c:v>
                </c:pt>
                <c:pt idx="753">
                  <c:v>678.53524446899166</c:v>
                </c:pt>
                <c:pt idx="754">
                  <c:v>678.53524446899166</c:v>
                </c:pt>
                <c:pt idx="755">
                  <c:v>678.53524446899166</c:v>
                </c:pt>
                <c:pt idx="756">
                  <c:v>678.53524446899166</c:v>
                </c:pt>
                <c:pt idx="757">
                  <c:v>678.53524446899166</c:v>
                </c:pt>
                <c:pt idx="758">
                  <c:v>678.53524446899166</c:v>
                </c:pt>
                <c:pt idx="759">
                  <c:v>678.53524446899166</c:v>
                </c:pt>
                <c:pt idx="760">
                  <c:v>678.53524446899166</c:v>
                </c:pt>
                <c:pt idx="761">
                  <c:v>678.53524446899166</c:v>
                </c:pt>
                <c:pt idx="762">
                  <c:v>678.53524446899166</c:v>
                </c:pt>
                <c:pt idx="763">
                  <c:v>678.53524446899166</c:v>
                </c:pt>
                <c:pt idx="764">
                  <c:v>678.53524446899166</c:v>
                </c:pt>
                <c:pt idx="765">
                  <c:v>678.53524446899166</c:v>
                </c:pt>
                <c:pt idx="766">
                  <c:v>678.53524446899166</c:v>
                </c:pt>
                <c:pt idx="767">
                  <c:v>678.53524446899166</c:v>
                </c:pt>
                <c:pt idx="768">
                  <c:v>678.53524446899166</c:v>
                </c:pt>
                <c:pt idx="769">
                  <c:v>678.53524446899166</c:v>
                </c:pt>
                <c:pt idx="770">
                  <c:v>678.53524446899166</c:v>
                </c:pt>
                <c:pt idx="771">
                  <c:v>678.53524446899166</c:v>
                </c:pt>
                <c:pt idx="772">
                  <c:v>678.53524446899166</c:v>
                </c:pt>
                <c:pt idx="773">
                  <c:v>678.53524446899166</c:v>
                </c:pt>
                <c:pt idx="774">
                  <c:v>678.53524446899166</c:v>
                </c:pt>
                <c:pt idx="775">
                  <c:v>678.53524446899166</c:v>
                </c:pt>
                <c:pt idx="776">
                  <c:v>678.53524446899166</c:v>
                </c:pt>
                <c:pt idx="777">
                  <c:v>678.53524446899166</c:v>
                </c:pt>
                <c:pt idx="778">
                  <c:v>678.53524446899166</c:v>
                </c:pt>
                <c:pt idx="779">
                  <c:v>678.53524446899166</c:v>
                </c:pt>
                <c:pt idx="780">
                  <c:v>678.53524446899166</c:v>
                </c:pt>
                <c:pt idx="781">
                  <c:v>678.53524446899166</c:v>
                </c:pt>
                <c:pt idx="782">
                  <c:v>678.53524446899166</c:v>
                </c:pt>
                <c:pt idx="783">
                  <c:v>678.53524446899166</c:v>
                </c:pt>
                <c:pt idx="784">
                  <c:v>678.53524446899166</c:v>
                </c:pt>
                <c:pt idx="785">
                  <c:v>678.53524446899166</c:v>
                </c:pt>
                <c:pt idx="786">
                  <c:v>678.53524446899166</c:v>
                </c:pt>
                <c:pt idx="787">
                  <c:v>678.53524446899166</c:v>
                </c:pt>
                <c:pt idx="788">
                  <c:v>678.53524446899166</c:v>
                </c:pt>
                <c:pt idx="789">
                  <c:v>678.53524446899166</c:v>
                </c:pt>
                <c:pt idx="790">
                  <c:v>678.53524446899166</c:v>
                </c:pt>
                <c:pt idx="791">
                  <c:v>678.53524446899166</c:v>
                </c:pt>
                <c:pt idx="792">
                  <c:v>678.53524446899166</c:v>
                </c:pt>
                <c:pt idx="793">
                  <c:v>678.53524446899166</c:v>
                </c:pt>
                <c:pt idx="794">
                  <c:v>678.53524446899166</c:v>
                </c:pt>
                <c:pt idx="795">
                  <c:v>678.53524446899166</c:v>
                </c:pt>
                <c:pt idx="796">
                  <c:v>678.53524446899166</c:v>
                </c:pt>
                <c:pt idx="797">
                  <c:v>678.53524446899166</c:v>
                </c:pt>
                <c:pt idx="798">
                  <c:v>678.53524446899166</c:v>
                </c:pt>
                <c:pt idx="799">
                  <c:v>678.53524446899166</c:v>
                </c:pt>
                <c:pt idx="800">
                  <c:v>678.53524446899166</c:v>
                </c:pt>
                <c:pt idx="801">
                  <c:v>678.53524446899166</c:v>
                </c:pt>
                <c:pt idx="802">
                  <c:v>678.53524446899166</c:v>
                </c:pt>
                <c:pt idx="803">
                  <c:v>678.53524446899166</c:v>
                </c:pt>
                <c:pt idx="804">
                  <c:v>678.53524446899166</c:v>
                </c:pt>
                <c:pt idx="805">
                  <c:v>678.53524446899166</c:v>
                </c:pt>
                <c:pt idx="806">
                  <c:v>678.53524446899166</c:v>
                </c:pt>
                <c:pt idx="807">
                  <c:v>678.53524446899166</c:v>
                </c:pt>
                <c:pt idx="808">
                  <c:v>678.53524446899166</c:v>
                </c:pt>
                <c:pt idx="809">
                  <c:v>678.53524446899166</c:v>
                </c:pt>
                <c:pt idx="810">
                  <c:v>678.53524446899166</c:v>
                </c:pt>
                <c:pt idx="811">
                  <c:v>678.53524446899166</c:v>
                </c:pt>
                <c:pt idx="812">
                  <c:v>678.53524446899166</c:v>
                </c:pt>
                <c:pt idx="813">
                  <c:v>678.53524446899166</c:v>
                </c:pt>
                <c:pt idx="814">
                  <c:v>678.53524446899166</c:v>
                </c:pt>
                <c:pt idx="815">
                  <c:v>678.53524446899166</c:v>
                </c:pt>
                <c:pt idx="816">
                  <c:v>678.53524446899166</c:v>
                </c:pt>
                <c:pt idx="817">
                  <c:v>678.53524446899166</c:v>
                </c:pt>
                <c:pt idx="818">
                  <c:v>678.53524446899166</c:v>
                </c:pt>
                <c:pt idx="819">
                  <c:v>678.53524446899166</c:v>
                </c:pt>
                <c:pt idx="820">
                  <c:v>678.53524446899166</c:v>
                </c:pt>
                <c:pt idx="821">
                  <c:v>678.53524446899166</c:v>
                </c:pt>
                <c:pt idx="822">
                  <c:v>678.53524446899166</c:v>
                </c:pt>
                <c:pt idx="823">
                  <c:v>678.53524446899166</c:v>
                </c:pt>
                <c:pt idx="824">
                  <c:v>678.53524446899166</c:v>
                </c:pt>
                <c:pt idx="825">
                  <c:v>678.53524446899166</c:v>
                </c:pt>
                <c:pt idx="826">
                  <c:v>678.53524446899166</c:v>
                </c:pt>
                <c:pt idx="827">
                  <c:v>678.53524446899166</c:v>
                </c:pt>
                <c:pt idx="828">
                  <c:v>678.53524446899166</c:v>
                </c:pt>
                <c:pt idx="829">
                  <c:v>678.53524446899166</c:v>
                </c:pt>
                <c:pt idx="830">
                  <c:v>678.53524446899166</c:v>
                </c:pt>
                <c:pt idx="831">
                  <c:v>678.53524446899166</c:v>
                </c:pt>
                <c:pt idx="832">
                  <c:v>678.53524446899166</c:v>
                </c:pt>
                <c:pt idx="833">
                  <c:v>678.53524446899166</c:v>
                </c:pt>
                <c:pt idx="834">
                  <c:v>678.53524446899166</c:v>
                </c:pt>
                <c:pt idx="835">
                  <c:v>678.53524446899166</c:v>
                </c:pt>
                <c:pt idx="836">
                  <c:v>678.53524446899166</c:v>
                </c:pt>
                <c:pt idx="837">
                  <c:v>678.53524446899166</c:v>
                </c:pt>
                <c:pt idx="838">
                  <c:v>678.53524446899166</c:v>
                </c:pt>
                <c:pt idx="839">
                  <c:v>678.53524446899166</c:v>
                </c:pt>
                <c:pt idx="840">
                  <c:v>678.53524446899166</c:v>
                </c:pt>
                <c:pt idx="841">
                  <c:v>678.53524446899166</c:v>
                </c:pt>
                <c:pt idx="842">
                  <c:v>678.53524446899166</c:v>
                </c:pt>
                <c:pt idx="843">
                  <c:v>678.53524446899166</c:v>
                </c:pt>
                <c:pt idx="844">
                  <c:v>678.53524446899166</c:v>
                </c:pt>
                <c:pt idx="845">
                  <c:v>678.53524446899166</c:v>
                </c:pt>
                <c:pt idx="846">
                  <c:v>678.53524446899166</c:v>
                </c:pt>
                <c:pt idx="847">
                  <c:v>678.53524446899166</c:v>
                </c:pt>
                <c:pt idx="848">
                  <c:v>678.53524446899166</c:v>
                </c:pt>
                <c:pt idx="849">
                  <c:v>678.53524446899166</c:v>
                </c:pt>
                <c:pt idx="850">
                  <c:v>678.53524446899166</c:v>
                </c:pt>
                <c:pt idx="851">
                  <c:v>678.53524446899166</c:v>
                </c:pt>
                <c:pt idx="852">
                  <c:v>678.53524446899166</c:v>
                </c:pt>
                <c:pt idx="853">
                  <c:v>678.53524446899166</c:v>
                </c:pt>
                <c:pt idx="854">
                  <c:v>678.53524446899166</c:v>
                </c:pt>
                <c:pt idx="855">
                  <c:v>678.53524446899166</c:v>
                </c:pt>
                <c:pt idx="856">
                  <c:v>678.53524446899166</c:v>
                </c:pt>
                <c:pt idx="857">
                  <c:v>678.53524446899166</c:v>
                </c:pt>
                <c:pt idx="858">
                  <c:v>678.53524446899166</c:v>
                </c:pt>
                <c:pt idx="859">
                  <c:v>678.53524446899166</c:v>
                </c:pt>
                <c:pt idx="860">
                  <c:v>678.53524446899166</c:v>
                </c:pt>
                <c:pt idx="861">
                  <c:v>678.53524446899166</c:v>
                </c:pt>
                <c:pt idx="862">
                  <c:v>678.53524446899166</c:v>
                </c:pt>
                <c:pt idx="863">
                  <c:v>678.53524446899166</c:v>
                </c:pt>
                <c:pt idx="864">
                  <c:v>678.53524446899166</c:v>
                </c:pt>
                <c:pt idx="865">
                  <c:v>678.53524446899166</c:v>
                </c:pt>
                <c:pt idx="866">
                  <c:v>678.53524446899166</c:v>
                </c:pt>
                <c:pt idx="867">
                  <c:v>678.53524446899166</c:v>
                </c:pt>
                <c:pt idx="868">
                  <c:v>678.53524446899166</c:v>
                </c:pt>
                <c:pt idx="869">
                  <c:v>678.53524446899166</c:v>
                </c:pt>
                <c:pt idx="870">
                  <c:v>678.53524446899166</c:v>
                </c:pt>
                <c:pt idx="871">
                  <c:v>678.53524446899166</c:v>
                </c:pt>
                <c:pt idx="872">
                  <c:v>678.53524446899166</c:v>
                </c:pt>
                <c:pt idx="873">
                  <c:v>678.53524446899166</c:v>
                </c:pt>
                <c:pt idx="874">
                  <c:v>678.53524446899166</c:v>
                </c:pt>
                <c:pt idx="875">
                  <c:v>678.53524446899166</c:v>
                </c:pt>
                <c:pt idx="876">
                  <c:v>678.53524446899166</c:v>
                </c:pt>
                <c:pt idx="877">
                  <c:v>678.53524446899166</c:v>
                </c:pt>
                <c:pt idx="878">
                  <c:v>678.53524446899166</c:v>
                </c:pt>
                <c:pt idx="879">
                  <c:v>678.53524446899166</c:v>
                </c:pt>
                <c:pt idx="880">
                  <c:v>678.53524446899166</c:v>
                </c:pt>
                <c:pt idx="881">
                  <c:v>678.53524446899166</c:v>
                </c:pt>
                <c:pt idx="882">
                  <c:v>678.53524446899166</c:v>
                </c:pt>
                <c:pt idx="883">
                  <c:v>678.53524446899166</c:v>
                </c:pt>
                <c:pt idx="884">
                  <c:v>678.53524446899166</c:v>
                </c:pt>
                <c:pt idx="885">
                  <c:v>678.53524446899166</c:v>
                </c:pt>
                <c:pt idx="886">
                  <c:v>678.53524446899166</c:v>
                </c:pt>
                <c:pt idx="887">
                  <c:v>678.53524446899166</c:v>
                </c:pt>
                <c:pt idx="888">
                  <c:v>678.53524446899166</c:v>
                </c:pt>
                <c:pt idx="889">
                  <c:v>678.53524446899166</c:v>
                </c:pt>
                <c:pt idx="890">
                  <c:v>678.53524446899166</c:v>
                </c:pt>
                <c:pt idx="891">
                  <c:v>678.53524446899166</c:v>
                </c:pt>
                <c:pt idx="892">
                  <c:v>678.53524446899166</c:v>
                </c:pt>
                <c:pt idx="893">
                  <c:v>678.53524446899166</c:v>
                </c:pt>
                <c:pt idx="894">
                  <c:v>678.53524446899166</c:v>
                </c:pt>
                <c:pt idx="895">
                  <c:v>678.53524446899166</c:v>
                </c:pt>
                <c:pt idx="896">
                  <c:v>678.53524446899166</c:v>
                </c:pt>
                <c:pt idx="897">
                  <c:v>678.53524446899166</c:v>
                </c:pt>
                <c:pt idx="898">
                  <c:v>678.53524446899166</c:v>
                </c:pt>
                <c:pt idx="899">
                  <c:v>678.53524446899166</c:v>
                </c:pt>
                <c:pt idx="900">
                  <c:v>678.53524446899166</c:v>
                </c:pt>
                <c:pt idx="901">
                  <c:v>678.53524446899166</c:v>
                </c:pt>
                <c:pt idx="902">
                  <c:v>678.53524446899166</c:v>
                </c:pt>
                <c:pt idx="903">
                  <c:v>678.53524446899166</c:v>
                </c:pt>
                <c:pt idx="904">
                  <c:v>678.53524446899166</c:v>
                </c:pt>
                <c:pt idx="905">
                  <c:v>678.53524446899166</c:v>
                </c:pt>
                <c:pt idx="906">
                  <c:v>678.53524446899166</c:v>
                </c:pt>
                <c:pt idx="907">
                  <c:v>678.53524446899166</c:v>
                </c:pt>
                <c:pt idx="908">
                  <c:v>678.53524446899166</c:v>
                </c:pt>
                <c:pt idx="909">
                  <c:v>678.53524446899166</c:v>
                </c:pt>
                <c:pt idx="910">
                  <c:v>678.53524446899166</c:v>
                </c:pt>
                <c:pt idx="911">
                  <c:v>678.53524446899166</c:v>
                </c:pt>
                <c:pt idx="912">
                  <c:v>678.53524446899166</c:v>
                </c:pt>
                <c:pt idx="913">
                  <c:v>678.53524446899166</c:v>
                </c:pt>
                <c:pt idx="914">
                  <c:v>678.53524446899166</c:v>
                </c:pt>
                <c:pt idx="915">
                  <c:v>678.53524446899166</c:v>
                </c:pt>
                <c:pt idx="916">
                  <c:v>678.53524446899166</c:v>
                </c:pt>
                <c:pt idx="917">
                  <c:v>678.53524446899166</c:v>
                </c:pt>
                <c:pt idx="918">
                  <c:v>678.53524446899166</c:v>
                </c:pt>
                <c:pt idx="919">
                  <c:v>678.53524446899166</c:v>
                </c:pt>
                <c:pt idx="920">
                  <c:v>678.53524446899166</c:v>
                </c:pt>
                <c:pt idx="921">
                  <c:v>678.53524446899166</c:v>
                </c:pt>
                <c:pt idx="922">
                  <c:v>678.53524446899166</c:v>
                </c:pt>
                <c:pt idx="923">
                  <c:v>678.53524446899166</c:v>
                </c:pt>
                <c:pt idx="924">
                  <c:v>678.53524446899166</c:v>
                </c:pt>
                <c:pt idx="925">
                  <c:v>678.53524446899166</c:v>
                </c:pt>
                <c:pt idx="926">
                  <c:v>678.53524446899166</c:v>
                </c:pt>
                <c:pt idx="927">
                  <c:v>678.53524446899166</c:v>
                </c:pt>
                <c:pt idx="928">
                  <c:v>678.53524446899166</c:v>
                </c:pt>
                <c:pt idx="929">
                  <c:v>678.53524446899166</c:v>
                </c:pt>
                <c:pt idx="930">
                  <c:v>678.53524446899166</c:v>
                </c:pt>
                <c:pt idx="931">
                  <c:v>678.53524446899166</c:v>
                </c:pt>
                <c:pt idx="932">
                  <c:v>678.53524446899166</c:v>
                </c:pt>
                <c:pt idx="933">
                  <c:v>678.53524446899166</c:v>
                </c:pt>
                <c:pt idx="934">
                  <c:v>678.53524446899166</c:v>
                </c:pt>
                <c:pt idx="935">
                  <c:v>678.53524446899166</c:v>
                </c:pt>
                <c:pt idx="936">
                  <c:v>678.53524446899166</c:v>
                </c:pt>
                <c:pt idx="937">
                  <c:v>678.53524446899166</c:v>
                </c:pt>
                <c:pt idx="938">
                  <c:v>678.53524446899166</c:v>
                </c:pt>
                <c:pt idx="939">
                  <c:v>678.53524446899166</c:v>
                </c:pt>
                <c:pt idx="940">
                  <c:v>678.53524446899166</c:v>
                </c:pt>
                <c:pt idx="941">
                  <c:v>678.53524446899166</c:v>
                </c:pt>
                <c:pt idx="942">
                  <c:v>678.53524446899166</c:v>
                </c:pt>
                <c:pt idx="943">
                  <c:v>678.53524446899166</c:v>
                </c:pt>
                <c:pt idx="944">
                  <c:v>678.53524446899166</c:v>
                </c:pt>
                <c:pt idx="945">
                  <c:v>678.53524446899166</c:v>
                </c:pt>
                <c:pt idx="946">
                  <c:v>678.53524446899166</c:v>
                </c:pt>
                <c:pt idx="947">
                  <c:v>678.53524446899166</c:v>
                </c:pt>
                <c:pt idx="948">
                  <c:v>678.53524446899166</c:v>
                </c:pt>
                <c:pt idx="949">
                  <c:v>678.53524446899166</c:v>
                </c:pt>
                <c:pt idx="950">
                  <c:v>678.53524446899166</c:v>
                </c:pt>
                <c:pt idx="951">
                  <c:v>678.53524446899166</c:v>
                </c:pt>
                <c:pt idx="952">
                  <c:v>678.53524446899166</c:v>
                </c:pt>
                <c:pt idx="953">
                  <c:v>678.53524446899166</c:v>
                </c:pt>
                <c:pt idx="954">
                  <c:v>678.53524446899166</c:v>
                </c:pt>
                <c:pt idx="955">
                  <c:v>678.53524446899166</c:v>
                </c:pt>
                <c:pt idx="956">
                  <c:v>678.53524446899166</c:v>
                </c:pt>
                <c:pt idx="957">
                  <c:v>678.53524446899166</c:v>
                </c:pt>
                <c:pt idx="958">
                  <c:v>678.53524446899166</c:v>
                </c:pt>
                <c:pt idx="959">
                  <c:v>678.53524446899166</c:v>
                </c:pt>
                <c:pt idx="960">
                  <c:v>678.53524446899166</c:v>
                </c:pt>
                <c:pt idx="961">
                  <c:v>678.53524446899166</c:v>
                </c:pt>
                <c:pt idx="962">
                  <c:v>678.53524446899166</c:v>
                </c:pt>
                <c:pt idx="963">
                  <c:v>678.53524446899166</c:v>
                </c:pt>
                <c:pt idx="964">
                  <c:v>678.53524446899166</c:v>
                </c:pt>
                <c:pt idx="965">
                  <c:v>678.53524446899166</c:v>
                </c:pt>
                <c:pt idx="966">
                  <c:v>678.53524446899166</c:v>
                </c:pt>
                <c:pt idx="967">
                  <c:v>678.53524446899166</c:v>
                </c:pt>
                <c:pt idx="968">
                  <c:v>678.53524446899166</c:v>
                </c:pt>
                <c:pt idx="969">
                  <c:v>678.53524446899166</c:v>
                </c:pt>
                <c:pt idx="970">
                  <c:v>678.53524446899166</c:v>
                </c:pt>
                <c:pt idx="971">
                  <c:v>678.53524446899166</c:v>
                </c:pt>
                <c:pt idx="972">
                  <c:v>678.53524446899166</c:v>
                </c:pt>
                <c:pt idx="973">
                  <c:v>678.53524446899166</c:v>
                </c:pt>
                <c:pt idx="974">
                  <c:v>678.53524446899166</c:v>
                </c:pt>
                <c:pt idx="975">
                  <c:v>678.53524446899166</c:v>
                </c:pt>
                <c:pt idx="976">
                  <c:v>678.53524446899166</c:v>
                </c:pt>
                <c:pt idx="977">
                  <c:v>678.53524446899166</c:v>
                </c:pt>
                <c:pt idx="978">
                  <c:v>678.53524446899166</c:v>
                </c:pt>
                <c:pt idx="979">
                  <c:v>678.53524446899166</c:v>
                </c:pt>
                <c:pt idx="980">
                  <c:v>678.53524446899166</c:v>
                </c:pt>
                <c:pt idx="981">
                  <c:v>678.53524446899166</c:v>
                </c:pt>
                <c:pt idx="982">
                  <c:v>678.53524446899166</c:v>
                </c:pt>
                <c:pt idx="983">
                  <c:v>678.53524446899166</c:v>
                </c:pt>
                <c:pt idx="984">
                  <c:v>678.53524446899166</c:v>
                </c:pt>
                <c:pt idx="985">
                  <c:v>678.53524446899166</c:v>
                </c:pt>
                <c:pt idx="986">
                  <c:v>678.53524446899166</c:v>
                </c:pt>
                <c:pt idx="987">
                  <c:v>678.53524446899166</c:v>
                </c:pt>
                <c:pt idx="988">
                  <c:v>678.53524446899166</c:v>
                </c:pt>
                <c:pt idx="989">
                  <c:v>678.53524446899166</c:v>
                </c:pt>
                <c:pt idx="990">
                  <c:v>678.53524446899166</c:v>
                </c:pt>
                <c:pt idx="991">
                  <c:v>678.53524446899166</c:v>
                </c:pt>
                <c:pt idx="992">
                  <c:v>678.53524446899166</c:v>
                </c:pt>
                <c:pt idx="993">
                  <c:v>678.53524446899166</c:v>
                </c:pt>
                <c:pt idx="994">
                  <c:v>678.53524446899166</c:v>
                </c:pt>
                <c:pt idx="995">
                  <c:v>678.53524446899166</c:v>
                </c:pt>
                <c:pt idx="996">
                  <c:v>678.53524446899166</c:v>
                </c:pt>
                <c:pt idx="997">
                  <c:v>678.53524446899166</c:v>
                </c:pt>
                <c:pt idx="998">
                  <c:v>678.53524446899166</c:v>
                </c:pt>
                <c:pt idx="999">
                  <c:v>678.53524446899166</c:v>
                </c:pt>
                <c:pt idx="1000">
                  <c:v>678.53524446899166</c:v>
                </c:pt>
              </c:numCache>
            </c:numRef>
          </c:yVal>
          <c:smooth val="0"/>
          <c:extLst>
            <c:ext xmlns:c16="http://schemas.microsoft.com/office/drawing/2014/chart" uri="{C3380CC4-5D6E-409C-BE32-E72D297353CC}">
              <c16:uniqueId val="{00000000-B5CC-4BD6-9E0D-EA30945FB569}"/>
            </c:ext>
          </c:extLst>
        </c:ser>
        <c:ser>
          <c:idx val="1"/>
          <c:order val="1"/>
          <c:tx>
            <c:strRef>
              <c:f>Courbes!$B$143</c:f>
              <c:strCache>
                <c:ptCount val="1"/>
                <c:pt idx="0">
                  <c:v>Altitude</c:v>
                </c:pt>
              </c:strCache>
            </c:strRef>
          </c:tx>
          <c:spPr>
            <a:ln w="12700">
              <a:solidFill>
                <a:srgbClr val="000080"/>
              </a:solidFill>
              <a:prstDash val="solid"/>
            </a:ln>
          </c:spPr>
          <c:marker>
            <c:symbol val="none"/>
          </c:marker>
          <c:xVal>
            <c:numRef>
              <c:f>Calculs!$B$4:$B$1004</c:f>
              <c:numCache>
                <c:formatCode>0.00</c:formatCode>
                <c:ptCount val="1001"/>
                <c:pt idx="0">
                  <c:v>0</c:v>
                </c:pt>
                <c:pt idx="1">
                  <c:v>0.01</c:v>
                </c:pt>
                <c:pt idx="2">
                  <c:v>0.02</c:v>
                </c:pt>
                <c:pt idx="3">
                  <c:v>0.03</c:v>
                </c:pt>
                <c:pt idx="4">
                  <c:v>0.04</c:v>
                </c:pt>
                <c:pt idx="5">
                  <c:v>0.05</c:v>
                </c:pt>
                <c:pt idx="6">
                  <c:v>6.0000000000000005E-2</c:v>
                </c:pt>
                <c:pt idx="7">
                  <c:v>7.0000000000000007E-2</c:v>
                </c:pt>
                <c:pt idx="8">
                  <c:v>0.08</c:v>
                </c:pt>
                <c:pt idx="9">
                  <c:v>0.09</c:v>
                </c:pt>
                <c:pt idx="10">
                  <c:v>9.9999999999999992E-2</c:v>
                </c:pt>
                <c:pt idx="11">
                  <c:v>0.10999999999999999</c:v>
                </c:pt>
                <c:pt idx="12">
                  <c:v>0.11999999999999998</c:v>
                </c:pt>
                <c:pt idx="13">
                  <c:v>0.12999999999999998</c:v>
                </c:pt>
                <c:pt idx="14">
                  <c:v>0.13999999999999999</c:v>
                </c:pt>
                <c:pt idx="15">
                  <c:v>0.15</c:v>
                </c:pt>
                <c:pt idx="16">
                  <c:v>0.16</c:v>
                </c:pt>
                <c:pt idx="17">
                  <c:v>0.17</c:v>
                </c:pt>
                <c:pt idx="18">
                  <c:v>0.18000000000000002</c:v>
                </c:pt>
                <c:pt idx="19">
                  <c:v>0.19000000000000003</c:v>
                </c:pt>
                <c:pt idx="20">
                  <c:v>0.20000000000000004</c:v>
                </c:pt>
                <c:pt idx="21">
                  <c:v>0.21000000000000005</c:v>
                </c:pt>
                <c:pt idx="22">
                  <c:v>0.22000000000000006</c:v>
                </c:pt>
                <c:pt idx="23">
                  <c:v>0.23000000000000007</c:v>
                </c:pt>
                <c:pt idx="24">
                  <c:v>0.24000000000000007</c:v>
                </c:pt>
                <c:pt idx="25">
                  <c:v>0.25000000000000006</c:v>
                </c:pt>
                <c:pt idx="26">
                  <c:v>0.26000000000000006</c:v>
                </c:pt>
                <c:pt idx="27">
                  <c:v>0.27000000000000007</c:v>
                </c:pt>
                <c:pt idx="28">
                  <c:v>0.28000000000000008</c:v>
                </c:pt>
                <c:pt idx="29">
                  <c:v>0.29000000000000009</c:v>
                </c:pt>
                <c:pt idx="30">
                  <c:v>0.3000000000000001</c:v>
                </c:pt>
                <c:pt idx="31">
                  <c:v>0.31000000000000011</c:v>
                </c:pt>
                <c:pt idx="32">
                  <c:v>0.32000000000000012</c:v>
                </c:pt>
                <c:pt idx="33">
                  <c:v>0.33000000000000013</c:v>
                </c:pt>
                <c:pt idx="34">
                  <c:v>0.34000000000000014</c:v>
                </c:pt>
                <c:pt idx="35">
                  <c:v>0.35000000000000014</c:v>
                </c:pt>
                <c:pt idx="36">
                  <c:v>0.36000000000000015</c:v>
                </c:pt>
                <c:pt idx="37">
                  <c:v>0.37000000000000016</c:v>
                </c:pt>
                <c:pt idx="38">
                  <c:v>0.38000000000000017</c:v>
                </c:pt>
                <c:pt idx="39">
                  <c:v>0.39000000000000018</c:v>
                </c:pt>
                <c:pt idx="40">
                  <c:v>0.40000000000000019</c:v>
                </c:pt>
                <c:pt idx="41">
                  <c:v>0.4100000000000002</c:v>
                </c:pt>
                <c:pt idx="42">
                  <c:v>0.42000000000000021</c:v>
                </c:pt>
                <c:pt idx="43">
                  <c:v>0.43000000000000022</c:v>
                </c:pt>
                <c:pt idx="44">
                  <c:v>0.44000000000000022</c:v>
                </c:pt>
                <c:pt idx="45">
                  <c:v>0.45000000000000023</c:v>
                </c:pt>
                <c:pt idx="46">
                  <c:v>0.46000000000000024</c:v>
                </c:pt>
                <c:pt idx="47">
                  <c:v>0.47000000000000025</c:v>
                </c:pt>
                <c:pt idx="48">
                  <c:v>0.48000000000000026</c:v>
                </c:pt>
                <c:pt idx="49">
                  <c:v>0.49000000000000027</c:v>
                </c:pt>
                <c:pt idx="50">
                  <c:v>0.50000000000000022</c:v>
                </c:pt>
                <c:pt idx="51">
                  <c:v>0.51000000000000023</c:v>
                </c:pt>
                <c:pt idx="52">
                  <c:v>0.52000000000000024</c:v>
                </c:pt>
                <c:pt idx="53">
                  <c:v>0.53000000000000025</c:v>
                </c:pt>
                <c:pt idx="54">
                  <c:v>0.54000000000000026</c:v>
                </c:pt>
                <c:pt idx="55">
                  <c:v>0.55000000000000027</c:v>
                </c:pt>
                <c:pt idx="56">
                  <c:v>0.56000000000000028</c:v>
                </c:pt>
                <c:pt idx="57">
                  <c:v>0.57000000000000028</c:v>
                </c:pt>
                <c:pt idx="58">
                  <c:v>0.58000000000000029</c:v>
                </c:pt>
                <c:pt idx="59">
                  <c:v>0.5900000000000003</c:v>
                </c:pt>
                <c:pt idx="60">
                  <c:v>0.60000000000000031</c:v>
                </c:pt>
                <c:pt idx="61">
                  <c:v>0.61000000000000032</c:v>
                </c:pt>
                <c:pt idx="62">
                  <c:v>0.62000000000000033</c:v>
                </c:pt>
                <c:pt idx="63">
                  <c:v>0.63000000000000034</c:v>
                </c:pt>
                <c:pt idx="64">
                  <c:v>0.64000000000000035</c:v>
                </c:pt>
                <c:pt idx="65">
                  <c:v>0.65000000000000036</c:v>
                </c:pt>
                <c:pt idx="66">
                  <c:v>0.66000000000000036</c:v>
                </c:pt>
                <c:pt idx="67">
                  <c:v>0.67000000000000037</c:v>
                </c:pt>
                <c:pt idx="68">
                  <c:v>0.68000000000000038</c:v>
                </c:pt>
                <c:pt idx="69">
                  <c:v>0.69000000000000039</c:v>
                </c:pt>
                <c:pt idx="70">
                  <c:v>0.7000000000000004</c:v>
                </c:pt>
                <c:pt idx="71">
                  <c:v>0.71000000000000041</c:v>
                </c:pt>
                <c:pt idx="72">
                  <c:v>0.72000000000000042</c:v>
                </c:pt>
                <c:pt idx="73">
                  <c:v>0.73000000000000043</c:v>
                </c:pt>
                <c:pt idx="74">
                  <c:v>0.74000000000000044</c:v>
                </c:pt>
                <c:pt idx="75">
                  <c:v>0.75000000000000044</c:v>
                </c:pt>
                <c:pt idx="76">
                  <c:v>0.76000000000000045</c:v>
                </c:pt>
                <c:pt idx="77">
                  <c:v>0.77000000000000046</c:v>
                </c:pt>
                <c:pt idx="78">
                  <c:v>0.78000000000000047</c:v>
                </c:pt>
                <c:pt idx="79">
                  <c:v>0.79000000000000048</c:v>
                </c:pt>
                <c:pt idx="80">
                  <c:v>0.80000000000000049</c:v>
                </c:pt>
                <c:pt idx="81">
                  <c:v>0.8100000000000005</c:v>
                </c:pt>
                <c:pt idx="82">
                  <c:v>0.82000000000000051</c:v>
                </c:pt>
                <c:pt idx="83">
                  <c:v>0.83000000000000052</c:v>
                </c:pt>
                <c:pt idx="84">
                  <c:v>0.84000000000000052</c:v>
                </c:pt>
                <c:pt idx="85">
                  <c:v>0.85000000000000053</c:v>
                </c:pt>
                <c:pt idx="86">
                  <c:v>0.86000000000000054</c:v>
                </c:pt>
                <c:pt idx="87">
                  <c:v>0.87000000000000055</c:v>
                </c:pt>
                <c:pt idx="88">
                  <c:v>0.88000000000000056</c:v>
                </c:pt>
                <c:pt idx="89">
                  <c:v>0.89000000000000057</c:v>
                </c:pt>
                <c:pt idx="90">
                  <c:v>0.90000000000000058</c:v>
                </c:pt>
                <c:pt idx="91">
                  <c:v>0.91000000000000059</c:v>
                </c:pt>
                <c:pt idx="92">
                  <c:v>0.9200000000000006</c:v>
                </c:pt>
                <c:pt idx="93">
                  <c:v>0.9300000000000006</c:v>
                </c:pt>
                <c:pt idx="94">
                  <c:v>0.94000000000000061</c:v>
                </c:pt>
                <c:pt idx="95">
                  <c:v>0.95000000000000062</c:v>
                </c:pt>
                <c:pt idx="96">
                  <c:v>0.96000000000000063</c:v>
                </c:pt>
                <c:pt idx="97">
                  <c:v>0.97000000000000064</c:v>
                </c:pt>
                <c:pt idx="98">
                  <c:v>0.98000000000000065</c:v>
                </c:pt>
                <c:pt idx="99">
                  <c:v>0.99000000000000066</c:v>
                </c:pt>
                <c:pt idx="100">
                  <c:v>1.0000000000000007</c:v>
                </c:pt>
                <c:pt idx="101">
                  <c:v>1.1000000000000008</c:v>
                </c:pt>
                <c:pt idx="102">
                  <c:v>1.2000000000000008</c:v>
                </c:pt>
                <c:pt idx="103">
                  <c:v>1.3000000000000009</c:v>
                </c:pt>
                <c:pt idx="104">
                  <c:v>1.400000000000001</c:v>
                </c:pt>
                <c:pt idx="105">
                  <c:v>1.5000000000000011</c:v>
                </c:pt>
                <c:pt idx="106">
                  <c:v>1.6000000000000012</c:v>
                </c:pt>
                <c:pt idx="107">
                  <c:v>1.7000000000000013</c:v>
                </c:pt>
                <c:pt idx="108">
                  <c:v>1.8000000000000014</c:v>
                </c:pt>
                <c:pt idx="109">
                  <c:v>1.9000000000000015</c:v>
                </c:pt>
                <c:pt idx="110">
                  <c:v>2.0000000000000013</c:v>
                </c:pt>
                <c:pt idx="111">
                  <c:v>2.1000000000000014</c:v>
                </c:pt>
                <c:pt idx="112">
                  <c:v>2.2000000000000015</c:v>
                </c:pt>
                <c:pt idx="113">
                  <c:v>2.3000000000000016</c:v>
                </c:pt>
                <c:pt idx="114">
                  <c:v>2.4000000000000017</c:v>
                </c:pt>
                <c:pt idx="115">
                  <c:v>2.5000000000000018</c:v>
                </c:pt>
                <c:pt idx="116">
                  <c:v>2.6000000000000019</c:v>
                </c:pt>
                <c:pt idx="117">
                  <c:v>2.700000000000002</c:v>
                </c:pt>
                <c:pt idx="118">
                  <c:v>2.800000000000002</c:v>
                </c:pt>
                <c:pt idx="119">
                  <c:v>2.9000000000000021</c:v>
                </c:pt>
                <c:pt idx="120">
                  <c:v>3.0000000000000022</c:v>
                </c:pt>
                <c:pt idx="121">
                  <c:v>3.1000000000000023</c:v>
                </c:pt>
                <c:pt idx="122">
                  <c:v>3.2000000000000024</c:v>
                </c:pt>
                <c:pt idx="123">
                  <c:v>3.3000000000000025</c:v>
                </c:pt>
                <c:pt idx="124">
                  <c:v>3.4000000000000026</c:v>
                </c:pt>
                <c:pt idx="125">
                  <c:v>3.5000000000000027</c:v>
                </c:pt>
                <c:pt idx="126">
                  <c:v>3.6000000000000028</c:v>
                </c:pt>
                <c:pt idx="127">
                  <c:v>3.7000000000000028</c:v>
                </c:pt>
                <c:pt idx="128">
                  <c:v>3.8000000000000029</c:v>
                </c:pt>
                <c:pt idx="129">
                  <c:v>3.900000000000003</c:v>
                </c:pt>
                <c:pt idx="130">
                  <c:v>4.0000000000000027</c:v>
                </c:pt>
                <c:pt idx="131">
                  <c:v>4.1000000000000023</c:v>
                </c:pt>
                <c:pt idx="132">
                  <c:v>4.200000000000002</c:v>
                </c:pt>
                <c:pt idx="133">
                  <c:v>4.3000000000000016</c:v>
                </c:pt>
                <c:pt idx="134">
                  <c:v>4.4000000000000012</c:v>
                </c:pt>
                <c:pt idx="135">
                  <c:v>4.5000000000000009</c:v>
                </c:pt>
                <c:pt idx="136">
                  <c:v>4.6000000000000005</c:v>
                </c:pt>
                <c:pt idx="137">
                  <c:v>4.7</c:v>
                </c:pt>
                <c:pt idx="138">
                  <c:v>4.8</c:v>
                </c:pt>
                <c:pt idx="139">
                  <c:v>4.8999999999999995</c:v>
                </c:pt>
                <c:pt idx="140">
                  <c:v>4.9999999999999991</c:v>
                </c:pt>
                <c:pt idx="141">
                  <c:v>5.0999999999999988</c:v>
                </c:pt>
                <c:pt idx="142">
                  <c:v>5.1999999999999984</c:v>
                </c:pt>
                <c:pt idx="143">
                  <c:v>5.299999999999998</c:v>
                </c:pt>
                <c:pt idx="144">
                  <c:v>5.3999999999999977</c:v>
                </c:pt>
                <c:pt idx="145">
                  <c:v>5.4999999999999973</c:v>
                </c:pt>
                <c:pt idx="146">
                  <c:v>5.599999999999997</c:v>
                </c:pt>
                <c:pt idx="147">
                  <c:v>5.6999999999999966</c:v>
                </c:pt>
                <c:pt idx="148">
                  <c:v>5.7999999999999963</c:v>
                </c:pt>
                <c:pt idx="149">
                  <c:v>5.8999999999999959</c:v>
                </c:pt>
                <c:pt idx="150">
                  <c:v>5.9999999999999956</c:v>
                </c:pt>
                <c:pt idx="151">
                  <c:v>6.0999999999999952</c:v>
                </c:pt>
                <c:pt idx="152">
                  <c:v>6.1999999999999948</c:v>
                </c:pt>
                <c:pt idx="153">
                  <c:v>6.2999999999999945</c:v>
                </c:pt>
                <c:pt idx="154">
                  <c:v>6.3999999999999941</c:v>
                </c:pt>
                <c:pt idx="155">
                  <c:v>6.4999999999999938</c:v>
                </c:pt>
                <c:pt idx="156">
                  <c:v>6.5999999999999934</c:v>
                </c:pt>
                <c:pt idx="157">
                  <c:v>6.6999999999999931</c:v>
                </c:pt>
                <c:pt idx="158">
                  <c:v>6.7999999999999927</c:v>
                </c:pt>
                <c:pt idx="159">
                  <c:v>6.8999999999999924</c:v>
                </c:pt>
                <c:pt idx="160">
                  <c:v>6.999999999999992</c:v>
                </c:pt>
                <c:pt idx="161">
                  <c:v>7.0999999999999917</c:v>
                </c:pt>
                <c:pt idx="162">
                  <c:v>7.1999999999999913</c:v>
                </c:pt>
                <c:pt idx="163">
                  <c:v>7.2999999999999909</c:v>
                </c:pt>
                <c:pt idx="164">
                  <c:v>7.3999999999999906</c:v>
                </c:pt>
                <c:pt idx="165">
                  <c:v>7.4999999999999902</c:v>
                </c:pt>
                <c:pt idx="166">
                  <c:v>7.5999999999999899</c:v>
                </c:pt>
                <c:pt idx="167">
                  <c:v>7.6999999999999895</c:v>
                </c:pt>
                <c:pt idx="168">
                  <c:v>7.7999999999999892</c:v>
                </c:pt>
                <c:pt idx="169">
                  <c:v>7.8999999999999888</c:v>
                </c:pt>
                <c:pt idx="170">
                  <c:v>7.9999999999999885</c:v>
                </c:pt>
                <c:pt idx="171">
                  <c:v>8.099999999999989</c:v>
                </c:pt>
                <c:pt idx="172">
                  <c:v>8.1999999999999886</c:v>
                </c:pt>
                <c:pt idx="173">
                  <c:v>8.2999999999999883</c:v>
                </c:pt>
                <c:pt idx="174">
                  <c:v>8.3999999999999879</c:v>
                </c:pt>
                <c:pt idx="175">
                  <c:v>8.4999999999999876</c:v>
                </c:pt>
                <c:pt idx="176">
                  <c:v>8.5999999999999872</c:v>
                </c:pt>
                <c:pt idx="177">
                  <c:v>8.6999999999999869</c:v>
                </c:pt>
                <c:pt idx="178">
                  <c:v>8.7999999999999865</c:v>
                </c:pt>
                <c:pt idx="179">
                  <c:v>8.8999999999999861</c:v>
                </c:pt>
                <c:pt idx="180">
                  <c:v>8.9999999999999858</c:v>
                </c:pt>
                <c:pt idx="181">
                  <c:v>9.0999999999999854</c:v>
                </c:pt>
                <c:pt idx="182">
                  <c:v>9.1999999999999851</c:v>
                </c:pt>
                <c:pt idx="183">
                  <c:v>9.2999999999999847</c:v>
                </c:pt>
                <c:pt idx="184">
                  <c:v>9.3999999999999844</c:v>
                </c:pt>
                <c:pt idx="185">
                  <c:v>9.499999999999984</c:v>
                </c:pt>
                <c:pt idx="186">
                  <c:v>9.5999999999999837</c:v>
                </c:pt>
                <c:pt idx="187">
                  <c:v>9.6999999999999833</c:v>
                </c:pt>
                <c:pt idx="188">
                  <c:v>9.7999999999999829</c:v>
                </c:pt>
                <c:pt idx="189">
                  <c:v>9.8999999999999826</c:v>
                </c:pt>
                <c:pt idx="190">
                  <c:v>9.9999999999999822</c:v>
                </c:pt>
                <c:pt idx="191">
                  <c:v>10.099999999999982</c:v>
                </c:pt>
                <c:pt idx="192">
                  <c:v>10.199999999999982</c:v>
                </c:pt>
                <c:pt idx="193">
                  <c:v>10.299999999999981</c:v>
                </c:pt>
                <c:pt idx="194">
                  <c:v>10.399999999999981</c:v>
                </c:pt>
                <c:pt idx="195">
                  <c:v>10.49999999999998</c:v>
                </c:pt>
                <c:pt idx="196">
                  <c:v>10.59999999999998</c:v>
                </c:pt>
                <c:pt idx="197">
                  <c:v>10.69999999999998</c:v>
                </c:pt>
                <c:pt idx="198">
                  <c:v>10.799999999999979</c:v>
                </c:pt>
                <c:pt idx="199">
                  <c:v>10.899999999999979</c:v>
                </c:pt>
                <c:pt idx="200">
                  <c:v>10.999999999999979</c:v>
                </c:pt>
                <c:pt idx="201">
                  <c:v>11.099999999999978</c:v>
                </c:pt>
                <c:pt idx="202">
                  <c:v>11.199999999999978</c:v>
                </c:pt>
                <c:pt idx="203">
                  <c:v>11.299999999999978</c:v>
                </c:pt>
                <c:pt idx="204">
                  <c:v>11.399999999999977</c:v>
                </c:pt>
                <c:pt idx="205">
                  <c:v>11.499999999999977</c:v>
                </c:pt>
                <c:pt idx="206">
                  <c:v>11.599999999999977</c:v>
                </c:pt>
                <c:pt idx="207">
                  <c:v>11.699999999999976</c:v>
                </c:pt>
                <c:pt idx="208">
                  <c:v>11.799999999999976</c:v>
                </c:pt>
                <c:pt idx="209">
                  <c:v>11.899999999999975</c:v>
                </c:pt>
                <c:pt idx="210">
                  <c:v>11.999999999999975</c:v>
                </c:pt>
                <c:pt idx="211">
                  <c:v>12.099999999999975</c:v>
                </c:pt>
                <c:pt idx="212">
                  <c:v>12.199999999999974</c:v>
                </c:pt>
                <c:pt idx="213">
                  <c:v>12.299999999999974</c:v>
                </c:pt>
                <c:pt idx="214">
                  <c:v>12.399999999999974</c:v>
                </c:pt>
                <c:pt idx="215">
                  <c:v>12.499999999999973</c:v>
                </c:pt>
                <c:pt idx="216">
                  <c:v>12.599999999999973</c:v>
                </c:pt>
                <c:pt idx="217">
                  <c:v>12.699999999999973</c:v>
                </c:pt>
                <c:pt idx="218">
                  <c:v>12.799999999999972</c:v>
                </c:pt>
                <c:pt idx="219">
                  <c:v>12.899999999999972</c:v>
                </c:pt>
                <c:pt idx="220">
                  <c:v>12.999999999999972</c:v>
                </c:pt>
                <c:pt idx="221">
                  <c:v>13.099999999999971</c:v>
                </c:pt>
                <c:pt idx="222">
                  <c:v>13.199999999999971</c:v>
                </c:pt>
                <c:pt idx="223">
                  <c:v>13.299999999999971</c:v>
                </c:pt>
                <c:pt idx="224">
                  <c:v>13.39999999999997</c:v>
                </c:pt>
                <c:pt idx="225">
                  <c:v>13.49999999999997</c:v>
                </c:pt>
                <c:pt idx="226">
                  <c:v>13.599999999999969</c:v>
                </c:pt>
                <c:pt idx="227">
                  <c:v>13.699999999999969</c:v>
                </c:pt>
                <c:pt idx="228">
                  <c:v>13.799999999999969</c:v>
                </c:pt>
                <c:pt idx="229">
                  <c:v>13.899999999999968</c:v>
                </c:pt>
                <c:pt idx="230">
                  <c:v>13.999999999999968</c:v>
                </c:pt>
                <c:pt idx="231">
                  <c:v>14.099999999999968</c:v>
                </c:pt>
                <c:pt idx="232">
                  <c:v>14.199999999999967</c:v>
                </c:pt>
                <c:pt idx="233">
                  <c:v>14.299999999999967</c:v>
                </c:pt>
                <c:pt idx="234">
                  <c:v>14.399999999999967</c:v>
                </c:pt>
                <c:pt idx="235">
                  <c:v>14.499999999999966</c:v>
                </c:pt>
                <c:pt idx="236">
                  <c:v>14.599999999999966</c:v>
                </c:pt>
                <c:pt idx="237">
                  <c:v>14.699999999999966</c:v>
                </c:pt>
                <c:pt idx="238">
                  <c:v>14.799999999999965</c:v>
                </c:pt>
                <c:pt idx="239">
                  <c:v>14.899999999999965</c:v>
                </c:pt>
                <c:pt idx="240">
                  <c:v>14.999999999999964</c:v>
                </c:pt>
                <c:pt idx="241">
                  <c:v>15.099999999999964</c:v>
                </c:pt>
                <c:pt idx="242">
                  <c:v>15.199999999999964</c:v>
                </c:pt>
                <c:pt idx="243">
                  <c:v>15.299999999999963</c:v>
                </c:pt>
                <c:pt idx="244">
                  <c:v>15.399999999999963</c:v>
                </c:pt>
                <c:pt idx="245">
                  <c:v>15.499999999999963</c:v>
                </c:pt>
                <c:pt idx="246">
                  <c:v>15.599999999999962</c:v>
                </c:pt>
                <c:pt idx="247">
                  <c:v>15.699999999999962</c:v>
                </c:pt>
                <c:pt idx="248">
                  <c:v>15.799999999999962</c:v>
                </c:pt>
                <c:pt idx="249">
                  <c:v>15.899999999999961</c:v>
                </c:pt>
                <c:pt idx="250">
                  <c:v>15.999999999999961</c:v>
                </c:pt>
                <c:pt idx="251">
                  <c:v>16.099999999999962</c:v>
                </c:pt>
                <c:pt idx="252">
                  <c:v>16.199999999999964</c:v>
                </c:pt>
                <c:pt idx="253">
                  <c:v>16.299999999999965</c:v>
                </c:pt>
                <c:pt idx="254">
                  <c:v>16.399999999999967</c:v>
                </c:pt>
                <c:pt idx="255">
                  <c:v>16.499999999999968</c:v>
                </c:pt>
                <c:pt idx="256">
                  <c:v>16.599999999999969</c:v>
                </c:pt>
                <c:pt idx="257">
                  <c:v>16.699999999999971</c:v>
                </c:pt>
                <c:pt idx="258">
                  <c:v>16.799999999999972</c:v>
                </c:pt>
                <c:pt idx="259">
                  <c:v>16.899999999999974</c:v>
                </c:pt>
                <c:pt idx="260">
                  <c:v>16.999999999999975</c:v>
                </c:pt>
                <c:pt idx="261">
                  <c:v>17.099999999999977</c:v>
                </c:pt>
                <c:pt idx="262">
                  <c:v>17.199999999999978</c:v>
                </c:pt>
                <c:pt idx="263">
                  <c:v>17.299999999999979</c:v>
                </c:pt>
                <c:pt idx="264">
                  <c:v>17.399999999999981</c:v>
                </c:pt>
                <c:pt idx="265">
                  <c:v>17.499999999999982</c:v>
                </c:pt>
                <c:pt idx="266">
                  <c:v>17.599999999999984</c:v>
                </c:pt>
                <c:pt idx="267">
                  <c:v>17.699999999999985</c:v>
                </c:pt>
                <c:pt idx="268">
                  <c:v>17.799999999999986</c:v>
                </c:pt>
                <c:pt idx="269">
                  <c:v>17.899999999999988</c:v>
                </c:pt>
                <c:pt idx="270">
                  <c:v>17.999999999999989</c:v>
                </c:pt>
                <c:pt idx="271">
                  <c:v>18.099999999999991</c:v>
                </c:pt>
                <c:pt idx="272">
                  <c:v>18.199999999999992</c:v>
                </c:pt>
                <c:pt idx="273">
                  <c:v>18.299999999999994</c:v>
                </c:pt>
                <c:pt idx="274">
                  <c:v>18.399999999999995</c:v>
                </c:pt>
                <c:pt idx="275">
                  <c:v>18.499999999999996</c:v>
                </c:pt>
                <c:pt idx="276">
                  <c:v>18.599999999999998</c:v>
                </c:pt>
                <c:pt idx="277">
                  <c:v>18.7</c:v>
                </c:pt>
                <c:pt idx="278">
                  <c:v>18.8</c:v>
                </c:pt>
                <c:pt idx="279">
                  <c:v>18.900000000000002</c:v>
                </c:pt>
                <c:pt idx="280">
                  <c:v>19.000000000000004</c:v>
                </c:pt>
                <c:pt idx="281">
                  <c:v>19.100000000000005</c:v>
                </c:pt>
                <c:pt idx="282">
                  <c:v>19.200000000000006</c:v>
                </c:pt>
                <c:pt idx="283">
                  <c:v>19.300000000000008</c:v>
                </c:pt>
                <c:pt idx="284">
                  <c:v>19.400000000000009</c:v>
                </c:pt>
                <c:pt idx="285">
                  <c:v>19.500000000000011</c:v>
                </c:pt>
                <c:pt idx="286">
                  <c:v>19.600000000000012</c:v>
                </c:pt>
                <c:pt idx="287">
                  <c:v>19.700000000000014</c:v>
                </c:pt>
                <c:pt idx="288">
                  <c:v>19.800000000000015</c:v>
                </c:pt>
                <c:pt idx="289">
                  <c:v>19.900000000000016</c:v>
                </c:pt>
                <c:pt idx="290">
                  <c:v>20.000000000000018</c:v>
                </c:pt>
                <c:pt idx="291">
                  <c:v>20.100000000000019</c:v>
                </c:pt>
                <c:pt idx="292">
                  <c:v>20.200000000000021</c:v>
                </c:pt>
                <c:pt idx="293">
                  <c:v>20.300000000000022</c:v>
                </c:pt>
                <c:pt idx="294">
                  <c:v>20.400000000000023</c:v>
                </c:pt>
                <c:pt idx="295">
                  <c:v>20.500000000000025</c:v>
                </c:pt>
                <c:pt idx="296">
                  <c:v>20.600000000000026</c:v>
                </c:pt>
                <c:pt idx="297">
                  <c:v>20.700000000000028</c:v>
                </c:pt>
                <c:pt idx="298">
                  <c:v>20.800000000000029</c:v>
                </c:pt>
                <c:pt idx="299">
                  <c:v>20.900000000000031</c:v>
                </c:pt>
                <c:pt idx="300">
                  <c:v>21.000000000000032</c:v>
                </c:pt>
                <c:pt idx="301">
                  <c:v>21.100000000000033</c:v>
                </c:pt>
                <c:pt idx="302">
                  <c:v>21.200000000000035</c:v>
                </c:pt>
                <c:pt idx="303">
                  <c:v>21.300000000000036</c:v>
                </c:pt>
                <c:pt idx="304">
                  <c:v>21.400000000000038</c:v>
                </c:pt>
                <c:pt idx="305">
                  <c:v>21.500000000000039</c:v>
                </c:pt>
                <c:pt idx="306">
                  <c:v>21.600000000000041</c:v>
                </c:pt>
                <c:pt idx="307">
                  <c:v>21.700000000000042</c:v>
                </c:pt>
                <c:pt idx="308">
                  <c:v>21.800000000000043</c:v>
                </c:pt>
                <c:pt idx="309">
                  <c:v>21.900000000000045</c:v>
                </c:pt>
                <c:pt idx="310">
                  <c:v>22.000000000000046</c:v>
                </c:pt>
                <c:pt idx="311">
                  <c:v>22.100000000000048</c:v>
                </c:pt>
                <c:pt idx="312">
                  <c:v>22.200000000000049</c:v>
                </c:pt>
                <c:pt idx="313">
                  <c:v>22.30000000000005</c:v>
                </c:pt>
                <c:pt idx="314">
                  <c:v>22.400000000000052</c:v>
                </c:pt>
                <c:pt idx="315">
                  <c:v>22.500000000000053</c:v>
                </c:pt>
                <c:pt idx="316">
                  <c:v>22.600000000000055</c:v>
                </c:pt>
                <c:pt idx="317">
                  <c:v>22.700000000000056</c:v>
                </c:pt>
                <c:pt idx="318">
                  <c:v>22.800000000000058</c:v>
                </c:pt>
                <c:pt idx="319">
                  <c:v>22.900000000000059</c:v>
                </c:pt>
                <c:pt idx="320">
                  <c:v>23.00000000000006</c:v>
                </c:pt>
                <c:pt idx="321">
                  <c:v>23.100000000000062</c:v>
                </c:pt>
                <c:pt idx="322">
                  <c:v>23.200000000000063</c:v>
                </c:pt>
                <c:pt idx="323">
                  <c:v>23.300000000000065</c:v>
                </c:pt>
                <c:pt idx="324">
                  <c:v>23.400000000000066</c:v>
                </c:pt>
                <c:pt idx="325">
                  <c:v>23.500000000000068</c:v>
                </c:pt>
                <c:pt idx="326">
                  <c:v>23.600000000000069</c:v>
                </c:pt>
                <c:pt idx="327">
                  <c:v>23.70000000000007</c:v>
                </c:pt>
                <c:pt idx="328">
                  <c:v>23.800000000000072</c:v>
                </c:pt>
                <c:pt idx="329">
                  <c:v>23.900000000000073</c:v>
                </c:pt>
                <c:pt idx="330">
                  <c:v>24.000000000000075</c:v>
                </c:pt>
                <c:pt idx="331">
                  <c:v>24.100000000000076</c:v>
                </c:pt>
                <c:pt idx="332">
                  <c:v>24.200000000000077</c:v>
                </c:pt>
                <c:pt idx="333">
                  <c:v>24.300000000000079</c:v>
                </c:pt>
                <c:pt idx="334">
                  <c:v>24.40000000000008</c:v>
                </c:pt>
                <c:pt idx="335">
                  <c:v>24.500000000000082</c:v>
                </c:pt>
                <c:pt idx="336">
                  <c:v>24.600000000000083</c:v>
                </c:pt>
                <c:pt idx="337">
                  <c:v>24.700000000000085</c:v>
                </c:pt>
                <c:pt idx="338">
                  <c:v>24.800000000000086</c:v>
                </c:pt>
                <c:pt idx="339">
                  <c:v>24.900000000000087</c:v>
                </c:pt>
                <c:pt idx="340">
                  <c:v>25.000000000000089</c:v>
                </c:pt>
                <c:pt idx="341">
                  <c:v>25.10000000000009</c:v>
                </c:pt>
                <c:pt idx="342">
                  <c:v>25.200000000000092</c:v>
                </c:pt>
                <c:pt idx="343">
                  <c:v>25.300000000000093</c:v>
                </c:pt>
                <c:pt idx="344">
                  <c:v>25.400000000000095</c:v>
                </c:pt>
                <c:pt idx="345">
                  <c:v>25.500000000000096</c:v>
                </c:pt>
                <c:pt idx="346">
                  <c:v>25.600000000000097</c:v>
                </c:pt>
                <c:pt idx="347">
                  <c:v>25.700000000000099</c:v>
                </c:pt>
                <c:pt idx="348">
                  <c:v>25.8000000000001</c:v>
                </c:pt>
                <c:pt idx="349">
                  <c:v>25.900000000000102</c:v>
                </c:pt>
                <c:pt idx="350">
                  <c:v>26.000000000000103</c:v>
                </c:pt>
                <c:pt idx="351">
                  <c:v>26.100000000000104</c:v>
                </c:pt>
                <c:pt idx="352">
                  <c:v>26.200000000000106</c:v>
                </c:pt>
                <c:pt idx="353">
                  <c:v>26.300000000000107</c:v>
                </c:pt>
                <c:pt idx="354">
                  <c:v>26.400000000000109</c:v>
                </c:pt>
                <c:pt idx="355">
                  <c:v>26.50000000000011</c:v>
                </c:pt>
                <c:pt idx="356">
                  <c:v>26.600000000000112</c:v>
                </c:pt>
                <c:pt idx="357">
                  <c:v>26.700000000000113</c:v>
                </c:pt>
                <c:pt idx="358">
                  <c:v>26.800000000000114</c:v>
                </c:pt>
                <c:pt idx="359">
                  <c:v>26.900000000000116</c:v>
                </c:pt>
                <c:pt idx="360">
                  <c:v>27.000000000000117</c:v>
                </c:pt>
                <c:pt idx="361">
                  <c:v>27.100000000000119</c:v>
                </c:pt>
                <c:pt idx="362">
                  <c:v>27.20000000000012</c:v>
                </c:pt>
                <c:pt idx="363">
                  <c:v>27.300000000000122</c:v>
                </c:pt>
                <c:pt idx="364">
                  <c:v>27.400000000000123</c:v>
                </c:pt>
                <c:pt idx="365">
                  <c:v>27.500000000000124</c:v>
                </c:pt>
                <c:pt idx="366">
                  <c:v>27.600000000000126</c:v>
                </c:pt>
                <c:pt idx="367">
                  <c:v>27.700000000000127</c:v>
                </c:pt>
                <c:pt idx="368">
                  <c:v>27.800000000000129</c:v>
                </c:pt>
                <c:pt idx="369">
                  <c:v>27.90000000000013</c:v>
                </c:pt>
                <c:pt idx="370">
                  <c:v>28.000000000000131</c:v>
                </c:pt>
                <c:pt idx="371">
                  <c:v>28.100000000000133</c:v>
                </c:pt>
                <c:pt idx="372">
                  <c:v>28.200000000000134</c:v>
                </c:pt>
                <c:pt idx="373">
                  <c:v>28.300000000000136</c:v>
                </c:pt>
                <c:pt idx="374">
                  <c:v>28.400000000000137</c:v>
                </c:pt>
                <c:pt idx="375">
                  <c:v>28.500000000000139</c:v>
                </c:pt>
                <c:pt idx="376">
                  <c:v>28.60000000000014</c:v>
                </c:pt>
                <c:pt idx="377">
                  <c:v>28.60010000000014</c:v>
                </c:pt>
                <c:pt idx="378">
                  <c:v>28.60020000000014</c:v>
                </c:pt>
                <c:pt idx="379">
                  <c:v>28.600300000000139</c:v>
                </c:pt>
                <c:pt idx="380">
                  <c:v>28.600400000000139</c:v>
                </c:pt>
                <c:pt idx="381">
                  <c:v>28.600500000000139</c:v>
                </c:pt>
                <c:pt idx="382">
                  <c:v>28.600600000000139</c:v>
                </c:pt>
                <c:pt idx="383">
                  <c:v>28.600700000000138</c:v>
                </c:pt>
                <c:pt idx="384">
                  <c:v>28.600800000000138</c:v>
                </c:pt>
                <c:pt idx="385">
                  <c:v>28.600900000000138</c:v>
                </c:pt>
                <c:pt idx="386">
                  <c:v>28.601000000000138</c:v>
                </c:pt>
                <c:pt idx="387">
                  <c:v>28.601100000000137</c:v>
                </c:pt>
                <c:pt idx="388">
                  <c:v>28.601200000000137</c:v>
                </c:pt>
                <c:pt idx="389">
                  <c:v>28.601300000000137</c:v>
                </c:pt>
                <c:pt idx="390">
                  <c:v>28.601400000000137</c:v>
                </c:pt>
                <c:pt idx="391">
                  <c:v>28.601500000000136</c:v>
                </c:pt>
                <c:pt idx="392">
                  <c:v>28.601600000000136</c:v>
                </c:pt>
                <c:pt idx="393">
                  <c:v>28.601700000000136</c:v>
                </c:pt>
                <c:pt idx="394">
                  <c:v>28.601800000000136</c:v>
                </c:pt>
                <c:pt idx="395">
                  <c:v>28.601900000000136</c:v>
                </c:pt>
                <c:pt idx="396">
                  <c:v>28.602000000000135</c:v>
                </c:pt>
                <c:pt idx="397">
                  <c:v>28.602100000000135</c:v>
                </c:pt>
                <c:pt idx="398">
                  <c:v>28.602200000000135</c:v>
                </c:pt>
                <c:pt idx="399">
                  <c:v>28.602300000000135</c:v>
                </c:pt>
                <c:pt idx="400">
                  <c:v>28.602400000000134</c:v>
                </c:pt>
                <c:pt idx="401">
                  <c:v>28.602500000000134</c:v>
                </c:pt>
                <c:pt idx="402">
                  <c:v>28.602600000000134</c:v>
                </c:pt>
                <c:pt idx="403">
                  <c:v>28.602700000000134</c:v>
                </c:pt>
                <c:pt idx="404">
                  <c:v>28.602800000000133</c:v>
                </c:pt>
                <c:pt idx="405">
                  <c:v>28.602900000000133</c:v>
                </c:pt>
                <c:pt idx="406">
                  <c:v>28.603000000000133</c:v>
                </c:pt>
                <c:pt idx="407">
                  <c:v>28.603100000000133</c:v>
                </c:pt>
                <c:pt idx="408">
                  <c:v>28.603200000000133</c:v>
                </c:pt>
                <c:pt idx="409">
                  <c:v>28.603300000000132</c:v>
                </c:pt>
                <c:pt idx="410">
                  <c:v>28.603400000000132</c:v>
                </c:pt>
                <c:pt idx="411">
                  <c:v>28.603500000000132</c:v>
                </c:pt>
                <c:pt idx="412">
                  <c:v>28.603600000000132</c:v>
                </c:pt>
                <c:pt idx="413">
                  <c:v>28.603700000000131</c:v>
                </c:pt>
                <c:pt idx="414">
                  <c:v>28.603800000000131</c:v>
                </c:pt>
                <c:pt idx="415">
                  <c:v>28.603900000000131</c:v>
                </c:pt>
                <c:pt idx="416">
                  <c:v>28.604000000000131</c:v>
                </c:pt>
                <c:pt idx="417">
                  <c:v>28.60410000000013</c:v>
                </c:pt>
                <c:pt idx="418">
                  <c:v>28.60420000000013</c:v>
                </c:pt>
                <c:pt idx="419">
                  <c:v>28.60430000000013</c:v>
                </c:pt>
                <c:pt idx="420">
                  <c:v>28.60440000000013</c:v>
                </c:pt>
                <c:pt idx="421">
                  <c:v>28.604500000000129</c:v>
                </c:pt>
                <c:pt idx="422">
                  <c:v>28.604600000000129</c:v>
                </c:pt>
                <c:pt idx="423">
                  <c:v>28.604700000000129</c:v>
                </c:pt>
                <c:pt idx="424">
                  <c:v>28.604800000000129</c:v>
                </c:pt>
                <c:pt idx="425">
                  <c:v>28.604900000000129</c:v>
                </c:pt>
                <c:pt idx="426">
                  <c:v>28.605000000000128</c:v>
                </c:pt>
                <c:pt idx="427">
                  <c:v>28.605100000000128</c:v>
                </c:pt>
                <c:pt idx="428">
                  <c:v>28.605200000000128</c:v>
                </c:pt>
                <c:pt idx="429">
                  <c:v>28.605300000000128</c:v>
                </c:pt>
                <c:pt idx="430">
                  <c:v>28.605400000000127</c:v>
                </c:pt>
                <c:pt idx="431">
                  <c:v>28.605500000000127</c:v>
                </c:pt>
                <c:pt idx="432">
                  <c:v>28.605600000000127</c:v>
                </c:pt>
                <c:pt idx="433">
                  <c:v>28.605700000000127</c:v>
                </c:pt>
                <c:pt idx="434">
                  <c:v>28.605800000000126</c:v>
                </c:pt>
                <c:pt idx="435">
                  <c:v>28.605900000000126</c:v>
                </c:pt>
                <c:pt idx="436">
                  <c:v>28.606000000000126</c:v>
                </c:pt>
                <c:pt idx="437">
                  <c:v>28.606100000000126</c:v>
                </c:pt>
                <c:pt idx="438">
                  <c:v>28.606200000000126</c:v>
                </c:pt>
                <c:pt idx="439">
                  <c:v>28.606300000000125</c:v>
                </c:pt>
                <c:pt idx="440">
                  <c:v>28.606400000000125</c:v>
                </c:pt>
                <c:pt idx="441">
                  <c:v>28.606500000000125</c:v>
                </c:pt>
                <c:pt idx="442">
                  <c:v>28.606600000000125</c:v>
                </c:pt>
                <c:pt idx="443">
                  <c:v>28.606700000000124</c:v>
                </c:pt>
                <c:pt idx="444">
                  <c:v>28.606800000000124</c:v>
                </c:pt>
                <c:pt idx="445">
                  <c:v>28.606900000000124</c:v>
                </c:pt>
                <c:pt idx="446">
                  <c:v>28.607000000000124</c:v>
                </c:pt>
                <c:pt idx="447">
                  <c:v>28.607100000000123</c:v>
                </c:pt>
                <c:pt idx="448">
                  <c:v>28.607200000000123</c:v>
                </c:pt>
                <c:pt idx="449">
                  <c:v>28.607300000000123</c:v>
                </c:pt>
                <c:pt idx="450">
                  <c:v>28.607400000000123</c:v>
                </c:pt>
                <c:pt idx="451">
                  <c:v>28.607500000000122</c:v>
                </c:pt>
                <c:pt idx="452">
                  <c:v>28.607600000000122</c:v>
                </c:pt>
                <c:pt idx="453">
                  <c:v>28.607700000000122</c:v>
                </c:pt>
                <c:pt idx="454">
                  <c:v>28.607800000000122</c:v>
                </c:pt>
                <c:pt idx="455">
                  <c:v>28.607900000000122</c:v>
                </c:pt>
                <c:pt idx="456">
                  <c:v>28.608000000000121</c:v>
                </c:pt>
                <c:pt idx="457">
                  <c:v>28.608100000000121</c:v>
                </c:pt>
                <c:pt idx="458">
                  <c:v>28.608200000000121</c:v>
                </c:pt>
                <c:pt idx="459">
                  <c:v>28.608300000000121</c:v>
                </c:pt>
                <c:pt idx="460">
                  <c:v>28.60840000000012</c:v>
                </c:pt>
                <c:pt idx="461">
                  <c:v>28.60850000000012</c:v>
                </c:pt>
                <c:pt idx="462">
                  <c:v>28.60860000000012</c:v>
                </c:pt>
                <c:pt idx="463">
                  <c:v>28.60870000000012</c:v>
                </c:pt>
                <c:pt idx="464">
                  <c:v>28.608800000000119</c:v>
                </c:pt>
                <c:pt idx="465">
                  <c:v>28.608900000000119</c:v>
                </c:pt>
                <c:pt idx="466">
                  <c:v>28.609000000000119</c:v>
                </c:pt>
                <c:pt idx="467">
                  <c:v>28.609100000000119</c:v>
                </c:pt>
                <c:pt idx="468">
                  <c:v>28.609200000000119</c:v>
                </c:pt>
                <c:pt idx="469">
                  <c:v>28.609300000000118</c:v>
                </c:pt>
                <c:pt idx="470">
                  <c:v>28.609400000000118</c:v>
                </c:pt>
                <c:pt idx="471">
                  <c:v>28.609500000000118</c:v>
                </c:pt>
                <c:pt idx="472">
                  <c:v>28.609600000000118</c:v>
                </c:pt>
                <c:pt idx="473">
                  <c:v>28.609700000000117</c:v>
                </c:pt>
                <c:pt idx="474">
                  <c:v>28.609800000000117</c:v>
                </c:pt>
                <c:pt idx="475">
                  <c:v>28.609900000000117</c:v>
                </c:pt>
                <c:pt idx="476">
                  <c:v>28.610000000000117</c:v>
                </c:pt>
                <c:pt idx="477">
                  <c:v>28.610100000000116</c:v>
                </c:pt>
                <c:pt idx="478">
                  <c:v>28.610200000000116</c:v>
                </c:pt>
                <c:pt idx="479">
                  <c:v>28.610300000000116</c:v>
                </c:pt>
                <c:pt idx="480">
                  <c:v>28.610400000000116</c:v>
                </c:pt>
                <c:pt idx="481">
                  <c:v>28.610500000000116</c:v>
                </c:pt>
                <c:pt idx="482">
                  <c:v>28.610600000000115</c:v>
                </c:pt>
                <c:pt idx="483">
                  <c:v>28.610700000000115</c:v>
                </c:pt>
                <c:pt idx="484">
                  <c:v>28.610800000000115</c:v>
                </c:pt>
                <c:pt idx="485">
                  <c:v>28.610900000000115</c:v>
                </c:pt>
                <c:pt idx="486">
                  <c:v>28.611000000000114</c:v>
                </c:pt>
                <c:pt idx="487">
                  <c:v>28.611100000000114</c:v>
                </c:pt>
                <c:pt idx="488">
                  <c:v>28.611200000000114</c:v>
                </c:pt>
                <c:pt idx="489">
                  <c:v>28.611300000000114</c:v>
                </c:pt>
                <c:pt idx="490">
                  <c:v>28.611400000000113</c:v>
                </c:pt>
                <c:pt idx="491">
                  <c:v>28.611500000000113</c:v>
                </c:pt>
                <c:pt idx="492">
                  <c:v>28.611600000000113</c:v>
                </c:pt>
                <c:pt idx="493">
                  <c:v>28.611700000000113</c:v>
                </c:pt>
                <c:pt idx="494">
                  <c:v>28.611800000000112</c:v>
                </c:pt>
                <c:pt idx="495">
                  <c:v>28.611900000000112</c:v>
                </c:pt>
                <c:pt idx="496">
                  <c:v>28.612000000000112</c:v>
                </c:pt>
                <c:pt idx="497">
                  <c:v>28.612100000000112</c:v>
                </c:pt>
                <c:pt idx="498">
                  <c:v>28.612200000000112</c:v>
                </c:pt>
                <c:pt idx="499">
                  <c:v>28.612300000000111</c:v>
                </c:pt>
                <c:pt idx="500">
                  <c:v>28.612400000000111</c:v>
                </c:pt>
                <c:pt idx="501">
                  <c:v>28.612500000000111</c:v>
                </c:pt>
                <c:pt idx="502">
                  <c:v>28.612600000000111</c:v>
                </c:pt>
                <c:pt idx="503">
                  <c:v>28.61270000000011</c:v>
                </c:pt>
                <c:pt idx="504">
                  <c:v>28.61280000000011</c:v>
                </c:pt>
                <c:pt idx="505">
                  <c:v>28.61290000000011</c:v>
                </c:pt>
                <c:pt idx="506">
                  <c:v>28.61300000000011</c:v>
                </c:pt>
                <c:pt idx="507">
                  <c:v>28.613100000000109</c:v>
                </c:pt>
                <c:pt idx="508">
                  <c:v>28.613200000000109</c:v>
                </c:pt>
                <c:pt idx="509">
                  <c:v>28.613300000000109</c:v>
                </c:pt>
                <c:pt idx="510">
                  <c:v>28.613400000000109</c:v>
                </c:pt>
                <c:pt idx="511">
                  <c:v>28.613500000000109</c:v>
                </c:pt>
                <c:pt idx="512">
                  <c:v>28.613600000000108</c:v>
                </c:pt>
                <c:pt idx="513">
                  <c:v>28.613700000000108</c:v>
                </c:pt>
                <c:pt idx="514">
                  <c:v>28.613800000000108</c:v>
                </c:pt>
                <c:pt idx="515">
                  <c:v>28.613900000000108</c:v>
                </c:pt>
                <c:pt idx="516">
                  <c:v>28.614000000000107</c:v>
                </c:pt>
                <c:pt idx="517">
                  <c:v>28.614100000000107</c:v>
                </c:pt>
                <c:pt idx="518">
                  <c:v>28.614200000000107</c:v>
                </c:pt>
                <c:pt idx="519">
                  <c:v>28.614300000000107</c:v>
                </c:pt>
                <c:pt idx="520">
                  <c:v>28.614400000000106</c:v>
                </c:pt>
                <c:pt idx="521">
                  <c:v>28.614500000000106</c:v>
                </c:pt>
                <c:pt idx="522">
                  <c:v>28.614600000000106</c:v>
                </c:pt>
                <c:pt idx="523">
                  <c:v>28.614700000000106</c:v>
                </c:pt>
                <c:pt idx="524">
                  <c:v>28.614800000000105</c:v>
                </c:pt>
                <c:pt idx="525">
                  <c:v>28.614900000000105</c:v>
                </c:pt>
                <c:pt idx="526">
                  <c:v>28.615000000000105</c:v>
                </c:pt>
                <c:pt idx="527">
                  <c:v>28.615100000000105</c:v>
                </c:pt>
                <c:pt idx="528">
                  <c:v>28.615200000000105</c:v>
                </c:pt>
                <c:pt idx="529">
                  <c:v>28.615300000000104</c:v>
                </c:pt>
                <c:pt idx="530">
                  <c:v>28.615400000000104</c:v>
                </c:pt>
                <c:pt idx="531">
                  <c:v>28.615500000000104</c:v>
                </c:pt>
                <c:pt idx="532">
                  <c:v>28.615600000000104</c:v>
                </c:pt>
                <c:pt idx="533">
                  <c:v>28.615700000000103</c:v>
                </c:pt>
                <c:pt idx="534">
                  <c:v>28.615800000000103</c:v>
                </c:pt>
                <c:pt idx="535">
                  <c:v>28.615900000000103</c:v>
                </c:pt>
                <c:pt idx="536">
                  <c:v>28.616000000000103</c:v>
                </c:pt>
                <c:pt idx="537">
                  <c:v>28.616100000000102</c:v>
                </c:pt>
                <c:pt idx="538">
                  <c:v>28.616200000000102</c:v>
                </c:pt>
                <c:pt idx="539">
                  <c:v>28.616300000000102</c:v>
                </c:pt>
                <c:pt idx="540">
                  <c:v>28.616400000000102</c:v>
                </c:pt>
                <c:pt idx="541">
                  <c:v>28.616500000000102</c:v>
                </c:pt>
                <c:pt idx="542">
                  <c:v>28.616600000000101</c:v>
                </c:pt>
                <c:pt idx="543">
                  <c:v>28.616700000000101</c:v>
                </c:pt>
                <c:pt idx="544">
                  <c:v>28.616800000000101</c:v>
                </c:pt>
                <c:pt idx="545">
                  <c:v>28.616900000000101</c:v>
                </c:pt>
                <c:pt idx="546">
                  <c:v>28.6170000000001</c:v>
                </c:pt>
                <c:pt idx="547">
                  <c:v>28.6171000000001</c:v>
                </c:pt>
                <c:pt idx="548">
                  <c:v>28.6172000000001</c:v>
                </c:pt>
                <c:pt idx="549">
                  <c:v>28.6173000000001</c:v>
                </c:pt>
                <c:pt idx="550">
                  <c:v>28.617400000000099</c:v>
                </c:pt>
                <c:pt idx="551">
                  <c:v>28.617500000000099</c:v>
                </c:pt>
                <c:pt idx="552">
                  <c:v>28.617600000000099</c:v>
                </c:pt>
                <c:pt idx="553">
                  <c:v>28.617700000000099</c:v>
                </c:pt>
                <c:pt idx="554">
                  <c:v>28.617800000000098</c:v>
                </c:pt>
                <c:pt idx="555">
                  <c:v>28.617900000000098</c:v>
                </c:pt>
                <c:pt idx="556">
                  <c:v>28.618000000000098</c:v>
                </c:pt>
                <c:pt idx="557">
                  <c:v>28.618100000000098</c:v>
                </c:pt>
                <c:pt idx="558">
                  <c:v>28.618200000000098</c:v>
                </c:pt>
                <c:pt idx="559">
                  <c:v>28.618300000000097</c:v>
                </c:pt>
                <c:pt idx="560">
                  <c:v>28.618400000000097</c:v>
                </c:pt>
                <c:pt idx="561">
                  <c:v>28.618500000000097</c:v>
                </c:pt>
                <c:pt idx="562">
                  <c:v>28.618600000000097</c:v>
                </c:pt>
                <c:pt idx="563">
                  <c:v>28.618700000000096</c:v>
                </c:pt>
                <c:pt idx="564">
                  <c:v>28.618800000000096</c:v>
                </c:pt>
                <c:pt idx="565">
                  <c:v>28.618900000000096</c:v>
                </c:pt>
                <c:pt idx="566">
                  <c:v>28.619000000000096</c:v>
                </c:pt>
                <c:pt idx="567">
                  <c:v>28.619100000000095</c:v>
                </c:pt>
                <c:pt idx="568">
                  <c:v>28.619200000000095</c:v>
                </c:pt>
                <c:pt idx="569">
                  <c:v>28.619300000000095</c:v>
                </c:pt>
                <c:pt idx="570">
                  <c:v>28.619400000000095</c:v>
                </c:pt>
                <c:pt idx="571">
                  <c:v>28.619500000000095</c:v>
                </c:pt>
                <c:pt idx="572">
                  <c:v>28.619600000000094</c:v>
                </c:pt>
                <c:pt idx="573">
                  <c:v>28.619700000000094</c:v>
                </c:pt>
                <c:pt idx="574">
                  <c:v>28.619800000000094</c:v>
                </c:pt>
                <c:pt idx="575">
                  <c:v>28.619900000000094</c:v>
                </c:pt>
                <c:pt idx="576">
                  <c:v>28.620000000000093</c:v>
                </c:pt>
                <c:pt idx="577">
                  <c:v>28.620100000000093</c:v>
                </c:pt>
                <c:pt idx="578">
                  <c:v>28.620200000000093</c:v>
                </c:pt>
                <c:pt idx="579">
                  <c:v>28.620300000000093</c:v>
                </c:pt>
                <c:pt idx="580">
                  <c:v>28.620400000000092</c:v>
                </c:pt>
                <c:pt idx="581">
                  <c:v>28.620500000000092</c:v>
                </c:pt>
                <c:pt idx="582">
                  <c:v>28.620600000000092</c:v>
                </c:pt>
                <c:pt idx="583">
                  <c:v>28.620700000000092</c:v>
                </c:pt>
                <c:pt idx="584">
                  <c:v>28.620800000000092</c:v>
                </c:pt>
                <c:pt idx="585">
                  <c:v>28.620900000000091</c:v>
                </c:pt>
                <c:pt idx="586">
                  <c:v>28.621000000000091</c:v>
                </c:pt>
                <c:pt idx="587">
                  <c:v>28.621100000000091</c:v>
                </c:pt>
                <c:pt idx="588">
                  <c:v>28.621200000000091</c:v>
                </c:pt>
                <c:pt idx="589">
                  <c:v>28.62130000000009</c:v>
                </c:pt>
                <c:pt idx="590">
                  <c:v>28.62140000000009</c:v>
                </c:pt>
                <c:pt idx="591">
                  <c:v>28.62150000000009</c:v>
                </c:pt>
                <c:pt idx="592">
                  <c:v>28.62160000000009</c:v>
                </c:pt>
                <c:pt idx="593">
                  <c:v>28.621700000000089</c:v>
                </c:pt>
                <c:pt idx="594">
                  <c:v>28.621800000000089</c:v>
                </c:pt>
                <c:pt idx="595">
                  <c:v>28.621900000000089</c:v>
                </c:pt>
                <c:pt idx="596">
                  <c:v>28.622000000000089</c:v>
                </c:pt>
                <c:pt idx="597">
                  <c:v>28.622100000000088</c:v>
                </c:pt>
                <c:pt idx="598">
                  <c:v>28.622200000000088</c:v>
                </c:pt>
                <c:pt idx="599">
                  <c:v>28.622300000000088</c:v>
                </c:pt>
                <c:pt idx="600">
                  <c:v>28.622400000000088</c:v>
                </c:pt>
                <c:pt idx="601">
                  <c:v>28.622500000000088</c:v>
                </c:pt>
                <c:pt idx="602">
                  <c:v>28.622600000000087</c:v>
                </c:pt>
                <c:pt idx="603">
                  <c:v>28.622700000000087</c:v>
                </c:pt>
                <c:pt idx="604">
                  <c:v>28.622800000000087</c:v>
                </c:pt>
                <c:pt idx="605">
                  <c:v>28.622900000000087</c:v>
                </c:pt>
                <c:pt idx="606">
                  <c:v>28.623000000000086</c:v>
                </c:pt>
                <c:pt idx="607">
                  <c:v>28.623100000000086</c:v>
                </c:pt>
                <c:pt idx="608">
                  <c:v>28.623200000000086</c:v>
                </c:pt>
                <c:pt idx="609">
                  <c:v>28.623300000000086</c:v>
                </c:pt>
                <c:pt idx="610">
                  <c:v>28.623400000000085</c:v>
                </c:pt>
                <c:pt idx="611">
                  <c:v>28.623500000000085</c:v>
                </c:pt>
                <c:pt idx="612">
                  <c:v>28.623600000000085</c:v>
                </c:pt>
                <c:pt idx="613">
                  <c:v>28.623700000000085</c:v>
                </c:pt>
                <c:pt idx="614">
                  <c:v>28.623800000000085</c:v>
                </c:pt>
                <c:pt idx="615">
                  <c:v>28.623900000000084</c:v>
                </c:pt>
                <c:pt idx="616">
                  <c:v>28.624000000000084</c:v>
                </c:pt>
                <c:pt idx="617">
                  <c:v>28.624100000000084</c:v>
                </c:pt>
                <c:pt idx="618">
                  <c:v>28.624200000000084</c:v>
                </c:pt>
                <c:pt idx="619">
                  <c:v>28.624300000000083</c:v>
                </c:pt>
                <c:pt idx="620">
                  <c:v>28.624400000000083</c:v>
                </c:pt>
                <c:pt idx="621">
                  <c:v>28.624500000000083</c:v>
                </c:pt>
                <c:pt idx="622">
                  <c:v>28.624600000000083</c:v>
                </c:pt>
                <c:pt idx="623">
                  <c:v>28.624700000000082</c:v>
                </c:pt>
                <c:pt idx="624">
                  <c:v>28.624800000000082</c:v>
                </c:pt>
                <c:pt idx="625">
                  <c:v>28.624900000000082</c:v>
                </c:pt>
                <c:pt idx="626">
                  <c:v>28.625000000000082</c:v>
                </c:pt>
                <c:pt idx="627">
                  <c:v>28.625100000000081</c:v>
                </c:pt>
                <c:pt idx="628">
                  <c:v>28.625200000000081</c:v>
                </c:pt>
                <c:pt idx="629">
                  <c:v>28.625300000000081</c:v>
                </c:pt>
                <c:pt idx="630">
                  <c:v>28.625400000000081</c:v>
                </c:pt>
                <c:pt idx="631">
                  <c:v>28.625500000000081</c:v>
                </c:pt>
                <c:pt idx="632">
                  <c:v>28.62560000000008</c:v>
                </c:pt>
                <c:pt idx="633">
                  <c:v>28.62570000000008</c:v>
                </c:pt>
                <c:pt idx="634">
                  <c:v>28.62580000000008</c:v>
                </c:pt>
                <c:pt idx="635">
                  <c:v>28.62590000000008</c:v>
                </c:pt>
                <c:pt idx="636">
                  <c:v>28.626000000000079</c:v>
                </c:pt>
                <c:pt idx="637">
                  <c:v>28.626100000000079</c:v>
                </c:pt>
                <c:pt idx="638">
                  <c:v>28.626200000000079</c:v>
                </c:pt>
                <c:pt idx="639">
                  <c:v>28.626300000000079</c:v>
                </c:pt>
                <c:pt idx="640">
                  <c:v>28.626400000000078</c:v>
                </c:pt>
                <c:pt idx="641">
                  <c:v>28.626500000000078</c:v>
                </c:pt>
                <c:pt idx="642">
                  <c:v>28.626600000000078</c:v>
                </c:pt>
                <c:pt idx="643">
                  <c:v>28.626700000000078</c:v>
                </c:pt>
                <c:pt idx="644">
                  <c:v>28.626800000000078</c:v>
                </c:pt>
                <c:pt idx="645">
                  <c:v>28.626900000000077</c:v>
                </c:pt>
                <c:pt idx="646">
                  <c:v>28.627000000000077</c:v>
                </c:pt>
                <c:pt idx="647">
                  <c:v>28.627100000000077</c:v>
                </c:pt>
                <c:pt idx="648">
                  <c:v>28.627200000000077</c:v>
                </c:pt>
                <c:pt idx="649">
                  <c:v>28.627300000000076</c:v>
                </c:pt>
                <c:pt idx="650">
                  <c:v>28.627400000000076</c:v>
                </c:pt>
                <c:pt idx="651">
                  <c:v>28.627500000000076</c:v>
                </c:pt>
                <c:pt idx="652">
                  <c:v>28.627600000000076</c:v>
                </c:pt>
                <c:pt idx="653">
                  <c:v>28.627700000000075</c:v>
                </c:pt>
                <c:pt idx="654">
                  <c:v>28.627800000000075</c:v>
                </c:pt>
                <c:pt idx="655">
                  <c:v>28.627900000000075</c:v>
                </c:pt>
                <c:pt idx="656">
                  <c:v>28.628000000000075</c:v>
                </c:pt>
                <c:pt idx="657">
                  <c:v>28.628100000000074</c:v>
                </c:pt>
                <c:pt idx="658">
                  <c:v>28.628200000000074</c:v>
                </c:pt>
                <c:pt idx="659">
                  <c:v>28.628300000000074</c:v>
                </c:pt>
                <c:pt idx="660">
                  <c:v>28.628400000000074</c:v>
                </c:pt>
                <c:pt idx="661">
                  <c:v>28.628500000000074</c:v>
                </c:pt>
                <c:pt idx="662">
                  <c:v>28.628600000000073</c:v>
                </c:pt>
                <c:pt idx="663">
                  <c:v>28.628700000000073</c:v>
                </c:pt>
                <c:pt idx="664">
                  <c:v>28.628800000000073</c:v>
                </c:pt>
                <c:pt idx="665">
                  <c:v>28.628900000000073</c:v>
                </c:pt>
                <c:pt idx="666">
                  <c:v>28.629000000000072</c:v>
                </c:pt>
                <c:pt idx="667">
                  <c:v>28.629100000000072</c:v>
                </c:pt>
                <c:pt idx="668">
                  <c:v>28.629200000000072</c:v>
                </c:pt>
                <c:pt idx="669">
                  <c:v>28.629300000000072</c:v>
                </c:pt>
                <c:pt idx="670">
                  <c:v>28.629400000000071</c:v>
                </c:pt>
                <c:pt idx="671">
                  <c:v>28.629500000000071</c:v>
                </c:pt>
                <c:pt idx="672">
                  <c:v>28.629600000000071</c:v>
                </c:pt>
                <c:pt idx="673">
                  <c:v>28.629700000000071</c:v>
                </c:pt>
                <c:pt idx="674">
                  <c:v>28.629800000000071</c:v>
                </c:pt>
                <c:pt idx="675">
                  <c:v>28.62990000000007</c:v>
                </c:pt>
                <c:pt idx="676">
                  <c:v>28.63000000000007</c:v>
                </c:pt>
                <c:pt idx="677">
                  <c:v>28.63010000000007</c:v>
                </c:pt>
                <c:pt idx="678">
                  <c:v>28.63020000000007</c:v>
                </c:pt>
                <c:pt idx="679">
                  <c:v>28.630300000000069</c:v>
                </c:pt>
                <c:pt idx="680">
                  <c:v>28.630400000000069</c:v>
                </c:pt>
                <c:pt idx="681">
                  <c:v>28.630500000000069</c:v>
                </c:pt>
                <c:pt idx="682">
                  <c:v>28.630600000000069</c:v>
                </c:pt>
                <c:pt idx="683">
                  <c:v>28.630700000000068</c:v>
                </c:pt>
                <c:pt idx="684">
                  <c:v>28.630800000000068</c:v>
                </c:pt>
                <c:pt idx="685">
                  <c:v>28.630900000000068</c:v>
                </c:pt>
                <c:pt idx="686">
                  <c:v>28.631000000000068</c:v>
                </c:pt>
                <c:pt idx="687">
                  <c:v>28.631100000000067</c:v>
                </c:pt>
                <c:pt idx="688">
                  <c:v>28.631200000000067</c:v>
                </c:pt>
                <c:pt idx="689">
                  <c:v>28.631300000000067</c:v>
                </c:pt>
                <c:pt idx="690">
                  <c:v>28.631400000000067</c:v>
                </c:pt>
                <c:pt idx="691">
                  <c:v>28.631500000000067</c:v>
                </c:pt>
                <c:pt idx="692">
                  <c:v>28.631600000000066</c:v>
                </c:pt>
                <c:pt idx="693">
                  <c:v>28.631700000000066</c:v>
                </c:pt>
                <c:pt idx="694">
                  <c:v>28.631800000000066</c:v>
                </c:pt>
                <c:pt idx="695">
                  <c:v>28.631900000000066</c:v>
                </c:pt>
                <c:pt idx="696">
                  <c:v>28.632000000000065</c:v>
                </c:pt>
                <c:pt idx="697">
                  <c:v>28.632100000000065</c:v>
                </c:pt>
                <c:pt idx="698">
                  <c:v>28.632200000000065</c:v>
                </c:pt>
                <c:pt idx="699">
                  <c:v>28.632300000000065</c:v>
                </c:pt>
                <c:pt idx="700">
                  <c:v>28.632400000000064</c:v>
                </c:pt>
                <c:pt idx="701">
                  <c:v>28.632500000000064</c:v>
                </c:pt>
                <c:pt idx="702">
                  <c:v>28.632600000000064</c:v>
                </c:pt>
                <c:pt idx="703">
                  <c:v>28.632700000000064</c:v>
                </c:pt>
                <c:pt idx="704">
                  <c:v>28.632800000000064</c:v>
                </c:pt>
                <c:pt idx="705">
                  <c:v>28.632900000000063</c:v>
                </c:pt>
                <c:pt idx="706">
                  <c:v>28.633000000000063</c:v>
                </c:pt>
                <c:pt idx="707">
                  <c:v>28.633100000000063</c:v>
                </c:pt>
                <c:pt idx="708">
                  <c:v>28.633200000000063</c:v>
                </c:pt>
                <c:pt idx="709">
                  <c:v>28.633300000000062</c:v>
                </c:pt>
                <c:pt idx="710">
                  <c:v>28.633400000000062</c:v>
                </c:pt>
                <c:pt idx="711">
                  <c:v>28.633500000000062</c:v>
                </c:pt>
                <c:pt idx="712">
                  <c:v>28.633600000000062</c:v>
                </c:pt>
                <c:pt idx="713">
                  <c:v>28.633700000000061</c:v>
                </c:pt>
                <c:pt idx="714">
                  <c:v>28.633800000000061</c:v>
                </c:pt>
                <c:pt idx="715">
                  <c:v>28.633900000000061</c:v>
                </c:pt>
                <c:pt idx="716">
                  <c:v>28.634000000000061</c:v>
                </c:pt>
                <c:pt idx="717">
                  <c:v>28.634100000000061</c:v>
                </c:pt>
                <c:pt idx="718">
                  <c:v>28.63420000000006</c:v>
                </c:pt>
                <c:pt idx="719">
                  <c:v>28.63430000000006</c:v>
                </c:pt>
                <c:pt idx="720">
                  <c:v>28.63440000000006</c:v>
                </c:pt>
                <c:pt idx="721">
                  <c:v>28.63450000000006</c:v>
                </c:pt>
                <c:pt idx="722">
                  <c:v>28.634600000000059</c:v>
                </c:pt>
                <c:pt idx="723">
                  <c:v>28.634700000000059</c:v>
                </c:pt>
                <c:pt idx="724">
                  <c:v>28.634800000000059</c:v>
                </c:pt>
                <c:pt idx="725">
                  <c:v>28.634900000000059</c:v>
                </c:pt>
                <c:pt idx="726">
                  <c:v>28.635000000000058</c:v>
                </c:pt>
                <c:pt idx="727">
                  <c:v>28.635100000000058</c:v>
                </c:pt>
                <c:pt idx="728">
                  <c:v>28.635200000000058</c:v>
                </c:pt>
                <c:pt idx="729">
                  <c:v>28.635300000000058</c:v>
                </c:pt>
                <c:pt idx="730">
                  <c:v>28.635400000000057</c:v>
                </c:pt>
                <c:pt idx="731">
                  <c:v>28.635500000000057</c:v>
                </c:pt>
                <c:pt idx="732">
                  <c:v>28.635600000000057</c:v>
                </c:pt>
                <c:pt idx="733">
                  <c:v>28.635700000000057</c:v>
                </c:pt>
                <c:pt idx="734">
                  <c:v>28.635800000000057</c:v>
                </c:pt>
                <c:pt idx="735">
                  <c:v>28.635900000000056</c:v>
                </c:pt>
                <c:pt idx="736">
                  <c:v>28.636000000000056</c:v>
                </c:pt>
                <c:pt idx="737">
                  <c:v>28.636100000000056</c:v>
                </c:pt>
                <c:pt idx="738">
                  <c:v>28.636200000000056</c:v>
                </c:pt>
                <c:pt idx="739">
                  <c:v>28.636300000000055</c:v>
                </c:pt>
                <c:pt idx="740">
                  <c:v>28.636400000000055</c:v>
                </c:pt>
                <c:pt idx="741">
                  <c:v>28.636500000000055</c:v>
                </c:pt>
                <c:pt idx="742">
                  <c:v>28.636600000000055</c:v>
                </c:pt>
                <c:pt idx="743">
                  <c:v>28.636700000000054</c:v>
                </c:pt>
                <c:pt idx="744">
                  <c:v>28.636800000000054</c:v>
                </c:pt>
                <c:pt idx="745">
                  <c:v>28.636900000000054</c:v>
                </c:pt>
                <c:pt idx="746">
                  <c:v>28.637000000000054</c:v>
                </c:pt>
                <c:pt idx="747">
                  <c:v>28.637100000000054</c:v>
                </c:pt>
                <c:pt idx="748">
                  <c:v>28.637200000000053</c:v>
                </c:pt>
                <c:pt idx="749">
                  <c:v>28.637300000000053</c:v>
                </c:pt>
                <c:pt idx="750">
                  <c:v>28.637400000000053</c:v>
                </c:pt>
                <c:pt idx="751">
                  <c:v>28.637500000000053</c:v>
                </c:pt>
                <c:pt idx="752">
                  <c:v>28.637600000000052</c:v>
                </c:pt>
                <c:pt idx="753">
                  <c:v>28.637700000000052</c:v>
                </c:pt>
                <c:pt idx="754">
                  <c:v>28.637800000000052</c:v>
                </c:pt>
                <c:pt idx="755">
                  <c:v>28.637900000000052</c:v>
                </c:pt>
                <c:pt idx="756">
                  <c:v>28.638000000000051</c:v>
                </c:pt>
                <c:pt idx="757">
                  <c:v>28.638100000000051</c:v>
                </c:pt>
                <c:pt idx="758">
                  <c:v>28.638200000000051</c:v>
                </c:pt>
                <c:pt idx="759">
                  <c:v>28.638300000000051</c:v>
                </c:pt>
                <c:pt idx="760">
                  <c:v>28.63840000000005</c:v>
                </c:pt>
                <c:pt idx="761">
                  <c:v>28.63850000000005</c:v>
                </c:pt>
                <c:pt idx="762">
                  <c:v>28.63860000000005</c:v>
                </c:pt>
                <c:pt idx="763">
                  <c:v>28.63870000000005</c:v>
                </c:pt>
                <c:pt idx="764">
                  <c:v>28.63880000000005</c:v>
                </c:pt>
                <c:pt idx="765">
                  <c:v>28.638900000000049</c:v>
                </c:pt>
                <c:pt idx="766">
                  <c:v>28.639000000000049</c:v>
                </c:pt>
                <c:pt idx="767">
                  <c:v>28.639100000000049</c:v>
                </c:pt>
                <c:pt idx="768">
                  <c:v>28.639200000000049</c:v>
                </c:pt>
                <c:pt idx="769">
                  <c:v>28.639300000000048</c:v>
                </c:pt>
                <c:pt idx="770">
                  <c:v>28.639400000000048</c:v>
                </c:pt>
                <c:pt idx="771">
                  <c:v>28.639500000000048</c:v>
                </c:pt>
                <c:pt idx="772">
                  <c:v>28.639600000000048</c:v>
                </c:pt>
                <c:pt idx="773">
                  <c:v>28.639700000000047</c:v>
                </c:pt>
                <c:pt idx="774">
                  <c:v>28.639800000000047</c:v>
                </c:pt>
                <c:pt idx="775">
                  <c:v>28.639900000000047</c:v>
                </c:pt>
                <c:pt idx="776">
                  <c:v>28.640000000000047</c:v>
                </c:pt>
                <c:pt idx="777">
                  <c:v>28.640100000000047</c:v>
                </c:pt>
                <c:pt idx="778">
                  <c:v>28.640200000000046</c:v>
                </c:pt>
                <c:pt idx="779">
                  <c:v>28.640300000000046</c:v>
                </c:pt>
                <c:pt idx="780">
                  <c:v>28.640400000000046</c:v>
                </c:pt>
                <c:pt idx="781">
                  <c:v>28.640500000000046</c:v>
                </c:pt>
                <c:pt idx="782">
                  <c:v>28.640600000000045</c:v>
                </c:pt>
                <c:pt idx="783">
                  <c:v>28.640700000000045</c:v>
                </c:pt>
                <c:pt idx="784">
                  <c:v>28.640800000000045</c:v>
                </c:pt>
                <c:pt idx="785">
                  <c:v>28.640900000000045</c:v>
                </c:pt>
                <c:pt idx="786">
                  <c:v>28.641000000000044</c:v>
                </c:pt>
                <c:pt idx="787">
                  <c:v>28.641100000000044</c:v>
                </c:pt>
                <c:pt idx="788">
                  <c:v>28.641200000000044</c:v>
                </c:pt>
                <c:pt idx="789">
                  <c:v>28.641300000000044</c:v>
                </c:pt>
                <c:pt idx="790">
                  <c:v>28.641400000000043</c:v>
                </c:pt>
                <c:pt idx="791">
                  <c:v>28.641500000000043</c:v>
                </c:pt>
                <c:pt idx="792">
                  <c:v>28.641600000000043</c:v>
                </c:pt>
                <c:pt idx="793">
                  <c:v>28.641700000000043</c:v>
                </c:pt>
                <c:pt idx="794">
                  <c:v>28.641800000000043</c:v>
                </c:pt>
                <c:pt idx="795">
                  <c:v>28.641900000000042</c:v>
                </c:pt>
                <c:pt idx="796">
                  <c:v>28.642000000000042</c:v>
                </c:pt>
                <c:pt idx="797">
                  <c:v>28.642100000000042</c:v>
                </c:pt>
                <c:pt idx="798">
                  <c:v>28.642200000000042</c:v>
                </c:pt>
                <c:pt idx="799">
                  <c:v>28.642300000000041</c:v>
                </c:pt>
                <c:pt idx="800">
                  <c:v>28.642400000000041</c:v>
                </c:pt>
                <c:pt idx="801">
                  <c:v>28.642500000000041</c:v>
                </c:pt>
                <c:pt idx="802">
                  <c:v>28.642600000000041</c:v>
                </c:pt>
                <c:pt idx="803">
                  <c:v>28.64270000000004</c:v>
                </c:pt>
                <c:pt idx="804">
                  <c:v>28.64280000000004</c:v>
                </c:pt>
                <c:pt idx="805">
                  <c:v>28.64290000000004</c:v>
                </c:pt>
                <c:pt idx="806">
                  <c:v>28.64300000000004</c:v>
                </c:pt>
                <c:pt idx="807">
                  <c:v>28.64310000000004</c:v>
                </c:pt>
                <c:pt idx="808">
                  <c:v>28.643200000000039</c:v>
                </c:pt>
                <c:pt idx="809">
                  <c:v>28.643300000000039</c:v>
                </c:pt>
                <c:pt idx="810">
                  <c:v>28.643400000000039</c:v>
                </c:pt>
                <c:pt idx="811">
                  <c:v>28.643500000000039</c:v>
                </c:pt>
                <c:pt idx="812">
                  <c:v>28.643600000000038</c:v>
                </c:pt>
                <c:pt idx="813">
                  <c:v>28.643700000000038</c:v>
                </c:pt>
                <c:pt idx="814">
                  <c:v>28.643800000000038</c:v>
                </c:pt>
                <c:pt idx="815">
                  <c:v>28.643900000000038</c:v>
                </c:pt>
                <c:pt idx="816">
                  <c:v>28.644000000000037</c:v>
                </c:pt>
                <c:pt idx="817">
                  <c:v>28.644100000000037</c:v>
                </c:pt>
                <c:pt idx="818">
                  <c:v>28.644200000000037</c:v>
                </c:pt>
                <c:pt idx="819">
                  <c:v>28.644300000000037</c:v>
                </c:pt>
                <c:pt idx="820">
                  <c:v>28.644400000000036</c:v>
                </c:pt>
                <c:pt idx="821">
                  <c:v>28.644500000000036</c:v>
                </c:pt>
                <c:pt idx="822">
                  <c:v>28.644600000000036</c:v>
                </c:pt>
                <c:pt idx="823">
                  <c:v>28.644700000000036</c:v>
                </c:pt>
                <c:pt idx="824">
                  <c:v>28.644800000000036</c:v>
                </c:pt>
                <c:pt idx="825">
                  <c:v>28.644900000000035</c:v>
                </c:pt>
                <c:pt idx="826">
                  <c:v>28.645000000000035</c:v>
                </c:pt>
                <c:pt idx="827">
                  <c:v>28.645100000000035</c:v>
                </c:pt>
                <c:pt idx="828">
                  <c:v>28.645200000000035</c:v>
                </c:pt>
                <c:pt idx="829">
                  <c:v>28.645300000000034</c:v>
                </c:pt>
                <c:pt idx="830">
                  <c:v>28.645400000000034</c:v>
                </c:pt>
                <c:pt idx="831">
                  <c:v>28.645500000000034</c:v>
                </c:pt>
                <c:pt idx="832">
                  <c:v>28.645600000000034</c:v>
                </c:pt>
                <c:pt idx="833">
                  <c:v>28.645700000000033</c:v>
                </c:pt>
                <c:pt idx="834">
                  <c:v>28.645800000000033</c:v>
                </c:pt>
                <c:pt idx="835">
                  <c:v>28.645900000000033</c:v>
                </c:pt>
                <c:pt idx="836">
                  <c:v>28.646000000000033</c:v>
                </c:pt>
                <c:pt idx="837">
                  <c:v>28.646100000000033</c:v>
                </c:pt>
                <c:pt idx="838">
                  <c:v>28.646200000000032</c:v>
                </c:pt>
                <c:pt idx="839">
                  <c:v>28.646300000000032</c:v>
                </c:pt>
                <c:pt idx="840">
                  <c:v>28.646400000000032</c:v>
                </c:pt>
                <c:pt idx="841">
                  <c:v>28.646500000000032</c:v>
                </c:pt>
                <c:pt idx="842">
                  <c:v>28.646600000000031</c:v>
                </c:pt>
                <c:pt idx="843">
                  <c:v>28.646700000000031</c:v>
                </c:pt>
                <c:pt idx="844">
                  <c:v>28.646800000000031</c:v>
                </c:pt>
                <c:pt idx="845">
                  <c:v>28.646900000000031</c:v>
                </c:pt>
                <c:pt idx="846">
                  <c:v>28.64700000000003</c:v>
                </c:pt>
                <c:pt idx="847">
                  <c:v>28.64710000000003</c:v>
                </c:pt>
                <c:pt idx="848">
                  <c:v>28.64720000000003</c:v>
                </c:pt>
                <c:pt idx="849">
                  <c:v>28.64730000000003</c:v>
                </c:pt>
                <c:pt idx="850">
                  <c:v>28.64740000000003</c:v>
                </c:pt>
                <c:pt idx="851">
                  <c:v>28.647500000000029</c:v>
                </c:pt>
                <c:pt idx="852">
                  <c:v>28.647600000000029</c:v>
                </c:pt>
                <c:pt idx="853">
                  <c:v>28.647700000000029</c:v>
                </c:pt>
                <c:pt idx="854">
                  <c:v>28.647800000000029</c:v>
                </c:pt>
                <c:pt idx="855">
                  <c:v>28.647900000000028</c:v>
                </c:pt>
                <c:pt idx="856">
                  <c:v>28.648000000000028</c:v>
                </c:pt>
                <c:pt idx="857">
                  <c:v>28.648100000000028</c:v>
                </c:pt>
                <c:pt idx="858">
                  <c:v>28.648200000000028</c:v>
                </c:pt>
                <c:pt idx="859">
                  <c:v>28.648300000000027</c:v>
                </c:pt>
                <c:pt idx="860">
                  <c:v>28.648400000000027</c:v>
                </c:pt>
                <c:pt idx="861">
                  <c:v>28.648500000000027</c:v>
                </c:pt>
                <c:pt idx="862">
                  <c:v>28.648600000000027</c:v>
                </c:pt>
                <c:pt idx="863">
                  <c:v>28.648700000000026</c:v>
                </c:pt>
                <c:pt idx="864">
                  <c:v>28.648800000000026</c:v>
                </c:pt>
                <c:pt idx="865">
                  <c:v>28.648900000000026</c:v>
                </c:pt>
                <c:pt idx="866">
                  <c:v>28.649000000000026</c:v>
                </c:pt>
                <c:pt idx="867">
                  <c:v>28.649100000000026</c:v>
                </c:pt>
                <c:pt idx="868">
                  <c:v>28.649200000000025</c:v>
                </c:pt>
                <c:pt idx="869">
                  <c:v>28.649300000000025</c:v>
                </c:pt>
                <c:pt idx="870">
                  <c:v>28.649400000000025</c:v>
                </c:pt>
                <c:pt idx="871">
                  <c:v>28.649500000000025</c:v>
                </c:pt>
                <c:pt idx="872">
                  <c:v>28.649600000000024</c:v>
                </c:pt>
                <c:pt idx="873">
                  <c:v>28.649700000000024</c:v>
                </c:pt>
                <c:pt idx="874">
                  <c:v>28.649800000000024</c:v>
                </c:pt>
                <c:pt idx="875">
                  <c:v>28.649900000000024</c:v>
                </c:pt>
                <c:pt idx="876">
                  <c:v>28.650000000000023</c:v>
                </c:pt>
                <c:pt idx="877">
                  <c:v>28.650100000000023</c:v>
                </c:pt>
                <c:pt idx="878">
                  <c:v>28.650200000000023</c:v>
                </c:pt>
                <c:pt idx="879">
                  <c:v>28.650300000000023</c:v>
                </c:pt>
                <c:pt idx="880">
                  <c:v>28.650400000000023</c:v>
                </c:pt>
                <c:pt idx="881">
                  <c:v>28.650500000000022</c:v>
                </c:pt>
                <c:pt idx="882">
                  <c:v>28.650600000000022</c:v>
                </c:pt>
                <c:pt idx="883">
                  <c:v>28.650700000000022</c:v>
                </c:pt>
                <c:pt idx="884">
                  <c:v>28.650800000000022</c:v>
                </c:pt>
                <c:pt idx="885">
                  <c:v>28.650900000000021</c:v>
                </c:pt>
                <c:pt idx="886">
                  <c:v>28.651000000000021</c:v>
                </c:pt>
                <c:pt idx="887">
                  <c:v>28.651100000000021</c:v>
                </c:pt>
                <c:pt idx="888">
                  <c:v>28.651200000000021</c:v>
                </c:pt>
                <c:pt idx="889">
                  <c:v>28.65130000000002</c:v>
                </c:pt>
                <c:pt idx="890">
                  <c:v>28.65140000000002</c:v>
                </c:pt>
                <c:pt idx="891">
                  <c:v>28.65150000000002</c:v>
                </c:pt>
                <c:pt idx="892">
                  <c:v>28.65160000000002</c:v>
                </c:pt>
                <c:pt idx="893">
                  <c:v>28.651700000000019</c:v>
                </c:pt>
                <c:pt idx="894">
                  <c:v>28.651800000000019</c:v>
                </c:pt>
                <c:pt idx="895">
                  <c:v>28.651900000000019</c:v>
                </c:pt>
                <c:pt idx="896">
                  <c:v>28.652000000000019</c:v>
                </c:pt>
                <c:pt idx="897">
                  <c:v>28.652100000000019</c:v>
                </c:pt>
                <c:pt idx="898">
                  <c:v>28.652200000000018</c:v>
                </c:pt>
                <c:pt idx="899">
                  <c:v>28.652300000000018</c:v>
                </c:pt>
                <c:pt idx="900">
                  <c:v>28.652400000000018</c:v>
                </c:pt>
                <c:pt idx="901">
                  <c:v>28.652500000000018</c:v>
                </c:pt>
                <c:pt idx="902">
                  <c:v>28.652600000000017</c:v>
                </c:pt>
                <c:pt idx="903">
                  <c:v>28.652700000000017</c:v>
                </c:pt>
                <c:pt idx="904">
                  <c:v>28.652800000000017</c:v>
                </c:pt>
                <c:pt idx="905">
                  <c:v>28.652900000000017</c:v>
                </c:pt>
                <c:pt idx="906">
                  <c:v>28.653000000000016</c:v>
                </c:pt>
                <c:pt idx="907">
                  <c:v>28.653100000000016</c:v>
                </c:pt>
                <c:pt idx="908">
                  <c:v>28.653200000000016</c:v>
                </c:pt>
                <c:pt idx="909">
                  <c:v>28.653300000000016</c:v>
                </c:pt>
                <c:pt idx="910">
                  <c:v>28.653400000000016</c:v>
                </c:pt>
                <c:pt idx="911">
                  <c:v>28.653500000000015</c:v>
                </c:pt>
                <c:pt idx="912">
                  <c:v>28.653600000000015</c:v>
                </c:pt>
                <c:pt idx="913">
                  <c:v>28.653700000000015</c:v>
                </c:pt>
                <c:pt idx="914">
                  <c:v>28.653800000000015</c:v>
                </c:pt>
                <c:pt idx="915">
                  <c:v>28.653900000000014</c:v>
                </c:pt>
                <c:pt idx="916">
                  <c:v>28.654000000000014</c:v>
                </c:pt>
                <c:pt idx="917">
                  <c:v>28.654100000000014</c:v>
                </c:pt>
                <c:pt idx="918">
                  <c:v>28.654200000000014</c:v>
                </c:pt>
                <c:pt idx="919">
                  <c:v>28.654300000000013</c:v>
                </c:pt>
                <c:pt idx="920">
                  <c:v>28.654400000000013</c:v>
                </c:pt>
                <c:pt idx="921">
                  <c:v>28.654500000000013</c:v>
                </c:pt>
                <c:pt idx="922">
                  <c:v>28.654600000000013</c:v>
                </c:pt>
                <c:pt idx="923">
                  <c:v>28.654700000000012</c:v>
                </c:pt>
                <c:pt idx="924">
                  <c:v>28.654800000000012</c:v>
                </c:pt>
                <c:pt idx="925">
                  <c:v>28.654900000000012</c:v>
                </c:pt>
                <c:pt idx="926">
                  <c:v>28.655000000000012</c:v>
                </c:pt>
                <c:pt idx="927">
                  <c:v>28.655100000000012</c:v>
                </c:pt>
                <c:pt idx="928">
                  <c:v>28.655200000000011</c:v>
                </c:pt>
                <c:pt idx="929">
                  <c:v>28.655300000000011</c:v>
                </c:pt>
                <c:pt idx="930">
                  <c:v>28.655400000000011</c:v>
                </c:pt>
                <c:pt idx="931">
                  <c:v>28.655500000000011</c:v>
                </c:pt>
                <c:pt idx="932">
                  <c:v>28.65560000000001</c:v>
                </c:pt>
                <c:pt idx="933">
                  <c:v>28.65570000000001</c:v>
                </c:pt>
                <c:pt idx="934">
                  <c:v>28.65580000000001</c:v>
                </c:pt>
                <c:pt idx="935">
                  <c:v>28.65590000000001</c:v>
                </c:pt>
                <c:pt idx="936">
                  <c:v>28.656000000000009</c:v>
                </c:pt>
                <c:pt idx="937">
                  <c:v>28.656100000000009</c:v>
                </c:pt>
                <c:pt idx="938">
                  <c:v>28.656200000000009</c:v>
                </c:pt>
                <c:pt idx="939">
                  <c:v>28.656300000000009</c:v>
                </c:pt>
                <c:pt idx="940">
                  <c:v>28.656400000000009</c:v>
                </c:pt>
                <c:pt idx="941">
                  <c:v>28.656500000000008</c:v>
                </c:pt>
                <c:pt idx="942">
                  <c:v>28.656600000000008</c:v>
                </c:pt>
                <c:pt idx="943">
                  <c:v>28.656700000000008</c:v>
                </c:pt>
                <c:pt idx="944">
                  <c:v>28.656800000000008</c:v>
                </c:pt>
                <c:pt idx="945">
                  <c:v>28.656900000000007</c:v>
                </c:pt>
                <c:pt idx="946">
                  <c:v>28.657000000000007</c:v>
                </c:pt>
                <c:pt idx="947">
                  <c:v>28.657100000000007</c:v>
                </c:pt>
                <c:pt idx="948">
                  <c:v>28.657200000000007</c:v>
                </c:pt>
                <c:pt idx="949">
                  <c:v>28.657300000000006</c:v>
                </c:pt>
                <c:pt idx="950">
                  <c:v>28.657400000000006</c:v>
                </c:pt>
                <c:pt idx="951">
                  <c:v>28.657500000000006</c:v>
                </c:pt>
                <c:pt idx="952">
                  <c:v>28.657600000000006</c:v>
                </c:pt>
                <c:pt idx="953">
                  <c:v>28.657700000000006</c:v>
                </c:pt>
                <c:pt idx="954">
                  <c:v>28.657800000000005</c:v>
                </c:pt>
                <c:pt idx="955">
                  <c:v>28.657900000000005</c:v>
                </c:pt>
                <c:pt idx="956">
                  <c:v>28.658000000000005</c:v>
                </c:pt>
                <c:pt idx="957">
                  <c:v>28.658100000000005</c:v>
                </c:pt>
                <c:pt idx="958">
                  <c:v>28.658200000000004</c:v>
                </c:pt>
                <c:pt idx="959">
                  <c:v>28.658300000000004</c:v>
                </c:pt>
                <c:pt idx="960">
                  <c:v>28.658400000000004</c:v>
                </c:pt>
                <c:pt idx="961">
                  <c:v>28.658500000000004</c:v>
                </c:pt>
                <c:pt idx="962">
                  <c:v>28.658600000000003</c:v>
                </c:pt>
                <c:pt idx="963">
                  <c:v>28.658700000000003</c:v>
                </c:pt>
                <c:pt idx="964">
                  <c:v>28.658800000000003</c:v>
                </c:pt>
                <c:pt idx="965">
                  <c:v>28.658900000000003</c:v>
                </c:pt>
                <c:pt idx="966">
                  <c:v>28.659000000000002</c:v>
                </c:pt>
                <c:pt idx="967">
                  <c:v>28.659100000000002</c:v>
                </c:pt>
                <c:pt idx="968">
                  <c:v>28.659200000000002</c:v>
                </c:pt>
                <c:pt idx="969">
                  <c:v>28.659300000000002</c:v>
                </c:pt>
                <c:pt idx="970">
                  <c:v>28.659400000000002</c:v>
                </c:pt>
                <c:pt idx="971">
                  <c:v>28.659500000000001</c:v>
                </c:pt>
                <c:pt idx="972">
                  <c:v>28.659600000000001</c:v>
                </c:pt>
                <c:pt idx="973">
                  <c:v>28.659700000000001</c:v>
                </c:pt>
                <c:pt idx="974">
                  <c:v>28.659800000000001</c:v>
                </c:pt>
                <c:pt idx="975">
                  <c:v>28.6599</c:v>
                </c:pt>
                <c:pt idx="976">
                  <c:v>28.66</c:v>
                </c:pt>
                <c:pt idx="977">
                  <c:v>28.6601</c:v>
                </c:pt>
                <c:pt idx="978">
                  <c:v>28.6602</c:v>
                </c:pt>
                <c:pt idx="979">
                  <c:v>28.660299999999999</c:v>
                </c:pt>
                <c:pt idx="980">
                  <c:v>28.660399999999999</c:v>
                </c:pt>
                <c:pt idx="981">
                  <c:v>28.660499999999999</c:v>
                </c:pt>
                <c:pt idx="982">
                  <c:v>28.660599999999999</c:v>
                </c:pt>
                <c:pt idx="983">
                  <c:v>28.660699999999999</c:v>
                </c:pt>
                <c:pt idx="984">
                  <c:v>28.660799999999998</c:v>
                </c:pt>
                <c:pt idx="985">
                  <c:v>28.660899999999998</c:v>
                </c:pt>
                <c:pt idx="986">
                  <c:v>28.660999999999998</c:v>
                </c:pt>
                <c:pt idx="987">
                  <c:v>28.661099999999998</c:v>
                </c:pt>
                <c:pt idx="988">
                  <c:v>28.661199999999997</c:v>
                </c:pt>
                <c:pt idx="989">
                  <c:v>28.661299999999997</c:v>
                </c:pt>
                <c:pt idx="990">
                  <c:v>28.661399999999997</c:v>
                </c:pt>
                <c:pt idx="991">
                  <c:v>28.661499999999997</c:v>
                </c:pt>
                <c:pt idx="992">
                  <c:v>28.661599999999996</c:v>
                </c:pt>
                <c:pt idx="993">
                  <c:v>28.661699999999996</c:v>
                </c:pt>
                <c:pt idx="994">
                  <c:v>28.661799999999996</c:v>
                </c:pt>
                <c:pt idx="995">
                  <c:v>28.661899999999996</c:v>
                </c:pt>
                <c:pt idx="996">
                  <c:v>28.661999999999995</c:v>
                </c:pt>
                <c:pt idx="997">
                  <c:v>28.662099999999995</c:v>
                </c:pt>
                <c:pt idx="998">
                  <c:v>28.662199999999995</c:v>
                </c:pt>
                <c:pt idx="999">
                  <c:v>28.662299999999995</c:v>
                </c:pt>
                <c:pt idx="1000">
                  <c:v>28.662399999999995</c:v>
                </c:pt>
              </c:numCache>
            </c:numRef>
          </c:xVal>
          <c:yVal>
            <c:numRef>
              <c:f>Calculs!$K$4:$K$1004</c:f>
              <c:numCache>
                <c:formatCode>0.00</c:formatCode>
                <c:ptCount val="1001"/>
                <c:pt idx="0">
                  <c:v>570.20506866099674</c:v>
                </c:pt>
                <c:pt idx="1">
                  <c:v>571.70180485420815</c:v>
                </c:pt>
                <c:pt idx="2">
                  <c:v>573.19555889131561</c:v>
                </c:pt>
                <c:pt idx="3">
                  <c:v>574.6863389760498</c:v>
                </c:pt>
                <c:pt idx="4">
                  <c:v>576.17415327135552</c:v>
                </c:pt>
                <c:pt idx="5">
                  <c:v>577.65900989965996</c:v>
                </c:pt>
                <c:pt idx="6">
                  <c:v>579.14091694313913</c:v>
                </c:pt>
                <c:pt idx="7">
                  <c:v>580.6198824439814</c:v>
                </c:pt>
                <c:pt idx="8">
                  <c:v>582.09591440464942</c:v>
                </c:pt>
                <c:pt idx="9">
                  <c:v>583.56902078813982</c:v>
                </c:pt>
                <c:pt idx="10">
                  <c:v>585.03920951824068</c:v>
                </c:pt>
                <c:pt idx="11">
                  <c:v>586.50648846886315</c:v>
                </c:pt>
                <c:pt idx="12">
                  <c:v>587.97086545361992</c:v>
                </c:pt>
                <c:pt idx="13">
                  <c:v>589.43234823749185</c:v>
                </c:pt>
                <c:pt idx="14">
                  <c:v>590.89094454823828</c:v>
                </c:pt>
                <c:pt idx="15">
                  <c:v>592.34666207663042</c:v>
                </c:pt>
                <c:pt idx="16">
                  <c:v>593.7995084766826</c:v>
                </c:pt>
                <c:pt idx="17">
                  <c:v>595.24949136588236</c:v>
                </c:pt>
                <c:pt idx="18">
                  <c:v>596.69661832541772</c:v>
                </c:pt>
                <c:pt idx="19">
                  <c:v>598.14089690040373</c:v>
                </c:pt>
                <c:pt idx="20">
                  <c:v>599.58233460010649</c:v>
                </c:pt>
                <c:pt idx="21">
                  <c:v>601.02093890362949</c:v>
                </c:pt>
                <c:pt idx="22">
                  <c:v>602.45671726547835</c:v>
                </c:pt>
                <c:pt idx="23">
                  <c:v>603.88967711007933</c:v>
                </c:pt>
                <c:pt idx="24">
                  <c:v>605.31982582641808</c:v>
                </c:pt>
                <c:pt idx="25">
                  <c:v>606.74717076826209</c:v>
                </c:pt>
                <c:pt idx="26">
                  <c:v>608.17171925438083</c:v>
                </c:pt>
                <c:pt idx="27">
                  <c:v>609.59347856876457</c:v>
                </c:pt>
                <c:pt idx="28">
                  <c:v>611.01245596084152</c:v>
                </c:pt>
                <c:pt idx="29">
                  <c:v>612.42865864569285</c:v>
                </c:pt>
                <c:pt idx="30">
                  <c:v>613.84209380426614</c:v>
                </c:pt>
                <c:pt idx="31">
                  <c:v>615.25276858358757</c:v>
                </c:pt>
                <c:pt idx="32">
                  <c:v>616.66069009697196</c:v>
                </c:pt>
                <c:pt idx="33">
                  <c:v>618.06586542423133</c:v>
                </c:pt>
                <c:pt idx="34">
                  <c:v>619.468301611882</c:v>
                </c:pt>
                <c:pt idx="35">
                  <c:v>620.86800567334967</c:v>
                </c:pt>
                <c:pt idx="36">
                  <c:v>622.26498458917342</c:v>
                </c:pt>
                <c:pt idx="37">
                  <c:v>623.6592453072077</c:v>
                </c:pt>
                <c:pt idx="38">
                  <c:v>625.05079474282297</c:v>
                </c:pt>
                <c:pt idx="39">
                  <c:v>626.43963977910482</c:v>
                </c:pt>
                <c:pt idx="40">
                  <c:v>627.82578726705128</c:v>
                </c:pt>
                <c:pt idx="41">
                  <c:v>629.20924402576895</c:v>
                </c:pt>
                <c:pt idx="42">
                  <c:v>630.5900168426673</c:v>
                </c:pt>
                <c:pt idx="43">
                  <c:v>631.96811247365179</c:v>
                </c:pt>
                <c:pt idx="44">
                  <c:v>633.34353764331524</c:v>
                </c:pt>
                <c:pt idx="45">
                  <c:v>634.71629904512793</c:v>
                </c:pt>
                <c:pt idx="46">
                  <c:v>636.08640334162612</c:v>
                </c:pt>
                <c:pt idx="47">
                  <c:v>637.45385716459896</c:v>
                </c:pt>
                <c:pt idx="48">
                  <c:v>638.81866711527448</c:v>
                </c:pt>
                <c:pt idx="49">
                  <c:v>640.18083976450373</c:v>
                </c:pt>
                <c:pt idx="50">
                  <c:v>641.54038165294355</c:v>
                </c:pt>
                <c:pt idx="51">
                  <c:v>642.89729929123826</c:v>
                </c:pt>
                <c:pt idx="52">
                  <c:v>644.25159916019936</c:v>
                </c:pt>
                <c:pt idx="53">
                  <c:v>645.60328771098477</c:v>
                </c:pt>
                <c:pt idx="54">
                  <c:v>646.95237136527589</c:v>
                </c:pt>
                <c:pt idx="55">
                  <c:v>648.29885651545351</c:v>
                </c:pt>
                <c:pt idx="56">
                  <c:v>649.64274952477285</c:v>
                </c:pt>
                <c:pt idx="57">
                  <c:v>650.98405672753677</c:v>
                </c:pt>
                <c:pt idx="58">
                  <c:v>652.32278442926781</c:v>
                </c:pt>
                <c:pt idx="59">
                  <c:v>653.65893890687914</c:v>
                </c:pt>
                <c:pt idx="60">
                  <c:v>654.9925264088439</c:v>
                </c:pt>
                <c:pt idx="61">
                  <c:v>656.32355315536358</c:v>
                </c:pt>
                <c:pt idx="62">
                  <c:v>657.65202533853494</c:v>
                </c:pt>
                <c:pt idx="63">
                  <c:v>658.97794912251584</c:v>
                </c:pt>
                <c:pt idx="64">
                  <c:v>660.30133064368943</c:v>
                </c:pt>
                <c:pt idx="65">
                  <c:v>661.62217601082773</c:v>
                </c:pt>
                <c:pt idx="66">
                  <c:v>662.94049130525377</c:v>
                </c:pt>
                <c:pt idx="67">
                  <c:v>664.25628258100221</c:v>
                </c:pt>
                <c:pt idx="68">
                  <c:v>665.56955586497907</c:v>
                </c:pt>
                <c:pt idx="69">
                  <c:v>666.8803171571202</c:v>
                </c:pt>
                <c:pt idx="70">
                  <c:v>668.18857243054867</c:v>
                </c:pt>
                <c:pt idx="71">
                  <c:v>669.49432763173104</c:v>
                </c:pt>
                <c:pt idx="72">
                  <c:v>670.79758868063209</c:v>
                </c:pt>
                <c:pt idx="73">
                  <c:v>672.09836147086878</c:v>
                </c:pt>
                <c:pt idx="74">
                  <c:v>673.39665186986304</c:v>
                </c:pt>
                <c:pt idx="75">
                  <c:v>674.6924657189935</c:v>
                </c:pt>
                <c:pt idx="76">
                  <c:v>675.98580883374575</c:v>
                </c:pt>
                <c:pt idx="77">
                  <c:v>677.27668700386187</c:v>
                </c:pt>
                <c:pt idx="78">
                  <c:v>678.56510599348883</c:v>
                </c:pt>
                <c:pt idx="79">
                  <c:v>679.8510715413255</c:v>
                </c:pt>
                <c:pt idx="80">
                  <c:v>681.13458936076893</c:v>
                </c:pt>
                <c:pt idx="81">
                  <c:v>682.41566514005956</c:v>
                </c:pt>
                <c:pt idx="82">
                  <c:v>683.69430454242513</c:v>
                </c:pt>
                <c:pt idx="83">
                  <c:v>684.9705132062237</c:v>
                </c:pt>
                <c:pt idx="84">
                  <c:v>686.24429674508565</c:v>
                </c:pt>
                <c:pt idx="85">
                  <c:v>687.51566074805453</c:v>
                </c:pt>
                <c:pt idx="86">
                  <c:v>688.78461077972702</c:v>
                </c:pt>
                <c:pt idx="87">
                  <c:v>690.05115238039207</c:v>
                </c:pt>
                <c:pt idx="88">
                  <c:v>691.31529106616847</c:v>
                </c:pt>
                <c:pt idx="89">
                  <c:v>692.57703232914184</c:v>
                </c:pt>
                <c:pt idx="90">
                  <c:v>693.83638163750084</c:v>
                </c:pt>
                <c:pt idx="91">
                  <c:v>695.09334443567195</c:v>
                </c:pt>
                <c:pt idx="92">
                  <c:v>696.34792614445337</c:v>
                </c:pt>
                <c:pt idx="93">
                  <c:v>697.60013216114817</c:v>
                </c:pt>
                <c:pt idx="94">
                  <c:v>698.84996785969645</c:v>
                </c:pt>
                <c:pt idx="95">
                  <c:v>700.09743859080641</c:v>
                </c:pt>
                <c:pt idx="96">
                  <c:v>701.34254968208461</c:v>
                </c:pt>
                <c:pt idx="97">
                  <c:v>702.58530643816516</c:v>
                </c:pt>
                <c:pt idx="98">
                  <c:v>703.82571414083839</c:v>
                </c:pt>
                <c:pt idx="99">
                  <c:v>705.06377804917781</c:v>
                </c:pt>
                <c:pt idx="100">
                  <c:v>706.29950339966729</c:v>
                </c:pt>
                <c:pt idx="101">
                  <c:v>718.52854005730728</c:v>
                </c:pt>
                <c:pt idx="102">
                  <c:v>730.52706813776001</c:v>
                </c:pt>
                <c:pt idx="103">
                  <c:v>742.30011104420862</c:v>
                </c:pt>
                <c:pt idx="104">
                  <c:v>753.85248213761804</c:v>
                </c:pt>
                <c:pt idx="105">
                  <c:v>765.18879596593888</c:v>
                </c:pt>
                <c:pt idx="106">
                  <c:v>776.31347873877621</c:v>
                </c:pt>
                <c:pt idx="107">
                  <c:v>787.23077810765699</c:v>
                </c:pt>
                <c:pt idx="108">
                  <c:v>797.94477230648795</c:v>
                </c:pt>
                <c:pt idx="109">
                  <c:v>808.45937870183184</c:v>
                </c:pt>
                <c:pt idx="110">
                  <c:v>818.77836179817598</c:v>
                </c:pt>
                <c:pt idx="111">
                  <c:v>828.9053407393659</c:v>
                </c:pt>
                <c:pt idx="112">
                  <c:v>838.84379634377626</c:v>
                </c:pt>
                <c:pt idx="113">
                  <c:v>848.59707770754767</c:v>
                </c:pt>
                <c:pt idx="114">
                  <c:v>858.16840840729094</c:v>
                </c:pt>
                <c:pt idx="115">
                  <c:v>867.56089233101488</c:v>
                </c:pt>
                <c:pt idx="116">
                  <c:v>876.77751916364275</c:v>
                </c:pt>
                <c:pt idx="117">
                  <c:v>885.82116955131448</c:v>
                </c:pt>
                <c:pt idx="118">
                  <c:v>894.69461996670725</c:v>
                </c:pt>
                <c:pt idx="119">
                  <c:v>903.40054729582175</c:v>
                </c:pt>
                <c:pt idx="120">
                  <c:v>911.94153316506015</c:v>
                </c:pt>
                <c:pt idx="121">
                  <c:v>920.32006802594503</c:v>
                </c:pt>
                <c:pt idx="122">
                  <c:v>928.53855501348335</c:v>
                </c:pt>
                <c:pt idx="123">
                  <c:v>936.59931359295331</c:v>
                </c:pt>
                <c:pt idx="124">
                  <c:v>944.50458300877074</c:v>
                </c:pt>
                <c:pt idx="125">
                  <c:v>952.25652554806913</c:v>
                </c:pt>
                <c:pt idx="126">
                  <c:v>959.85722963069009</c:v>
                </c:pt>
                <c:pt idx="127">
                  <c:v>967.30871273642288</c:v>
                </c:pt>
                <c:pt idx="128">
                  <c:v>974.61292417954712</c:v>
                </c:pt>
                <c:pt idx="129">
                  <c:v>981.77174774000912</c:v>
                </c:pt>
                <c:pt idx="130">
                  <c:v>988.7870041599017</c:v>
                </c:pt>
                <c:pt idx="131">
                  <c:v>995.66045351330865</c:v>
                </c:pt>
                <c:pt idx="132">
                  <c:v>1002.3937974570134</c:v>
                </c:pt>
                <c:pt idx="133">
                  <c:v>1008.9886813690589</c:v>
                </c:pt>
                <c:pt idx="134">
                  <c:v>1015.4466963816684</c:v>
                </c:pt>
                <c:pt idx="135">
                  <c:v>1021.7693813146013</c:v>
                </c:pt>
                <c:pt idx="136">
                  <c:v>1027.9582245146139</c:v>
                </c:pt>
                <c:pt idx="137">
                  <c:v>1034.0146656063216</c:v>
                </c:pt>
                <c:pt idx="138">
                  <c:v>1039.9400971594187</c:v>
                </c:pt>
                <c:pt idx="139">
                  <c:v>1045.7358662768895</c:v>
                </c:pt>
                <c:pt idx="140">
                  <c:v>1051.4032761085566</c:v>
                </c:pt>
                <c:pt idx="141">
                  <c:v>1056.9435872940346</c:v>
                </c:pt>
                <c:pt idx="142">
                  <c:v>1062.358019338915</c:v>
                </c:pt>
                <c:pt idx="143">
                  <c:v>1067.6477519277705</c:v>
                </c:pt>
                <c:pt idx="144">
                  <c:v>1072.8139261773536</c:v>
                </c:pt>
                <c:pt idx="145">
                  <c:v>1077.8576458331722</c:v>
                </c:pt>
                <c:pt idx="146">
                  <c:v>1082.7799784124368</c:v>
                </c:pt>
                <c:pt idx="147">
                  <c:v>1087.581956296209</c:v>
                </c:pt>
                <c:pt idx="148">
                  <c:v>1092.2645777734297</c:v>
                </c:pt>
                <c:pt idx="149">
                  <c:v>1096.8288080393572</c:v>
                </c:pt>
                <c:pt idx="150">
                  <c:v>1101.2755801508254</c:v>
                </c:pt>
                <c:pt idx="151">
                  <c:v>1105.6057959406037</c:v>
                </c:pt>
                <c:pt idx="152">
                  <c:v>1109.8203268930467</c:v>
                </c:pt>
                <c:pt idx="153">
                  <c:v>1113.9200149831147</c:v>
                </c:pt>
                <c:pt idx="154">
                  <c:v>1117.9056734807662</c:v>
                </c:pt>
                <c:pt idx="155">
                  <c:v>1121.778087722651</c:v>
                </c:pt>
                <c:pt idx="156">
                  <c:v>1125.538015852964</c:v>
                </c:pt>
                <c:pt idx="157">
                  <c:v>1129.1861895352679</c:v>
                </c:pt>
                <c:pt idx="158">
                  <c:v>1132.7233146370497</c:v>
                </c:pt>
                <c:pt idx="159">
                  <c:v>1136.1500718887457</c:v>
                </c:pt>
                <c:pt idx="160">
                  <c:v>1139.4671175189433</c:v>
                </c:pt>
                <c:pt idx="161">
                  <c:v>1142.675083867465</c:v>
                </c:pt>
                <c:pt idx="162">
                  <c:v>1145.7745799780389</c:v>
                </c:pt>
                <c:pt idx="163">
                  <c:v>1148.7661921722759</c:v>
                </c:pt>
                <c:pt idx="164">
                  <c:v>1151.6504846067069</c:v>
                </c:pt>
                <c:pt idx="165">
                  <c:v>1154.427999814674</c:v>
                </c:pt>
                <c:pt idx="166">
                  <c:v>1157.099259234931</c:v>
                </c:pt>
                <c:pt idx="167">
                  <c:v>1159.6647637288859</c:v>
                </c:pt>
                <c:pt idx="168">
                  <c:v>1162.1249940885091</c:v>
                </c:pt>
                <c:pt idx="169">
                  <c:v>1164.4804115370439</c:v>
                </c:pt>
                <c:pt idx="170">
                  <c:v>1166.7314582247839</c:v>
                </c:pt>
                <c:pt idx="171">
                  <c:v>1168.8785577223289</c:v>
                </c:pt>
                <c:pt idx="172">
                  <c:v>1170.9221155138948</c:v>
                </c:pt>
                <c:pt idx="173">
                  <c:v>1172.8625194934305</c:v>
                </c:pt>
                <c:pt idx="174">
                  <c:v>1174.7001404664852</c:v>
                </c:pt>
                <c:pt idx="175">
                  <c:v>1176.435332660968</c:v>
                </c:pt>
                <c:pt idx="176">
                  <c:v>1178.068434250132</c:v>
                </c:pt>
                <c:pt idx="177">
                  <c:v>1179.5997678913063</c:v>
                </c:pt>
                <c:pt idx="178">
                  <c:v>1181.0296412840548</c:v>
                </c:pt>
                <c:pt idx="179">
                  <c:v>1182.3583477515606</c:v>
                </c:pt>
                <c:pt idx="180">
                  <c:v>1183.5861668490923</c:v>
                </c:pt>
                <c:pt idx="181">
                  <c:v>1184.7133650033788</c:v>
                </c:pt>
                <c:pt idx="182">
                  <c:v>1185.7401961865703</c:v>
                </c:pt>
                <c:pt idx="183">
                  <c:v>1186.6669026281779</c:v>
                </c:pt>
                <c:pt idx="184">
                  <c:v>1187.4937155679215</c:v>
                </c:pt>
                <c:pt idx="185">
                  <c:v>1188.2208560517511</c:v>
                </c:pt>
                <c:pt idx="186">
                  <c:v>1188.8485357724333</c:v>
                </c:pt>
                <c:pt idx="187">
                  <c:v>1189.3769579549987</c:v>
                </c:pt>
                <c:pt idx="188">
                  <c:v>1189.806318286036</c:v>
                </c:pt>
                <c:pt idx="189">
                  <c:v>1190.1368058843445</c:v>
                </c:pt>
                <c:pt idx="190">
                  <c:v>1190.3686043088651</c:v>
                </c:pt>
                <c:pt idx="191">
                  <c:v>1190.5018925981813</c:v>
                </c:pt>
                <c:pt idx="192">
                  <c:v>1190.5368463343266</c:v>
                </c:pt>
                <c:pt idx="193">
                  <c:v>1190.4736387222511</c:v>
                </c:pt>
                <c:pt idx="194">
                  <c:v>1190.312441675205</c:v>
                </c:pt>
                <c:pt idx="195">
                  <c:v>1190.0534268955776</c:v>
                </c:pt>
                <c:pt idx="196">
                  <c:v>1189.6967669404496</c:v>
                </c:pt>
                <c:pt idx="197">
                  <c:v>1189.2426362613078</c:v>
                </c:pt>
                <c:pt idx="198">
                  <c:v>1188.6912122080053</c:v>
                </c:pt>
                <c:pt idx="199">
                  <c:v>1188.0426759880879</c:v>
                </c:pt>
                <c:pt idx="200">
                  <c:v>1187.2972135739467</c:v>
                </c:pt>
                <c:pt idx="201">
                  <c:v>1186.4550165517999</c:v>
                </c:pt>
                <c:pt idx="202">
                  <c:v>1185.5162829081405</c:v>
                </c:pt>
                <c:pt idx="203">
                  <c:v>1184.4812177509043</c:v>
                </c:pt>
                <c:pt idx="204">
                  <c:v>1183.350033964125</c:v>
                </c:pt>
                <c:pt idx="205">
                  <c:v>1182.1229527961902</c:v>
                </c:pt>
                <c:pt idx="206">
                  <c:v>1180.8002043829515</c:v>
                </c:pt>
                <c:pt idx="207">
                  <c:v>1179.3820282078477</c:v>
                </c:pt>
                <c:pt idx="208">
                  <c:v>1177.8686735018907</c:v>
                </c:pt>
                <c:pt idx="209">
                  <c:v>1176.2603995868394</c:v>
                </c:pt>
                <c:pt idx="210">
                  <c:v>1174.5574761651785</c:v>
                </c:pt>
                <c:pt idx="211">
                  <c:v>1172.7601835606608</c:v>
                </c:pt>
                <c:pt idx="212">
                  <c:v>1170.8688129131845</c:v>
                </c:pt>
                <c:pt idx="213">
                  <c:v>1168.8836663316988</c:v>
                </c:pt>
                <c:pt idx="214">
                  <c:v>1166.8050570086866</c:v>
                </c:pt>
                <c:pt idx="215">
                  <c:v>1164.6333092995758</c:v>
                </c:pt>
                <c:pt idx="216">
                  <c:v>1162.3687587702138</c:v>
                </c:pt>
                <c:pt idx="217">
                  <c:v>1160.0117522153046</c:v>
                </c:pt>
                <c:pt idx="218">
                  <c:v>1157.5626476504704</c:v>
                </c:pt>
                <c:pt idx="219">
                  <c:v>1155.0218142803715</c:v>
                </c:pt>
                <c:pt idx="220">
                  <c:v>1152.3896324450923</c:v>
                </c:pt>
                <c:pt idx="221">
                  <c:v>1149.6664935467991</c:v>
                </c:pt>
                <c:pt idx="222">
                  <c:v>1146.8527999584808</c:v>
                </c:pt>
                <c:pt idx="223">
                  <c:v>1143.9489649164091</c:v>
                </c:pt>
                <c:pt idx="224">
                  <c:v>1140.9554123977966</c:v>
                </c:pt>
                <c:pt idx="225">
                  <c:v>1137.8725769849893</c:v>
                </c:pt>
                <c:pt idx="226">
                  <c:v>1134.7009037174007</c:v>
                </c:pt>
                <c:pt idx="227">
                  <c:v>1131.4408479322826</c:v>
                </c:pt>
                <c:pt idx="228">
                  <c:v>1128.0928750953249</c:v>
                </c:pt>
                <c:pt idx="229">
                  <c:v>1124.6574606219904</c:v>
                </c:pt>
                <c:pt idx="230">
                  <c:v>1121.1350896904089</c:v>
                </c:pt>
                <c:pt idx="231">
                  <c:v>1117.5262570465852</c:v>
                </c:pt>
                <c:pt idx="232">
                  <c:v>1113.8314668026169</c:v>
                </c:pt>
                <c:pt idx="233">
                  <c:v>1110.0512322285595</c:v>
                </c:pt>
                <c:pt idx="234">
                  <c:v>1106.1860755385321</c:v>
                </c:pt>
                <c:pt idx="235">
                  <c:v>1102.2365276716125</c:v>
                </c:pt>
                <c:pt idx="236">
                  <c:v>1098.2031280680314</c:v>
                </c:pt>
                <c:pt idx="237">
                  <c:v>1094.0864244411462</c:v>
                </c:pt>
                <c:pt idx="238">
                  <c:v>1089.8869725456414</c:v>
                </c:pt>
                <c:pt idx="239">
                  <c:v>1085.6053359423775</c:v>
                </c:pt>
                <c:pt idx="240">
                  <c:v>1081.2420857602858</c:v>
                </c:pt>
                <c:pt idx="241">
                  <c:v>1076.7978004556867</c:v>
                </c:pt>
                <c:pt idx="242">
                  <c:v>1072.2730655693863</c:v>
                </c:pt>
                <c:pt idx="243">
                  <c:v>1067.6684734818934</c:v>
                </c:pt>
                <c:pt idx="244">
                  <c:v>1062.9846231670774</c:v>
                </c:pt>
                <c:pt idx="245">
                  <c:v>1058.2221199445773</c:v>
                </c:pt>
                <c:pt idx="246">
                  <c:v>1053.3815752312551</c:v>
                </c:pt>
                <c:pt idx="247">
                  <c:v>1048.4636062919762</c:v>
                </c:pt>
                <c:pt idx="248">
                  <c:v>1043.4688359899887</c:v>
                </c:pt>
                <c:pt idx="249">
                  <c:v>1038.3978925371553</c:v>
                </c:pt>
                <c:pt idx="250">
                  <c:v>1033.2514092442923</c:v>
                </c:pt>
                <c:pt idx="251">
                  <c:v>1028.0300242718508</c:v>
                </c:pt>
                <c:pt idx="252">
                  <c:v>1022.734380381169</c:v>
                </c:pt>
                <c:pt idx="253">
                  <c:v>1017.3651246865157</c:v>
                </c:pt>
                <c:pt idx="254">
                  <c:v>1011.9229084081372</c:v>
                </c:pt>
                <c:pt idx="255">
                  <c:v>1006.4083866265073</c:v>
                </c:pt>
                <c:pt idx="256">
                  <c:v>1000.8222180379773</c:v>
                </c:pt>
                <c:pt idx="257">
                  <c:v>995.16506471201035</c:v>
                </c:pt>
                <c:pt idx="258">
                  <c:v>989.43759185017893</c:v>
                </c:pt>
                <c:pt idx="259">
                  <c:v>983.64046754709648</c:v>
                </c:pt>
                <c:pt idx="260">
                  <c:v>977.77436255344571</c:v>
                </c:pt>
                <c:pt idx="261">
                  <c:v>971.83995004126007</c:v>
                </c:pt>
                <c:pt idx="262">
                  <c:v>965.83790537160655</c:v>
                </c:pt>
                <c:pt idx="263">
                  <c:v>959.76890586481136</c:v>
                </c:pt>
                <c:pt idx="264">
                  <c:v>953.63363057336358</c:v>
                </c:pt>
                <c:pt idx="265">
                  <c:v>947.43276005762357</c:v>
                </c:pt>
                <c:pt idx="266">
                  <c:v>941.16697616445788</c:v>
                </c:pt>
                <c:pt idx="267">
                  <c:v>934.83696180891479</c:v>
                </c:pt>
                <c:pt idx="268">
                  <c:v>928.44340075904779</c:v>
                </c:pt>
                <c:pt idx="269">
                  <c:v>921.98697742398906</c:v>
                </c:pt>
                <c:pt idx="270">
                  <c:v>915.46837664536702</c:v>
                </c:pt>
                <c:pt idx="271">
                  <c:v>908.8882834921576</c:v>
                </c:pt>
                <c:pt idx="272">
                  <c:v>902.24738305905123</c:v>
                </c:pt>
                <c:pt idx="273">
                  <c:v>895.54636026841217</c:v>
                </c:pt>
                <c:pt idx="274">
                  <c:v>888.78589967590131</c:v>
                </c:pt>
                <c:pt idx="275">
                  <c:v>881.96668527982638</c:v>
                </c:pt>
                <c:pt idx="276">
                  <c:v>875.08940033427973</c:v>
                </c:pt>
                <c:pt idx="277">
                  <c:v>868.15472716611669</c:v>
                </c:pt>
                <c:pt idx="278">
                  <c:v>861.16334699582274</c:v>
                </c:pt>
                <c:pt idx="279">
                  <c:v>854.11593976231234</c:v>
                </c:pt>
                <c:pt idx="280">
                  <c:v>847.01318395169699</c:v>
                </c:pt>
                <c:pt idx="281">
                  <c:v>839.85575643005473</c:v>
                </c:pt>
                <c:pt idx="282">
                  <c:v>832.64433228022926</c:v>
                </c:pt>
                <c:pt idx="283">
                  <c:v>825.37958464268092</c:v>
                </c:pt>
                <c:pt idx="284">
                  <c:v>818.06218456040733</c:v>
                </c:pt>
                <c:pt idx="285">
                  <c:v>810.69280082794796</c:v>
                </c:pt>
                <c:pt idx="286">
                  <c:v>803.27209984448075</c:v>
                </c:pt>
                <c:pt idx="287">
                  <c:v>795.80074547101628</c:v>
                </c:pt>
                <c:pt idx="288">
                  <c:v>788.27939889168965</c:v>
                </c:pt>
                <c:pt idx="289">
                  <c:v>780.70871847914668</c:v>
                </c:pt>
                <c:pt idx="290">
                  <c:v>773.08935966401737</c:v>
                </c:pt>
                <c:pt idx="291">
                  <c:v>765.42197480846573</c:v>
                </c:pt>
                <c:pt idx="292">
                  <c:v>757.70721308380087</c:v>
                </c:pt>
                <c:pt idx="293">
                  <c:v>749.94572035213184</c:v>
                </c:pt>
                <c:pt idx="294">
                  <c:v>742.13813905204449</c:v>
                </c:pt>
                <c:pt idx="295">
                  <c:v>734.28510808827616</c:v>
                </c:pt>
                <c:pt idx="296">
                  <c:v>726.38726272536087</c:v>
                </c:pt>
                <c:pt idx="297">
                  <c:v>718.44523448521329</c:v>
                </c:pt>
                <c:pt idx="298">
                  <c:v>710.45965104862046</c:v>
                </c:pt>
                <c:pt idx="299">
                  <c:v>702.43113616060327</c:v>
                </c:pt>
                <c:pt idx="300">
                  <c:v>694.36030953961119</c:v>
                </c:pt>
                <c:pt idx="301">
                  <c:v>686.24778679050814</c:v>
                </c:pt>
                <c:pt idx="302">
                  <c:v>678.09417932130782</c:v>
                </c:pt>
                <c:pt idx="303">
                  <c:v>669.90009426361337</c:v>
                </c:pt>
                <c:pt idx="304">
                  <c:v>661.66613439671357</c:v>
                </c:pt>
                <c:pt idx="305">
                  <c:v>653.39289807528792</c:v>
                </c:pt>
                <c:pt idx="306">
                  <c:v>645.08097916066959</c:v>
                </c:pt>
                <c:pt idx="307">
                  <c:v>636.73096695561435</c:v>
                </c:pt>
                <c:pt idx="308">
                  <c:v>628.34344614252234</c:v>
                </c:pt>
                <c:pt idx="309">
                  <c:v>619.91899672505679</c:v>
                </c:pt>
                <c:pt idx="310">
                  <c:v>611.4581939731047</c:v>
                </c:pt>
                <c:pt idx="311">
                  <c:v>602.96160837102173</c:v>
                </c:pt>
                <c:pt idx="312">
                  <c:v>594.429805569103</c:v>
                </c:pt>
                <c:pt idx="313">
                  <c:v>585.86334633822059</c:v>
                </c:pt>
                <c:pt idx="314">
                  <c:v>577.26278652756776</c:v>
                </c:pt>
                <c:pt idx="315">
                  <c:v>568.62867702544952</c:v>
                </c:pt>
                <c:pt idx="316">
                  <c:v>559.96156372305711</c:v>
                </c:pt>
                <c:pt idx="317">
                  <c:v>551.2619874811661</c:v>
                </c:pt>
                <c:pt idx="318">
                  <c:v>542.53048409969369</c:v>
                </c:pt>
                <c:pt idx="319">
                  <c:v>533.76758429005474</c:v>
                </c:pt>
                <c:pt idx="320">
                  <c:v>524.97381365025149</c:v>
                </c:pt>
                <c:pt idx="321">
                  <c:v>516.14969264263493</c:v>
                </c:pt>
                <c:pt idx="322">
                  <c:v>507.29573657427449</c:v>
                </c:pt>
                <c:pt idx="323">
                  <c:v>498.4124555798719</c:v>
                </c:pt>
                <c:pt idx="324">
                  <c:v>489.50035460715662</c:v>
                </c:pt>
                <c:pt idx="325">
                  <c:v>480.55993340469894</c:v>
                </c:pt>
                <c:pt idx="326">
                  <c:v>471.59168651207841</c:v>
                </c:pt>
                <c:pt idx="327">
                  <c:v>462.59610325234388</c:v>
                </c:pt>
                <c:pt idx="328">
                  <c:v>453.57366772670292</c:v>
                </c:pt>
                <c:pt idx="329">
                  <c:v>444.52485881137835</c:v>
                </c:pt>
                <c:pt idx="330">
                  <c:v>435.45015015656969</c:v>
                </c:pt>
                <c:pt idx="331">
                  <c:v>426.35001018745851</c:v>
                </c:pt>
                <c:pt idx="332">
                  <c:v>417.22490210719599</c:v>
                </c:pt>
                <c:pt idx="333">
                  <c:v>408.0752839018129</c:v>
                </c:pt>
                <c:pt idx="334">
                  <c:v>398.90160834699145</c:v>
                </c:pt>
                <c:pt idx="335">
                  <c:v>389.70432301664044</c:v>
                </c:pt>
                <c:pt idx="336">
                  <c:v>380.48387029321412</c:v>
                </c:pt>
                <c:pt idx="337">
                  <c:v>371.24068737971754</c:v>
                </c:pt>
                <c:pt idx="338">
                  <c:v>361.97520631334078</c:v>
                </c:pt>
                <c:pt idx="339">
                  <c:v>352.68785398066558</c:v>
                </c:pt>
                <c:pt idx="340">
                  <c:v>343.37905213438836</c:v>
                </c:pt>
                <c:pt idx="341">
                  <c:v>334.0492174115052</c:v>
                </c:pt>
                <c:pt idx="342">
                  <c:v>324.69876135290394</c:v>
                </c:pt>
                <c:pt idx="343">
                  <c:v>315.32809042431074</c:v>
                </c:pt>
                <c:pt idx="344">
                  <c:v>305.93760603853809</c:v>
                </c:pt>
                <c:pt idx="345">
                  <c:v>296.52770457898276</c:v>
                </c:pt>
                <c:pt idx="346">
                  <c:v>287.09877742432343</c:v>
                </c:pt>
                <c:pt idx="347">
                  <c:v>277.65121097436764</c:v>
                </c:pt>
                <c:pt idx="348">
                  <c:v>268.18538667699954</c:v>
                </c:pt>
                <c:pt idx="349">
                  <c:v>258.70168105618018</c:v>
                </c:pt>
                <c:pt idx="350">
                  <c:v>249.20046574095355</c:v>
                </c:pt>
                <c:pt idx="351">
                  <c:v>239.68210749541228</c:v>
                </c:pt>
                <c:pt idx="352">
                  <c:v>230.14696824957775</c:v>
                </c:pt>
                <c:pt idx="353">
                  <c:v>220.5954051311503</c:v>
                </c:pt>
                <c:pt idx="354">
                  <c:v>211.02777049808668</c:v>
                </c:pt>
                <c:pt idx="355">
                  <c:v>201.44441197196215</c:v>
                </c:pt>
                <c:pt idx="356">
                  <c:v>191.84567247207596</c:v>
                </c:pt>
                <c:pt idx="357">
                  <c:v>182.23189025025997</c:v>
                </c:pt>
                <c:pt idx="358">
                  <c:v>172.60339892635091</c:v>
                </c:pt>
                <c:pt idx="359">
                  <c:v>162.96052752428773</c:v>
                </c:pt>
                <c:pt idx="360">
                  <c:v>153.30360050879679</c:v>
                </c:pt>
                <c:pt idx="361">
                  <c:v>143.63293782262804</c:v>
                </c:pt>
                <c:pt idx="362">
                  <c:v>133.94885492430672</c:v>
                </c:pt>
                <c:pt idx="363">
                  <c:v>124.25166282636586</c:v>
                </c:pt>
                <c:pt idx="364">
                  <c:v>114.54166813402581</c:v>
                </c:pt>
                <c:pt idx="365">
                  <c:v>104.81917308428787</c:v>
                </c:pt>
                <c:pt idx="366">
                  <c:v>95.084475585410161</c:v>
                </c:pt>
                <c:pt idx="367">
                  <c:v>85.337869256734649</c:v>
                </c:pt>
                <c:pt idx="368">
                  <c:v>75.579643468835215</c:v>
                </c:pt>
                <c:pt idx="369">
                  <c:v>65.810083383957334</c:v>
                </c:pt>
                <c:pt idx="370">
                  <c:v>56.029469996721147</c:v>
                </c:pt>
                <c:pt idx="371">
                  <c:v>46.238080175060276</c:v>
                </c:pt>
                <c:pt idx="372">
                  <c:v>36.436186701369621</c:v>
                </c:pt>
                <c:pt idx="373">
                  <c:v>26.624058313836372</c:v>
                </c:pt>
                <c:pt idx="374">
                  <c:v>16.801959747929089</c:v>
                </c:pt>
                <c:pt idx="375">
                  <c:v>6.9701517780206697</c:v>
                </c:pt>
                <c:pt idx="376">
                  <c:v>-2.8711087408783076</c:v>
                </c:pt>
                <c:pt idx="377">
                  <c:v>-2.8809546684822815</c:v>
                </c:pt>
                <c:pt idx="378">
                  <c:v>-2.8908006051601789</c:v>
                </c:pt>
                <c:pt idx="379">
                  <c:v>-2.9006465509117527</c:v>
                </c:pt>
                <c:pt idx="380">
                  <c:v>-2.9104925057367566</c:v>
                </c:pt>
                <c:pt idx="381">
                  <c:v>-2.920338469634943</c:v>
                </c:pt>
                <c:pt idx="382">
                  <c:v>-2.9301844426060657</c:v>
                </c:pt>
                <c:pt idx="383">
                  <c:v>-2.9400304246498772</c:v>
                </c:pt>
                <c:pt idx="384">
                  <c:v>-2.949876415766131</c:v>
                </c:pt>
                <c:pt idx="385">
                  <c:v>-2.9597224159545799</c:v>
                </c:pt>
                <c:pt idx="386">
                  <c:v>-2.9695684252149772</c:v>
                </c:pt>
                <c:pt idx="387">
                  <c:v>-2.9794144435470762</c:v>
                </c:pt>
                <c:pt idx="388">
                  <c:v>-2.9892604709506299</c:v>
                </c:pt>
                <c:pt idx="389">
                  <c:v>-2.9991065074253913</c:v>
                </c:pt>
                <c:pt idx="390">
                  <c:v>-3.0089525529711136</c:v>
                </c:pt>
                <c:pt idx="391">
                  <c:v>-3.0187986075875504</c:v>
                </c:pt>
                <c:pt idx="392">
                  <c:v>-3.0286446712744541</c:v>
                </c:pt>
                <c:pt idx="393">
                  <c:v>-3.0384907440315785</c:v>
                </c:pt>
                <c:pt idx="394">
                  <c:v>-3.0483368258586765</c:v>
                </c:pt>
                <c:pt idx="395">
                  <c:v>-3.0581829167555012</c:v>
                </c:pt>
                <c:pt idx="396">
                  <c:v>-3.0680290167218058</c:v>
                </c:pt>
                <c:pt idx="397">
                  <c:v>-3.0778751257573433</c:v>
                </c:pt>
                <c:pt idx="398">
                  <c:v>-3.0877212438618673</c:v>
                </c:pt>
                <c:pt idx="399">
                  <c:v>-3.0975673710351304</c:v>
                </c:pt>
                <c:pt idx="400">
                  <c:v>-3.107413507276886</c:v>
                </c:pt>
                <c:pt idx="401">
                  <c:v>-3.1172596525868879</c:v>
                </c:pt>
                <c:pt idx="402">
                  <c:v>-3.1271058069648885</c:v>
                </c:pt>
                <c:pt idx="403">
                  <c:v>-3.1369519704106414</c:v>
                </c:pt>
                <c:pt idx="404">
                  <c:v>-3.1467981429238998</c:v>
                </c:pt>
                <c:pt idx="405">
                  <c:v>-3.1566443245044167</c:v>
                </c:pt>
                <c:pt idx="406">
                  <c:v>-3.1664905151519451</c:v>
                </c:pt>
                <c:pt idx="407">
                  <c:v>-3.1763367148662387</c:v>
                </c:pt>
                <c:pt idx="408">
                  <c:v>-3.1861829236470505</c:v>
                </c:pt>
                <c:pt idx="409">
                  <c:v>-3.1960291414941335</c:v>
                </c:pt>
                <c:pt idx="410">
                  <c:v>-3.2058753684072414</c:v>
                </c:pt>
                <c:pt idx="411">
                  <c:v>-3.2157216043861272</c:v>
                </c:pt>
                <c:pt idx="412">
                  <c:v>-3.225567849430544</c:v>
                </c:pt>
                <c:pt idx="413">
                  <c:v>-3.2354141035402453</c:v>
                </c:pt>
                <c:pt idx="414">
                  <c:v>-3.2452603667149842</c:v>
                </c:pt>
                <c:pt idx="415">
                  <c:v>-3.2551066389545138</c:v>
                </c:pt>
                <c:pt idx="416">
                  <c:v>-3.2649529202585872</c:v>
                </c:pt>
                <c:pt idx="417">
                  <c:v>-3.2747992106269579</c:v>
                </c:pt>
                <c:pt idx="418">
                  <c:v>-3.2846455100593794</c:v>
                </c:pt>
                <c:pt idx="419">
                  <c:v>-3.2944918185556045</c:v>
                </c:pt>
                <c:pt idx="420">
                  <c:v>-3.3043381361153865</c:v>
                </c:pt>
                <c:pt idx="421">
                  <c:v>-3.3141844627384791</c:v>
                </c:pt>
                <c:pt idx="422">
                  <c:v>-3.3240307984246353</c:v>
                </c:pt>
                <c:pt idx="423">
                  <c:v>-3.3338771431736083</c:v>
                </c:pt>
                <c:pt idx="424">
                  <c:v>-3.3437234969851515</c:v>
                </c:pt>
                <c:pt idx="425">
                  <c:v>-3.353569859859018</c:v>
                </c:pt>
                <c:pt idx="426">
                  <c:v>-3.363416231794961</c:v>
                </c:pt>
                <c:pt idx="427">
                  <c:v>-3.3732626127927339</c:v>
                </c:pt>
                <c:pt idx="428">
                  <c:v>-3.3831090028520903</c:v>
                </c:pt>
                <c:pt idx="429">
                  <c:v>-3.3929554019727828</c:v>
                </c:pt>
                <c:pt idx="430">
                  <c:v>-3.4028018101545654</c:v>
                </c:pt>
                <c:pt idx="431">
                  <c:v>-3.4126482273971912</c:v>
                </c:pt>
                <c:pt idx="432">
                  <c:v>-3.4224946537004133</c:v>
                </c:pt>
                <c:pt idx="433">
                  <c:v>-3.4323410890639852</c:v>
                </c:pt>
                <c:pt idx="434">
                  <c:v>-3.4421875334876599</c:v>
                </c:pt>
                <c:pt idx="435">
                  <c:v>-3.4520339869711911</c:v>
                </c:pt>
                <c:pt idx="436">
                  <c:v>-3.4618804495143318</c:v>
                </c:pt>
                <c:pt idx="437">
                  <c:v>-3.4717269211168356</c:v>
                </c:pt>
                <c:pt idx="438">
                  <c:v>-3.4815734017784554</c:v>
                </c:pt>
                <c:pt idx="439">
                  <c:v>-3.4914198914989449</c:v>
                </c:pt>
                <c:pt idx="440">
                  <c:v>-3.5012663902780576</c:v>
                </c:pt>
                <c:pt idx="441">
                  <c:v>-3.5111128981155466</c:v>
                </c:pt>
                <c:pt idx="442">
                  <c:v>-3.5209594150111654</c:v>
                </c:pt>
                <c:pt idx="443">
                  <c:v>-3.530805940964667</c:v>
                </c:pt>
                <c:pt idx="444">
                  <c:v>-3.5406524759758051</c:v>
                </c:pt>
                <c:pt idx="445">
                  <c:v>-3.5504990200443327</c:v>
                </c:pt>
                <c:pt idx="446">
                  <c:v>-3.5603455731700033</c:v>
                </c:pt>
                <c:pt idx="447">
                  <c:v>-3.5701921353525701</c:v>
                </c:pt>
                <c:pt idx="448">
                  <c:v>-3.5800387065917869</c:v>
                </c:pt>
                <c:pt idx="449">
                  <c:v>-3.5898852868874069</c:v>
                </c:pt>
                <c:pt idx="450">
                  <c:v>-3.5997318762391832</c:v>
                </c:pt>
                <c:pt idx="451">
                  <c:v>-3.6095784746468693</c:v>
                </c:pt>
                <c:pt idx="452">
                  <c:v>-3.6194250821102187</c:v>
                </c:pt>
                <c:pt idx="453">
                  <c:v>-3.6292716986289846</c:v>
                </c:pt>
                <c:pt idx="454">
                  <c:v>-3.6391183242029204</c:v>
                </c:pt>
                <c:pt idx="455">
                  <c:v>-3.6489649588317796</c:v>
                </c:pt>
                <c:pt idx="456">
                  <c:v>-3.6588116025153159</c:v>
                </c:pt>
                <c:pt idx="457">
                  <c:v>-3.6686582552532823</c:v>
                </c:pt>
                <c:pt idx="458">
                  <c:v>-3.6785049170454323</c:v>
                </c:pt>
                <c:pt idx="459">
                  <c:v>-3.688351587891519</c:v>
                </c:pt>
                <c:pt idx="460">
                  <c:v>-3.6981982677912963</c:v>
                </c:pt>
                <c:pt idx="461">
                  <c:v>-3.7080449567445175</c:v>
                </c:pt>
                <c:pt idx="462">
                  <c:v>-3.7178916547509355</c:v>
                </c:pt>
                <c:pt idx="463">
                  <c:v>-3.7277383618103044</c:v>
                </c:pt>
                <c:pt idx="464">
                  <c:v>-3.7375850779223772</c:v>
                </c:pt>
                <c:pt idx="465">
                  <c:v>-3.7474318030869074</c:v>
                </c:pt>
                <c:pt idx="466">
                  <c:v>-3.7572785373036486</c:v>
                </c:pt>
                <c:pt idx="467">
                  <c:v>-3.7671252805723543</c:v>
                </c:pt>
                <c:pt idx="468">
                  <c:v>-3.7769720328927776</c:v>
                </c:pt>
                <c:pt idx="469">
                  <c:v>-3.7868187942646721</c:v>
                </c:pt>
                <c:pt idx="470">
                  <c:v>-3.7966655646877912</c:v>
                </c:pt>
                <c:pt idx="471">
                  <c:v>-3.8065123441618884</c:v>
                </c:pt>
                <c:pt idx="472">
                  <c:v>-3.8163591326867174</c:v>
                </c:pt>
                <c:pt idx="473">
                  <c:v>-3.8262059302620313</c:v>
                </c:pt>
                <c:pt idx="474">
                  <c:v>-3.8360527368875834</c:v>
                </c:pt>
                <c:pt idx="475">
                  <c:v>-3.8458995525631274</c:v>
                </c:pt>
                <c:pt idx="476">
                  <c:v>-3.8557463772884168</c:v>
                </c:pt>
                <c:pt idx="477">
                  <c:v>-3.8655932110632052</c:v>
                </c:pt>
                <c:pt idx="478">
                  <c:v>-3.875440053887246</c:v>
                </c:pt>
                <c:pt idx="479">
                  <c:v>-3.8852869057602928</c:v>
                </c:pt>
                <c:pt idx="480">
                  <c:v>-3.8951337666820987</c:v>
                </c:pt>
                <c:pt idx="481">
                  <c:v>-3.9049806366524171</c:v>
                </c:pt>
                <c:pt idx="482">
                  <c:v>-3.9148275156710022</c:v>
                </c:pt>
                <c:pt idx="483">
                  <c:v>-3.9246744037376069</c:v>
                </c:pt>
                <c:pt idx="484">
                  <c:v>-3.9345213008519848</c:v>
                </c:pt>
                <c:pt idx="485">
                  <c:v>-3.9443682070138895</c:v>
                </c:pt>
                <c:pt idx="486">
                  <c:v>-3.9542151222230744</c:v>
                </c:pt>
                <c:pt idx="487">
                  <c:v>-3.9640620464792931</c:v>
                </c:pt>
                <c:pt idx="488">
                  <c:v>-3.9739089797822991</c:v>
                </c:pt>
                <c:pt idx="489">
                  <c:v>-3.9837559221318459</c:v>
                </c:pt>
                <c:pt idx="490">
                  <c:v>-3.9936028735276872</c:v>
                </c:pt>
                <c:pt idx="491">
                  <c:v>-4.0034498339695759</c:v>
                </c:pt>
                <c:pt idx="492">
                  <c:v>-4.0132968034572665</c:v>
                </c:pt>
                <c:pt idx="493">
                  <c:v>-4.0231437819905116</c:v>
                </c:pt>
                <c:pt idx="494">
                  <c:v>-4.0329907695690652</c:v>
                </c:pt>
                <c:pt idx="495">
                  <c:v>-4.0428377661926804</c:v>
                </c:pt>
                <c:pt idx="496">
                  <c:v>-4.0526847718611112</c:v>
                </c:pt>
                <c:pt idx="497">
                  <c:v>-4.0625317865741115</c:v>
                </c:pt>
                <c:pt idx="498">
                  <c:v>-4.0723788103314345</c:v>
                </c:pt>
                <c:pt idx="499">
                  <c:v>-4.0822258431328331</c:v>
                </c:pt>
                <c:pt idx="500">
                  <c:v>-4.0920728849780614</c:v>
                </c:pt>
                <c:pt idx="501">
                  <c:v>-4.1019199358668734</c:v>
                </c:pt>
                <c:pt idx="502">
                  <c:v>-4.1117669957990222</c:v>
                </c:pt>
                <c:pt idx="503">
                  <c:v>-4.1216140647742616</c:v>
                </c:pt>
                <c:pt idx="504">
                  <c:v>-4.1314611427923449</c:v>
                </c:pt>
                <c:pt idx="505">
                  <c:v>-4.1413082298530259</c:v>
                </c:pt>
                <c:pt idx="506">
                  <c:v>-4.1511553259560579</c:v>
                </c:pt>
                <c:pt idx="507">
                  <c:v>-4.1610024311011946</c:v>
                </c:pt>
                <c:pt idx="508">
                  <c:v>-4.1708495452881893</c:v>
                </c:pt>
                <c:pt idx="509">
                  <c:v>-4.1806966685167959</c:v>
                </c:pt>
                <c:pt idx="510">
                  <c:v>-4.1905438007867684</c:v>
                </c:pt>
                <c:pt idx="511">
                  <c:v>-4.2003909420978598</c:v>
                </c:pt>
                <c:pt idx="512">
                  <c:v>-4.2102380924498233</c:v>
                </c:pt>
                <c:pt idx="513">
                  <c:v>-4.2200852518424137</c:v>
                </c:pt>
                <c:pt idx="514">
                  <c:v>-4.2299324202753841</c:v>
                </c:pt>
                <c:pt idx="515">
                  <c:v>-4.2397795977484876</c:v>
                </c:pt>
                <c:pt idx="516">
                  <c:v>-4.2496267842614781</c:v>
                </c:pt>
                <c:pt idx="517">
                  <c:v>-4.2594739798141097</c:v>
                </c:pt>
                <c:pt idx="518">
                  <c:v>-4.2693211844061354</c:v>
                </c:pt>
                <c:pt idx="519">
                  <c:v>-4.2791683980373092</c:v>
                </c:pt>
                <c:pt idx="520">
                  <c:v>-4.2890156207073842</c:v>
                </c:pt>
                <c:pt idx="521">
                  <c:v>-4.2988628524161152</c:v>
                </c:pt>
                <c:pt idx="522">
                  <c:v>-4.3087100931632545</c:v>
                </c:pt>
                <c:pt idx="523">
                  <c:v>-4.3185573429485569</c:v>
                </c:pt>
                <c:pt idx="524">
                  <c:v>-4.3284046017717754</c:v>
                </c:pt>
                <c:pt idx="525">
                  <c:v>-4.3382518696326633</c:v>
                </c:pt>
                <c:pt idx="526">
                  <c:v>-4.3480991465309753</c:v>
                </c:pt>
                <c:pt idx="527">
                  <c:v>-4.3579464324664636</c:v>
                </c:pt>
                <c:pt idx="528">
                  <c:v>-4.3677937274388832</c:v>
                </c:pt>
                <c:pt idx="529">
                  <c:v>-4.377641031447987</c:v>
                </c:pt>
                <c:pt idx="530">
                  <c:v>-4.3874883444935291</c:v>
                </c:pt>
                <c:pt idx="531">
                  <c:v>-4.3973356665752634</c:v>
                </c:pt>
                <c:pt idx="532">
                  <c:v>-4.4071829976929431</c:v>
                </c:pt>
                <c:pt idx="533">
                  <c:v>-4.417030337846322</c:v>
                </c:pt>
                <c:pt idx="534">
                  <c:v>-4.4268776870351534</c:v>
                </c:pt>
                <c:pt idx="535">
                  <c:v>-4.4367250452591911</c:v>
                </c:pt>
                <c:pt idx="536">
                  <c:v>-4.4465724125181891</c:v>
                </c:pt>
                <c:pt idx="537">
                  <c:v>-4.4564197888119015</c:v>
                </c:pt>
                <c:pt idx="538">
                  <c:v>-4.4662671741400812</c:v>
                </c:pt>
                <c:pt idx="539">
                  <c:v>-4.4761145685024823</c:v>
                </c:pt>
                <c:pt idx="540">
                  <c:v>-4.4859619718988588</c:v>
                </c:pt>
                <c:pt idx="541">
                  <c:v>-4.4958093843289637</c:v>
                </c:pt>
                <c:pt idx="542">
                  <c:v>-4.505656805792551</c:v>
                </c:pt>
                <c:pt idx="543">
                  <c:v>-4.5155042362893747</c:v>
                </c:pt>
                <c:pt idx="544">
                  <c:v>-4.5253516758191878</c:v>
                </c:pt>
                <c:pt idx="545">
                  <c:v>-4.5351991243817453</c:v>
                </c:pt>
                <c:pt idx="546">
                  <c:v>-4.5450465819767993</c:v>
                </c:pt>
                <c:pt idx="547">
                  <c:v>-4.5548940486041047</c:v>
                </c:pt>
                <c:pt idx="548">
                  <c:v>-4.5647415242634155</c:v>
                </c:pt>
                <c:pt idx="549">
                  <c:v>-4.5745890089544847</c:v>
                </c:pt>
                <c:pt idx="550">
                  <c:v>-4.5844365026770655</c:v>
                </c:pt>
                <c:pt idx="551">
                  <c:v>-4.5942840054309126</c:v>
                </c:pt>
                <c:pt idx="552">
                  <c:v>-4.6041315172157793</c:v>
                </c:pt>
                <c:pt idx="553">
                  <c:v>-4.6139790380314203</c:v>
                </c:pt>
                <c:pt idx="554">
                  <c:v>-4.6238265678775878</c:v>
                </c:pt>
                <c:pt idx="555">
                  <c:v>-4.6336741067540368</c:v>
                </c:pt>
                <c:pt idx="556">
                  <c:v>-4.6435216546605202</c:v>
                </c:pt>
                <c:pt idx="557">
                  <c:v>-4.6533692115967931</c:v>
                </c:pt>
                <c:pt idx="558">
                  <c:v>-4.6632167775626074</c:v>
                </c:pt>
                <c:pt idx="559">
                  <c:v>-4.6730643525577182</c:v>
                </c:pt>
                <c:pt idx="560">
                  <c:v>-4.6829119365818794</c:v>
                </c:pt>
                <c:pt idx="561">
                  <c:v>-4.6927595296348441</c:v>
                </c:pt>
                <c:pt idx="562">
                  <c:v>-4.7026071317163662</c:v>
                </c:pt>
                <c:pt idx="563">
                  <c:v>-4.7124547428261998</c:v>
                </c:pt>
                <c:pt idx="564">
                  <c:v>-4.7223023629640988</c:v>
                </c:pt>
                <c:pt idx="565">
                  <c:v>-4.7321499921298162</c:v>
                </c:pt>
                <c:pt idx="566">
                  <c:v>-4.7419976303231062</c:v>
                </c:pt>
                <c:pt idx="567">
                  <c:v>-4.7518452775437225</c:v>
                </c:pt>
                <c:pt idx="568">
                  <c:v>-4.7616929337914193</c:v>
                </c:pt>
                <c:pt idx="569">
                  <c:v>-4.7715405990659505</c:v>
                </c:pt>
                <c:pt idx="570">
                  <c:v>-4.7813882733670692</c:v>
                </c:pt>
                <c:pt idx="571">
                  <c:v>-4.7912359566945302</c:v>
                </c:pt>
                <c:pt idx="572">
                  <c:v>-4.8010836490480866</c:v>
                </c:pt>
                <c:pt idx="573">
                  <c:v>-4.8109313504274924</c:v>
                </c:pt>
                <c:pt idx="574">
                  <c:v>-4.8207790608325016</c:v>
                </c:pt>
                <c:pt idx="575">
                  <c:v>-4.8306267802628682</c:v>
                </c:pt>
                <c:pt idx="576">
                  <c:v>-4.8404745087183452</c:v>
                </c:pt>
                <c:pt idx="577">
                  <c:v>-4.8503222461986875</c:v>
                </c:pt>
                <c:pt idx="578">
                  <c:v>-4.8601699927036481</c:v>
                </c:pt>
                <c:pt idx="579">
                  <c:v>-4.8700177482329812</c:v>
                </c:pt>
                <c:pt idx="580">
                  <c:v>-4.8798655127864405</c:v>
                </c:pt>
                <c:pt idx="581">
                  <c:v>-4.8897132863637802</c:v>
                </c:pt>
                <c:pt idx="582">
                  <c:v>-4.8995610689647542</c:v>
                </c:pt>
                <c:pt idx="583">
                  <c:v>-4.9094088605891155</c:v>
                </c:pt>
                <c:pt idx="584">
                  <c:v>-4.9192566612366191</c:v>
                </c:pt>
                <c:pt idx="585">
                  <c:v>-4.929104470907018</c:v>
                </c:pt>
                <c:pt idx="586">
                  <c:v>-4.938952289600067</c:v>
                </c:pt>
                <c:pt idx="587">
                  <c:v>-4.9488001173155194</c:v>
                </c:pt>
                <c:pt idx="588">
                  <c:v>-4.958647954053129</c:v>
                </c:pt>
                <c:pt idx="589">
                  <c:v>-4.9684957998126498</c:v>
                </c:pt>
                <c:pt idx="590">
                  <c:v>-4.9783436545938358</c:v>
                </c:pt>
                <c:pt idx="591">
                  <c:v>-4.9881915183964409</c:v>
                </c:pt>
                <c:pt idx="592">
                  <c:v>-4.9980393912202183</c:v>
                </c:pt>
                <c:pt idx="593">
                  <c:v>-5.0078872730649229</c:v>
                </c:pt>
                <c:pt idx="594">
                  <c:v>-5.0177351639303085</c:v>
                </c:pt>
                <c:pt idx="595">
                  <c:v>-5.0275830638161283</c:v>
                </c:pt>
                <c:pt idx="596">
                  <c:v>-5.0374309727221371</c:v>
                </c:pt>
                <c:pt idx="597">
                  <c:v>-5.0472788906480881</c:v>
                </c:pt>
                <c:pt idx="598">
                  <c:v>-5.0571268175937352</c:v>
                </c:pt>
                <c:pt idx="599">
                  <c:v>-5.0669747535588332</c:v>
                </c:pt>
                <c:pt idx="600">
                  <c:v>-5.0768226985431353</c:v>
                </c:pt>
                <c:pt idx="601">
                  <c:v>-5.0866706525463954</c:v>
                </c:pt>
                <c:pt idx="602">
                  <c:v>-5.0965186155683675</c:v>
                </c:pt>
                <c:pt idx="603">
                  <c:v>-5.1063665876088056</c:v>
                </c:pt>
                <c:pt idx="604">
                  <c:v>-5.1162145686674636</c:v>
                </c:pt>
                <c:pt idx="605">
                  <c:v>-5.1260625587440956</c:v>
                </c:pt>
                <c:pt idx="606">
                  <c:v>-5.1359105578384554</c:v>
                </c:pt>
                <c:pt idx="607">
                  <c:v>-5.1457585659502971</c:v>
                </c:pt>
                <c:pt idx="608">
                  <c:v>-5.1556065830793747</c:v>
                </c:pt>
                <c:pt idx="609">
                  <c:v>-5.1654546092254421</c:v>
                </c:pt>
                <c:pt idx="610">
                  <c:v>-5.1753026443882533</c:v>
                </c:pt>
                <c:pt idx="611">
                  <c:v>-5.1851506885675622</c:v>
                </c:pt>
                <c:pt idx="612">
                  <c:v>-5.1949987417631229</c:v>
                </c:pt>
                <c:pt idx="613">
                  <c:v>-5.2048468039746894</c:v>
                </c:pt>
                <c:pt idx="614">
                  <c:v>-5.2146948752020155</c:v>
                </c:pt>
                <c:pt idx="615">
                  <c:v>-5.2245429554448553</c:v>
                </c:pt>
                <c:pt idx="616">
                  <c:v>-5.2343910447029627</c:v>
                </c:pt>
                <c:pt idx="617">
                  <c:v>-5.2442391429760917</c:v>
                </c:pt>
                <c:pt idx="618">
                  <c:v>-5.2540872502639964</c:v>
                </c:pt>
                <c:pt idx="619">
                  <c:v>-5.2639353665664306</c:v>
                </c:pt>
                <c:pt idx="620">
                  <c:v>-5.2737834918831483</c:v>
                </c:pt>
                <c:pt idx="621">
                  <c:v>-5.2836316262139045</c:v>
                </c:pt>
                <c:pt idx="622">
                  <c:v>-5.2934797695584521</c:v>
                </c:pt>
                <c:pt idx="623">
                  <c:v>-5.3033279219165452</c:v>
                </c:pt>
                <c:pt idx="624">
                  <c:v>-5.3131760832879378</c:v>
                </c:pt>
                <c:pt idx="625">
                  <c:v>-5.3230242536723846</c:v>
                </c:pt>
                <c:pt idx="626">
                  <c:v>-5.3328724330696389</c:v>
                </c:pt>
                <c:pt idx="627">
                  <c:v>-5.3427206214794554</c:v>
                </c:pt>
                <c:pt idx="628">
                  <c:v>-5.3525688189015872</c:v>
                </c:pt>
                <c:pt idx="629">
                  <c:v>-5.3624170253357892</c:v>
                </c:pt>
                <c:pt idx="630">
                  <c:v>-5.3722652407818146</c:v>
                </c:pt>
                <c:pt idx="631">
                  <c:v>-5.382113465239418</c:v>
                </c:pt>
                <c:pt idx="632">
                  <c:v>-5.3919616987083536</c:v>
                </c:pt>
                <c:pt idx="633">
                  <c:v>-5.4018099411883753</c:v>
                </c:pt>
                <c:pt idx="634">
                  <c:v>-5.4116581926792371</c:v>
                </c:pt>
                <c:pt idx="635">
                  <c:v>-5.4215064531806929</c:v>
                </c:pt>
                <c:pt idx="636">
                  <c:v>-5.4313547226924968</c:v>
                </c:pt>
                <c:pt idx="637">
                  <c:v>-5.4412030012144035</c:v>
                </c:pt>
                <c:pt idx="638">
                  <c:v>-5.4510512887461662</c:v>
                </c:pt>
                <c:pt idx="639">
                  <c:v>-5.4608995852875397</c:v>
                </c:pt>
                <c:pt idx="640">
                  <c:v>-5.4707478908382781</c:v>
                </c:pt>
                <c:pt idx="641">
                  <c:v>-5.4805962053981343</c:v>
                </c:pt>
                <c:pt idx="642">
                  <c:v>-5.4904445289668633</c:v>
                </c:pt>
                <c:pt idx="643">
                  <c:v>-5.500292861544219</c:v>
                </c:pt>
                <c:pt idx="644">
                  <c:v>-5.5101412031299564</c:v>
                </c:pt>
                <c:pt idx="645">
                  <c:v>-5.5199895537238284</c:v>
                </c:pt>
                <c:pt idx="646">
                  <c:v>-5.529837913325589</c:v>
                </c:pt>
                <c:pt idx="647">
                  <c:v>-5.5396862819349932</c:v>
                </c:pt>
                <c:pt idx="648">
                  <c:v>-5.5495346595517949</c:v>
                </c:pt>
                <c:pt idx="649">
                  <c:v>-5.5593830461757481</c:v>
                </c:pt>
                <c:pt idx="650">
                  <c:v>-5.5692314418066067</c:v>
                </c:pt>
                <c:pt idx="651">
                  <c:v>-5.5790798464441247</c:v>
                </c:pt>
                <c:pt idx="652">
                  <c:v>-5.588928260088057</c:v>
                </c:pt>
                <c:pt idx="653">
                  <c:v>-5.5987766827381567</c:v>
                </c:pt>
                <c:pt idx="654">
                  <c:v>-5.6086251143941785</c:v>
                </c:pt>
                <c:pt idx="655">
                  <c:v>-5.6184735550558766</c:v>
                </c:pt>
                <c:pt idx="656">
                  <c:v>-5.6283220047230049</c:v>
                </c:pt>
                <c:pt idx="657">
                  <c:v>-5.6381704633953182</c:v>
                </c:pt>
                <c:pt idx="658">
                  <c:v>-5.6480189310725697</c:v>
                </c:pt>
                <c:pt idx="659">
                  <c:v>-5.6578674077545141</c:v>
                </c:pt>
                <c:pt idx="660">
                  <c:v>-5.6677158934409055</c:v>
                </c:pt>
                <c:pt idx="661">
                  <c:v>-5.6775643881314979</c:v>
                </c:pt>
                <c:pt idx="662">
                  <c:v>-5.687412891826046</c:v>
                </c:pt>
                <c:pt idx="663">
                  <c:v>-5.6972614045243031</c:v>
                </c:pt>
                <c:pt idx="664">
                  <c:v>-5.7071099262260239</c:v>
                </c:pt>
                <c:pt idx="665">
                  <c:v>-5.7169584569309624</c:v>
                </c:pt>
                <c:pt idx="666">
                  <c:v>-5.7268069966388726</c:v>
                </c:pt>
                <c:pt idx="667">
                  <c:v>-5.7366555453495094</c:v>
                </c:pt>
                <c:pt idx="668">
                  <c:v>-5.7465041030626267</c:v>
                </c:pt>
                <c:pt idx="669">
                  <c:v>-5.7563526697779785</c:v>
                </c:pt>
                <c:pt idx="670">
                  <c:v>-5.7662012454953189</c:v>
                </c:pt>
                <c:pt idx="671">
                  <c:v>-5.7760498302144017</c:v>
                </c:pt>
                <c:pt idx="672">
                  <c:v>-5.7858984239349818</c:v>
                </c:pt>
                <c:pt idx="673">
                  <c:v>-5.7957470266568132</c:v>
                </c:pt>
                <c:pt idx="674">
                  <c:v>-5.8055956383796499</c:v>
                </c:pt>
                <c:pt idx="675">
                  <c:v>-5.8154442591032467</c:v>
                </c:pt>
                <c:pt idx="676">
                  <c:v>-5.8252928888273567</c:v>
                </c:pt>
                <c:pt idx="677">
                  <c:v>-5.8351415275517358</c:v>
                </c:pt>
                <c:pt idx="678">
                  <c:v>-5.8449901752761368</c:v>
                </c:pt>
                <c:pt idx="679">
                  <c:v>-5.854838832000314</c:v>
                </c:pt>
                <c:pt idx="680">
                  <c:v>-5.864687497724022</c:v>
                </c:pt>
                <c:pt idx="681">
                  <c:v>-5.8745361724470158</c:v>
                </c:pt>
                <c:pt idx="682">
                  <c:v>-5.8843848561690484</c:v>
                </c:pt>
                <c:pt idx="683">
                  <c:v>-5.8942335488898747</c:v>
                </c:pt>
                <c:pt idx="684">
                  <c:v>-5.9040822506092487</c:v>
                </c:pt>
                <c:pt idx="685">
                  <c:v>-5.9139309613269244</c:v>
                </c:pt>
                <c:pt idx="686">
                  <c:v>-5.9237796810426566</c:v>
                </c:pt>
                <c:pt idx="687">
                  <c:v>-5.9336284097561993</c:v>
                </c:pt>
                <c:pt idx="688">
                  <c:v>-5.9434771474673074</c:v>
                </c:pt>
                <c:pt idx="689">
                  <c:v>-5.9533258941757339</c:v>
                </c:pt>
                <c:pt idx="690">
                  <c:v>-5.9631746498812337</c:v>
                </c:pt>
                <c:pt idx="691">
                  <c:v>-5.9730234145835617</c:v>
                </c:pt>
                <c:pt idx="692">
                  <c:v>-5.9828721882824709</c:v>
                </c:pt>
                <c:pt idx="693">
                  <c:v>-5.9927209709777163</c:v>
                </c:pt>
                <c:pt idx="694">
                  <c:v>-6.0025697626690526</c:v>
                </c:pt>
                <c:pt idx="695">
                  <c:v>-6.012418563356233</c:v>
                </c:pt>
                <c:pt idx="696">
                  <c:v>-6.0222673730390124</c:v>
                </c:pt>
                <c:pt idx="697">
                  <c:v>-6.0321161917171455</c:v>
                </c:pt>
                <c:pt idx="698">
                  <c:v>-6.0419650193903864</c:v>
                </c:pt>
                <c:pt idx="699">
                  <c:v>-6.0518138560584891</c:v>
                </c:pt>
                <c:pt idx="700">
                  <c:v>-6.0616627017212075</c:v>
                </c:pt>
                <c:pt idx="701">
                  <c:v>-6.0715115563782964</c:v>
                </c:pt>
                <c:pt idx="702">
                  <c:v>-6.0813604200295108</c:v>
                </c:pt>
                <c:pt idx="703">
                  <c:v>-6.0912092926746038</c:v>
                </c:pt>
                <c:pt idx="704">
                  <c:v>-6.1010581743133301</c:v>
                </c:pt>
                <c:pt idx="705">
                  <c:v>-6.1109070649454447</c:v>
                </c:pt>
                <c:pt idx="706">
                  <c:v>-6.1207559645707015</c:v>
                </c:pt>
                <c:pt idx="707">
                  <c:v>-6.1306048731888545</c:v>
                </c:pt>
                <c:pt idx="708">
                  <c:v>-6.1404537907996586</c:v>
                </c:pt>
                <c:pt idx="709">
                  <c:v>-6.1503027174028677</c:v>
                </c:pt>
                <c:pt idx="710">
                  <c:v>-6.1601516529982359</c:v>
                </c:pt>
                <c:pt idx="711">
                  <c:v>-6.1700005975855179</c:v>
                </c:pt>
                <c:pt idx="712">
                  <c:v>-6.1798495511644678</c:v>
                </c:pt>
                <c:pt idx="713">
                  <c:v>-6.1896985137348404</c:v>
                </c:pt>
                <c:pt idx="714">
                  <c:v>-6.1995474852963897</c:v>
                </c:pt>
                <c:pt idx="715">
                  <c:v>-6.2093964658488705</c:v>
                </c:pt>
                <c:pt idx="716">
                  <c:v>-6.2192454553920369</c:v>
                </c:pt>
                <c:pt idx="717">
                  <c:v>-6.2290944539256428</c:v>
                </c:pt>
                <c:pt idx="718">
                  <c:v>-6.238943461449443</c:v>
                </c:pt>
                <c:pt idx="719">
                  <c:v>-6.2487924779631925</c:v>
                </c:pt>
                <c:pt idx="720">
                  <c:v>-6.2586415034666452</c:v>
                </c:pt>
                <c:pt idx="721">
                  <c:v>-6.268490537959555</c:v>
                </c:pt>
                <c:pt idx="722">
                  <c:v>-6.2783395814416769</c:v>
                </c:pt>
                <c:pt idx="723">
                  <c:v>-6.2881886339127648</c:v>
                </c:pt>
                <c:pt idx="724">
                  <c:v>-6.2980376953725736</c:v>
                </c:pt>
                <c:pt idx="725">
                  <c:v>-6.3078867658208573</c:v>
                </c:pt>
                <c:pt idx="726">
                  <c:v>-6.3177358452573706</c:v>
                </c:pt>
                <c:pt idx="727">
                  <c:v>-6.3275849336818677</c:v>
                </c:pt>
                <c:pt idx="728">
                  <c:v>-6.3374340310941024</c:v>
                </c:pt>
                <c:pt idx="729">
                  <c:v>-6.3472831374938306</c:v>
                </c:pt>
                <c:pt idx="730">
                  <c:v>-6.3571322528808052</c:v>
                </c:pt>
                <c:pt idx="731">
                  <c:v>-6.3669813772547812</c:v>
                </c:pt>
                <c:pt idx="732">
                  <c:v>-6.3768305106155134</c:v>
                </c:pt>
                <c:pt idx="733">
                  <c:v>-6.3866796529627559</c:v>
                </c:pt>
                <c:pt idx="734">
                  <c:v>-6.3965288042962634</c:v>
                </c:pt>
                <c:pt idx="735">
                  <c:v>-6.4063779646157899</c:v>
                </c:pt>
                <c:pt idx="736">
                  <c:v>-6.4162271339210903</c:v>
                </c:pt>
                <c:pt idx="737">
                  <c:v>-6.4260763122119187</c:v>
                </c:pt>
                <c:pt idx="738">
                  <c:v>-6.4359254994880297</c:v>
                </c:pt>
                <c:pt idx="739">
                  <c:v>-6.4457746957491775</c:v>
                </c:pt>
                <c:pt idx="740">
                  <c:v>-6.4556239009951168</c:v>
                </c:pt>
                <c:pt idx="741">
                  <c:v>-6.4654731152256018</c:v>
                </c:pt>
                <c:pt idx="742">
                  <c:v>-6.4753223384403871</c:v>
                </c:pt>
                <c:pt idx="743">
                  <c:v>-6.4851715706392277</c:v>
                </c:pt>
                <c:pt idx="744">
                  <c:v>-6.4950208118218775</c:v>
                </c:pt>
                <c:pt idx="745">
                  <c:v>-6.5048700619880906</c:v>
                </c:pt>
                <c:pt idx="746">
                  <c:v>-6.5147193211376226</c:v>
                </c:pt>
                <c:pt idx="747">
                  <c:v>-6.5245685892702268</c:v>
                </c:pt>
                <c:pt idx="748">
                  <c:v>-6.5344178663856587</c:v>
                </c:pt>
                <c:pt idx="749">
                  <c:v>-6.5442671524836724</c:v>
                </c:pt>
                <c:pt idx="750">
                  <c:v>-6.5541164475640219</c:v>
                </c:pt>
                <c:pt idx="751">
                  <c:v>-6.563965751626462</c:v>
                </c:pt>
                <c:pt idx="752">
                  <c:v>-6.5738150646707476</c:v>
                </c:pt>
                <c:pt idx="753">
                  <c:v>-6.5836643866966327</c:v>
                </c:pt>
                <c:pt idx="754">
                  <c:v>-6.5935137177038721</c:v>
                </c:pt>
                <c:pt idx="755">
                  <c:v>-6.6033630576922198</c:v>
                </c:pt>
                <c:pt idx="756">
                  <c:v>-6.6132124066614306</c:v>
                </c:pt>
                <c:pt idx="757">
                  <c:v>-6.6230617646112595</c:v>
                </c:pt>
                <c:pt idx="758">
                  <c:v>-6.6329111315414604</c:v>
                </c:pt>
                <c:pt idx="759">
                  <c:v>-6.6427605074517881</c:v>
                </c:pt>
                <c:pt idx="760">
                  <c:v>-6.6526098923419976</c:v>
                </c:pt>
                <c:pt idx="761">
                  <c:v>-6.6624592862118428</c:v>
                </c:pt>
                <c:pt idx="762">
                  <c:v>-6.6723086890610785</c:v>
                </c:pt>
                <c:pt idx="763">
                  <c:v>-6.6821581008894588</c:v>
                </c:pt>
                <c:pt idx="764">
                  <c:v>-6.6920075216967385</c:v>
                </c:pt>
                <c:pt idx="765">
                  <c:v>-6.7018569514826725</c:v>
                </c:pt>
                <c:pt idx="766">
                  <c:v>-6.7117063902470147</c:v>
                </c:pt>
                <c:pt idx="767">
                  <c:v>-6.7215558379895199</c:v>
                </c:pt>
                <c:pt idx="768">
                  <c:v>-6.7314052947099432</c:v>
                </c:pt>
                <c:pt idx="769">
                  <c:v>-6.7412547604080384</c:v>
                </c:pt>
                <c:pt idx="770">
                  <c:v>-6.7511042350835604</c:v>
                </c:pt>
                <c:pt idx="771">
                  <c:v>-6.7609537187362641</c:v>
                </c:pt>
                <c:pt idx="772">
                  <c:v>-6.7708032113659034</c:v>
                </c:pt>
                <c:pt idx="773">
                  <c:v>-6.7806527129722332</c:v>
                </c:pt>
                <c:pt idx="774">
                  <c:v>-6.7905022235550083</c:v>
                </c:pt>
                <c:pt idx="775">
                  <c:v>-6.8003517431139828</c:v>
                </c:pt>
                <c:pt idx="776">
                  <c:v>-6.8102012716489115</c:v>
                </c:pt>
                <c:pt idx="777">
                  <c:v>-6.8200508091595493</c:v>
                </c:pt>
                <c:pt idx="778">
                  <c:v>-6.829900355645651</c:v>
                </c:pt>
                <c:pt idx="779">
                  <c:v>-6.8397499111069706</c:v>
                </c:pt>
                <c:pt idx="780">
                  <c:v>-6.849599475543263</c:v>
                </c:pt>
                <c:pt idx="781">
                  <c:v>-6.8594490489542821</c:v>
                </c:pt>
                <c:pt idx="782">
                  <c:v>-6.8692986313397837</c:v>
                </c:pt>
                <c:pt idx="783">
                  <c:v>-6.8791482226995218</c:v>
                </c:pt>
                <c:pt idx="784">
                  <c:v>-6.8889978230332503</c:v>
                </c:pt>
                <c:pt idx="785">
                  <c:v>-6.8988474323407249</c:v>
                </c:pt>
                <c:pt idx="786">
                  <c:v>-6.9086970506216998</c:v>
                </c:pt>
                <c:pt idx="787">
                  <c:v>-6.9185466778759297</c:v>
                </c:pt>
                <c:pt idx="788">
                  <c:v>-6.9283963141031695</c:v>
                </c:pt>
                <c:pt idx="789">
                  <c:v>-6.9382459593031731</c:v>
                </c:pt>
                <c:pt idx="790">
                  <c:v>-6.9480956134756964</c:v>
                </c:pt>
                <c:pt idx="791">
                  <c:v>-6.9579452766204923</c:v>
                </c:pt>
                <c:pt idx="792">
                  <c:v>-6.9677949487373168</c:v>
                </c:pt>
                <c:pt idx="793">
                  <c:v>-6.9776446298259245</c:v>
                </c:pt>
                <c:pt idx="794">
                  <c:v>-6.9874943198860695</c:v>
                </c:pt>
                <c:pt idx="795">
                  <c:v>-6.9973440189175067</c:v>
                </c:pt>
                <c:pt idx="796">
                  <c:v>-7.0071937269199909</c:v>
                </c:pt>
                <c:pt idx="797">
                  <c:v>-7.0170434438932761</c:v>
                </c:pt>
                <c:pt idx="798">
                  <c:v>-7.026893169837118</c:v>
                </c:pt>
                <c:pt idx="799">
                  <c:v>-7.0367429047512706</c:v>
                </c:pt>
                <c:pt idx="800">
                  <c:v>-7.0465926486354888</c:v>
                </c:pt>
                <c:pt idx="801">
                  <c:v>-7.0564424014895266</c:v>
                </c:pt>
                <c:pt idx="802">
                  <c:v>-7.0662921633131397</c:v>
                </c:pt>
                <c:pt idx="803">
                  <c:v>-7.0761419341060821</c:v>
                </c:pt>
                <c:pt idx="804">
                  <c:v>-7.0859917138681086</c:v>
                </c:pt>
                <c:pt idx="805">
                  <c:v>-7.0958415025989741</c:v>
                </c:pt>
                <c:pt idx="806">
                  <c:v>-7.1056913002984334</c:v>
                </c:pt>
                <c:pt idx="807">
                  <c:v>-7.1155411069662415</c:v>
                </c:pt>
                <c:pt idx="808">
                  <c:v>-7.1253909226021523</c:v>
                </c:pt>
                <c:pt idx="809">
                  <c:v>-7.1352407472059207</c:v>
                </c:pt>
                <c:pt idx="810">
                  <c:v>-7.1450905807773015</c:v>
                </c:pt>
                <c:pt idx="811">
                  <c:v>-7.1549404233160496</c:v>
                </c:pt>
                <c:pt idx="812">
                  <c:v>-7.1647902748219199</c:v>
                </c:pt>
                <c:pt idx="813">
                  <c:v>-7.1746401352946672</c:v>
                </c:pt>
                <c:pt idx="814">
                  <c:v>-7.1844900047340454</c:v>
                </c:pt>
                <c:pt idx="815">
                  <c:v>-7.1943398831398095</c:v>
                </c:pt>
                <c:pt idx="816">
                  <c:v>-7.2041897705117153</c:v>
                </c:pt>
                <c:pt idx="817">
                  <c:v>-7.2140396668495166</c:v>
                </c:pt>
                <c:pt idx="818">
                  <c:v>-7.2238895721529683</c:v>
                </c:pt>
                <c:pt idx="819">
                  <c:v>-7.2337394864218245</c:v>
                </c:pt>
                <c:pt idx="820">
                  <c:v>-7.2435894096558409</c:v>
                </c:pt>
                <c:pt idx="821">
                  <c:v>-7.2534393418547722</c:v>
                </c:pt>
                <c:pt idx="822">
                  <c:v>-7.2632892830183726</c:v>
                </c:pt>
                <c:pt idx="823">
                  <c:v>-7.2731392331463969</c:v>
                </c:pt>
                <c:pt idx="824">
                  <c:v>-7.2829891922385999</c:v>
                </c:pt>
                <c:pt idx="825">
                  <c:v>-7.2928391602947373</c:v>
                </c:pt>
                <c:pt idx="826">
                  <c:v>-7.3026891373145633</c:v>
                </c:pt>
                <c:pt idx="827">
                  <c:v>-7.3125391232978316</c:v>
                </c:pt>
                <c:pt idx="828">
                  <c:v>-7.3223891182442982</c:v>
                </c:pt>
                <c:pt idx="829">
                  <c:v>-7.3322391221537178</c:v>
                </c:pt>
                <c:pt idx="830">
                  <c:v>-7.3420891350258453</c:v>
                </c:pt>
                <c:pt idx="831">
                  <c:v>-7.3519391568604346</c:v>
                </c:pt>
                <c:pt idx="832">
                  <c:v>-7.3617891876572417</c:v>
                </c:pt>
                <c:pt idx="833">
                  <c:v>-7.3716392274160203</c:v>
                </c:pt>
                <c:pt idx="834">
                  <c:v>-7.3814892761365254</c:v>
                </c:pt>
                <c:pt idx="835">
                  <c:v>-7.3913393338185127</c:v>
                </c:pt>
                <c:pt idx="836">
                  <c:v>-7.4011894004617362</c:v>
                </c:pt>
                <c:pt idx="837">
                  <c:v>-7.4110394760659508</c:v>
                </c:pt>
                <c:pt idx="838">
                  <c:v>-7.4208895606309113</c:v>
                </c:pt>
                <c:pt idx="839">
                  <c:v>-7.4307396541563726</c:v>
                </c:pt>
                <c:pt idx="840">
                  <c:v>-7.4405897566420904</c:v>
                </c:pt>
                <c:pt idx="841">
                  <c:v>-7.4504398680878188</c:v>
                </c:pt>
                <c:pt idx="842">
                  <c:v>-7.4602899884933125</c:v>
                </c:pt>
                <c:pt idx="843">
                  <c:v>-7.4701401178583255</c:v>
                </c:pt>
                <c:pt idx="844">
                  <c:v>-7.4799902561826137</c:v>
                </c:pt>
                <c:pt idx="845">
                  <c:v>-7.4898404034659318</c:v>
                </c:pt>
                <c:pt idx="846">
                  <c:v>-7.4996905597080348</c:v>
                </c:pt>
                <c:pt idx="847">
                  <c:v>-7.5095407249086774</c:v>
                </c:pt>
                <c:pt idx="848">
                  <c:v>-7.5193908990676146</c:v>
                </c:pt>
                <c:pt idx="849">
                  <c:v>-7.5292410821846012</c:v>
                </c:pt>
                <c:pt idx="850">
                  <c:v>-7.5390912742593921</c:v>
                </c:pt>
                <c:pt idx="851">
                  <c:v>-7.5489414752917421</c:v>
                </c:pt>
                <c:pt idx="852">
                  <c:v>-7.5587916852814061</c:v>
                </c:pt>
                <c:pt idx="853">
                  <c:v>-7.5686419042281381</c:v>
                </c:pt>
                <c:pt idx="854">
                  <c:v>-7.5784921321316938</c:v>
                </c:pt>
                <c:pt idx="855">
                  <c:v>-7.5883423689918281</c:v>
                </c:pt>
                <c:pt idx="856">
                  <c:v>-7.5981926148082959</c:v>
                </c:pt>
                <c:pt idx="857">
                  <c:v>-7.608042869580852</c:v>
                </c:pt>
                <c:pt idx="858">
                  <c:v>-7.6178931333092512</c:v>
                </c:pt>
                <c:pt idx="859">
                  <c:v>-7.6277434059932494</c:v>
                </c:pt>
                <c:pt idx="860">
                  <c:v>-7.6375936876326005</c:v>
                </c:pt>
                <c:pt idx="861">
                  <c:v>-7.6474439782270593</c:v>
                </c:pt>
                <c:pt idx="862">
                  <c:v>-7.6572942777763808</c:v>
                </c:pt>
                <c:pt idx="863">
                  <c:v>-7.6671445862803198</c:v>
                </c:pt>
                <c:pt idx="864">
                  <c:v>-7.676994903738632</c:v>
                </c:pt>
                <c:pt idx="865">
                  <c:v>-7.6868452301510715</c:v>
                </c:pt>
                <c:pt idx="866">
                  <c:v>-7.6966955655173939</c:v>
                </c:pt>
                <c:pt idx="867">
                  <c:v>-7.7065459098373532</c:v>
                </c:pt>
                <c:pt idx="868">
                  <c:v>-7.7163962631107053</c:v>
                </c:pt>
                <c:pt idx="869">
                  <c:v>-7.7262466253372049</c:v>
                </c:pt>
                <c:pt idx="870">
                  <c:v>-7.736096996516606</c:v>
                </c:pt>
                <c:pt idx="871">
                  <c:v>-7.7459473766486644</c:v>
                </c:pt>
                <c:pt idx="872">
                  <c:v>-7.755797765733135</c:v>
                </c:pt>
                <c:pt idx="873">
                  <c:v>-7.7656481637697725</c:v>
                </c:pt>
                <c:pt idx="874">
                  <c:v>-7.7754985707583328</c:v>
                </c:pt>
                <c:pt idx="875">
                  <c:v>-7.7853489866985699</c:v>
                </c:pt>
                <c:pt idx="876">
                  <c:v>-7.7951994115902385</c:v>
                </c:pt>
                <c:pt idx="877">
                  <c:v>-7.8050498454330945</c:v>
                </c:pt>
                <c:pt idx="878">
                  <c:v>-7.8149002882268928</c:v>
                </c:pt>
                <c:pt idx="879">
                  <c:v>-7.8247507399713871</c:v>
                </c:pt>
                <c:pt idx="880">
                  <c:v>-7.8346012006663335</c:v>
                </c:pt>
                <c:pt idx="881">
                  <c:v>-7.8444516703114866</c:v>
                </c:pt>
                <c:pt idx="882">
                  <c:v>-7.8543021489066014</c:v>
                </c:pt>
                <c:pt idx="883">
                  <c:v>-7.8641526364514336</c:v>
                </c:pt>
                <c:pt idx="884">
                  <c:v>-7.8740031329457372</c:v>
                </c:pt>
                <c:pt idx="885">
                  <c:v>-7.8838536383892679</c:v>
                </c:pt>
                <c:pt idx="886">
                  <c:v>-7.8937041527817806</c:v>
                </c:pt>
                <c:pt idx="887">
                  <c:v>-7.9035546761230293</c:v>
                </c:pt>
                <c:pt idx="888">
                  <c:v>-7.9134052084127706</c:v>
                </c:pt>
                <c:pt idx="889">
                  <c:v>-7.9232557496507585</c:v>
                </c:pt>
                <c:pt idx="890">
                  <c:v>-7.9331062998367479</c:v>
                </c:pt>
                <c:pt idx="891">
                  <c:v>-7.9429568589704944</c:v>
                </c:pt>
                <c:pt idx="892">
                  <c:v>-7.952807427051753</c:v>
                </c:pt>
                <c:pt idx="893">
                  <c:v>-7.9626580040802777</c:v>
                </c:pt>
                <c:pt idx="894">
                  <c:v>-7.972508590055825</c:v>
                </c:pt>
                <c:pt idx="895">
                  <c:v>-7.982359184978149</c:v>
                </c:pt>
                <c:pt idx="896">
                  <c:v>-7.9922097888470045</c:v>
                </c:pt>
                <c:pt idx="897">
                  <c:v>-8.0020604016621473</c:v>
                </c:pt>
                <c:pt idx="898">
                  <c:v>-8.0119110234233322</c:v>
                </c:pt>
                <c:pt idx="899">
                  <c:v>-8.0217616541303141</c:v>
                </c:pt>
                <c:pt idx="900">
                  <c:v>-8.0316122937828478</c:v>
                </c:pt>
                <c:pt idx="901">
                  <c:v>-8.04146294238069</c:v>
                </c:pt>
                <c:pt idx="902">
                  <c:v>-8.0513135999235939</c:v>
                </c:pt>
                <c:pt idx="903">
                  <c:v>-8.0611642664113141</c:v>
                </c:pt>
                <c:pt idx="904">
                  <c:v>-8.0710149418436075</c:v>
                </c:pt>
                <c:pt idx="905">
                  <c:v>-8.0808656262202287</c:v>
                </c:pt>
                <c:pt idx="906">
                  <c:v>-8.0907163195409328</c:v>
                </c:pt>
                <c:pt idx="907">
                  <c:v>-8.1005670218054746</c:v>
                </c:pt>
                <c:pt idx="908">
                  <c:v>-8.1104177330136089</c:v>
                </c:pt>
                <c:pt idx="909">
                  <c:v>-8.1202684531650906</c:v>
                </c:pt>
                <c:pt idx="910">
                  <c:v>-8.1301191822596746</c:v>
                </c:pt>
                <c:pt idx="911">
                  <c:v>-8.1399699202971174</c:v>
                </c:pt>
                <c:pt idx="912">
                  <c:v>-8.1498206672771722</c:v>
                </c:pt>
                <c:pt idx="913">
                  <c:v>-8.1596714231995957</c:v>
                </c:pt>
                <c:pt idx="914">
                  <c:v>-8.1695221880641427</c:v>
                </c:pt>
                <c:pt idx="915">
                  <c:v>-8.1793729618705679</c:v>
                </c:pt>
                <c:pt idx="916">
                  <c:v>-8.1892237446186265</c:v>
                </c:pt>
                <c:pt idx="917">
                  <c:v>-8.199074536308073</c:v>
                </c:pt>
                <c:pt idx="918">
                  <c:v>-8.2089253369386643</c:v>
                </c:pt>
                <c:pt idx="919">
                  <c:v>-8.2187761465101552</c:v>
                </c:pt>
                <c:pt idx="920">
                  <c:v>-8.2286269650222987</c:v>
                </c:pt>
                <c:pt idx="921">
                  <c:v>-8.2384777924748516</c:v>
                </c:pt>
                <c:pt idx="922">
                  <c:v>-8.2483286288675686</c:v>
                </c:pt>
                <c:pt idx="923">
                  <c:v>-8.2581794742002046</c:v>
                </c:pt>
                <c:pt idx="924">
                  <c:v>-8.2680303284725163</c:v>
                </c:pt>
                <c:pt idx="925">
                  <c:v>-8.2778811916842567</c:v>
                </c:pt>
                <c:pt idx="926">
                  <c:v>-8.2877320638351826</c:v>
                </c:pt>
                <c:pt idx="927">
                  <c:v>-8.2975829449250487</c:v>
                </c:pt>
                <c:pt idx="928">
                  <c:v>-8.3074338349536099</c:v>
                </c:pt>
                <c:pt idx="929">
                  <c:v>-8.3172847339206211</c:v>
                </c:pt>
                <c:pt idx="930">
                  <c:v>-8.3271356418258371</c:v>
                </c:pt>
                <c:pt idx="931">
                  <c:v>-8.3369865586690146</c:v>
                </c:pt>
                <c:pt idx="932">
                  <c:v>-8.3468374844499067</c:v>
                </c:pt>
                <c:pt idx="933">
                  <c:v>-8.35668841916827</c:v>
                </c:pt>
                <c:pt idx="934">
                  <c:v>-8.3665393628238593</c:v>
                </c:pt>
                <c:pt idx="935">
                  <c:v>-8.3763903154164296</c:v>
                </c:pt>
                <c:pt idx="936">
                  <c:v>-8.3862412769457375</c:v>
                </c:pt>
                <c:pt idx="937">
                  <c:v>-8.396092247411536</c:v>
                </c:pt>
                <c:pt idx="938">
                  <c:v>-8.4059432268135819</c:v>
                </c:pt>
                <c:pt idx="939">
                  <c:v>-8.4157942151516298</c:v>
                </c:pt>
                <c:pt idx="940">
                  <c:v>-8.4256452124254348</c:v>
                </c:pt>
                <c:pt idx="941">
                  <c:v>-8.4354962186347535</c:v>
                </c:pt>
                <c:pt idx="942">
                  <c:v>-8.4453472337793389</c:v>
                </c:pt>
                <c:pt idx="943">
                  <c:v>-8.4551982578589477</c:v>
                </c:pt>
                <c:pt idx="944">
                  <c:v>-8.4650492908733348</c:v>
                </c:pt>
                <c:pt idx="945">
                  <c:v>-8.474900332822255</c:v>
                </c:pt>
                <c:pt idx="946">
                  <c:v>-8.4847513837054631</c:v>
                </c:pt>
                <c:pt idx="947">
                  <c:v>-8.4946024435227159</c:v>
                </c:pt>
                <c:pt idx="948">
                  <c:v>-8.5044535122737663</c:v>
                </c:pt>
                <c:pt idx="949">
                  <c:v>-8.5143045899583711</c:v>
                </c:pt>
                <c:pt idx="950">
                  <c:v>-8.5241556765762851</c:v>
                </c:pt>
                <c:pt idx="951">
                  <c:v>-8.534006772127265</c:v>
                </c:pt>
                <c:pt idx="952">
                  <c:v>-8.5438578766110638</c:v>
                </c:pt>
                <c:pt idx="953">
                  <c:v>-8.5537089900274381</c:v>
                </c:pt>
                <c:pt idx="954">
                  <c:v>-8.5635601123761429</c:v>
                </c:pt>
                <c:pt idx="955">
                  <c:v>-8.573411243656933</c:v>
                </c:pt>
                <c:pt idx="956">
                  <c:v>-8.583262383869565</c:v>
                </c:pt>
                <c:pt idx="957">
                  <c:v>-8.5931135330137938</c:v>
                </c:pt>
                <c:pt idx="958">
                  <c:v>-8.6029646910893742</c:v>
                </c:pt>
                <c:pt idx="959">
                  <c:v>-8.6128158580960612</c:v>
                </c:pt>
                <c:pt idx="960">
                  <c:v>-8.6226670340336096</c:v>
                </c:pt>
                <c:pt idx="961">
                  <c:v>-8.632518218901776</c:v>
                </c:pt>
                <c:pt idx="962">
                  <c:v>-8.6423694127003134</c:v>
                </c:pt>
                <c:pt idx="963">
                  <c:v>-8.6522206154289805</c:v>
                </c:pt>
                <c:pt idx="964">
                  <c:v>-8.6620718270875301</c:v>
                </c:pt>
                <c:pt idx="965">
                  <c:v>-8.6719230476757172</c:v>
                </c:pt>
                <c:pt idx="966">
                  <c:v>-8.6817742771932984</c:v>
                </c:pt>
                <c:pt idx="967">
                  <c:v>-8.6916255156400286</c:v>
                </c:pt>
                <c:pt idx="968">
                  <c:v>-8.7014767630156644</c:v>
                </c:pt>
                <c:pt idx="969">
                  <c:v>-8.7113280193199589</c:v>
                </c:pt>
                <c:pt idx="970">
                  <c:v>-8.7211792845526688</c:v>
                </c:pt>
                <c:pt idx="971">
                  <c:v>-8.7310305587135488</c:v>
                </c:pt>
                <c:pt idx="972">
                  <c:v>-8.7408818418023539</c:v>
                </c:pt>
                <c:pt idx="973">
                  <c:v>-8.7507331338188408</c:v>
                </c:pt>
                <c:pt idx="974">
                  <c:v>-8.7605844347627642</c:v>
                </c:pt>
                <c:pt idx="975">
                  <c:v>-8.770435744633879</c:v>
                </c:pt>
                <c:pt idx="976">
                  <c:v>-8.7802870634319401</c:v>
                </c:pt>
                <c:pt idx="977">
                  <c:v>-8.7901383911567041</c:v>
                </c:pt>
                <c:pt idx="978">
                  <c:v>-8.799989727807926</c:v>
                </c:pt>
                <c:pt idx="979">
                  <c:v>-8.8098410733853605</c:v>
                </c:pt>
                <c:pt idx="980">
                  <c:v>-8.8196924278887625</c:v>
                </c:pt>
                <c:pt idx="981">
                  <c:v>-8.8295437913178887</c:v>
                </c:pt>
                <c:pt idx="982">
                  <c:v>-8.8393951636724939</c:v>
                </c:pt>
                <c:pt idx="983">
                  <c:v>-8.849246544952333</c:v>
                </c:pt>
                <c:pt idx="984">
                  <c:v>-8.8590979351571626</c:v>
                </c:pt>
                <c:pt idx="985">
                  <c:v>-8.8689493342867376</c:v>
                </c:pt>
                <c:pt idx="986">
                  <c:v>-8.8788007423408128</c:v>
                </c:pt>
                <c:pt idx="987">
                  <c:v>-8.8886521593191432</c:v>
                </c:pt>
                <c:pt idx="988">
                  <c:v>-8.8985035852214853</c:v>
                </c:pt>
                <c:pt idx="989">
                  <c:v>-8.9083550200475941</c:v>
                </c:pt>
                <c:pt idx="990">
                  <c:v>-8.918206463797226</c:v>
                </c:pt>
                <c:pt idx="991">
                  <c:v>-8.9280579164701344</c:v>
                </c:pt>
                <c:pt idx="992">
                  <c:v>-8.9379093780660757</c:v>
                </c:pt>
                <c:pt idx="993">
                  <c:v>-8.9477608485848048</c:v>
                </c:pt>
                <c:pt idx="994">
                  <c:v>-8.9576123280260784</c:v>
                </c:pt>
                <c:pt idx="995">
                  <c:v>-8.9674638163896514</c:v>
                </c:pt>
                <c:pt idx="996">
                  <c:v>-8.9773153136752786</c:v>
                </c:pt>
                <c:pt idx="997">
                  <c:v>-8.9871668198827148</c:v>
                </c:pt>
                <c:pt idx="998">
                  <c:v>-8.9970183350117168</c:v>
                </c:pt>
                <c:pt idx="999">
                  <c:v>-9.0068698590620393</c:v>
                </c:pt>
                <c:pt idx="1000">
                  <c:v>-9.0167213920334373</c:v>
                </c:pt>
              </c:numCache>
            </c:numRef>
          </c:yVal>
          <c:smooth val="0"/>
          <c:extLst>
            <c:ext xmlns:c16="http://schemas.microsoft.com/office/drawing/2014/chart" uri="{C3380CC4-5D6E-409C-BE32-E72D297353CC}">
              <c16:uniqueId val="{00000001-B5CC-4BD6-9E0D-EA30945FB569}"/>
            </c:ext>
          </c:extLst>
        </c:ser>
        <c:dLbls>
          <c:showLegendKey val="0"/>
          <c:showVal val="0"/>
          <c:showCatName val="0"/>
          <c:showSerName val="0"/>
          <c:showPercent val="0"/>
          <c:showBubbleSize val="0"/>
        </c:dLbls>
        <c:axId val="149619072"/>
        <c:axId val="149620992"/>
      </c:scatterChart>
      <c:valAx>
        <c:axId val="149619072"/>
        <c:scaling>
          <c:orientation val="minMax"/>
        </c:scaling>
        <c:delete val="0"/>
        <c:axPos val="b"/>
        <c:majorGridlines>
          <c:spPr>
            <a:ln w="3175">
              <a:solidFill>
                <a:srgbClr val="000000"/>
              </a:solidFill>
              <a:prstDash val="sysDash"/>
            </a:ln>
          </c:spPr>
        </c:majorGridlines>
        <c:title>
          <c:tx>
            <c:strRef>
              <c:f>Courbes!$B$146</c:f>
              <c:strCache>
                <c:ptCount val="1"/>
                <c:pt idx="0">
                  <c:v>Temps [s]</c:v>
                </c:pt>
              </c:strCache>
            </c:strRef>
          </c:tx>
          <c:overlay val="0"/>
          <c:txPr>
            <a:bodyPr/>
            <a:lstStyle/>
            <a:p>
              <a:pPr>
                <a:defRPr sz="1000" b="0" i="0" u="none" strike="noStrike" baseline="0">
                  <a:solidFill>
                    <a:srgbClr val="000000"/>
                  </a:solidFill>
                  <a:latin typeface="Arial"/>
                  <a:ea typeface="Arial"/>
                  <a:cs typeface="Arial"/>
                </a:defRPr>
              </a:pPr>
              <a:endParaRPr lang="fr-FR"/>
            </a:p>
          </c:txPr>
        </c:title>
        <c:numFmt formatCode="0" sourceLinked="0"/>
        <c:majorTickMark val="out"/>
        <c:minorTickMark val="none"/>
        <c:tickLblPos val="nextTo"/>
        <c:spPr>
          <a:ln w="3175">
            <a:solidFill>
              <a:srgbClr val="000000"/>
            </a:solidFill>
            <a:prstDash val="solid"/>
          </a:ln>
        </c:spPr>
        <c:txPr>
          <a:bodyPr rot="0" vert="horz"/>
          <a:lstStyle/>
          <a:p>
            <a:pPr>
              <a:defRPr sz="1175" b="0" i="0" u="none" strike="noStrike" baseline="0">
                <a:solidFill>
                  <a:srgbClr val="000000"/>
                </a:solidFill>
                <a:latin typeface="Arial"/>
                <a:ea typeface="Arial"/>
                <a:cs typeface="Arial"/>
              </a:defRPr>
            </a:pPr>
            <a:endParaRPr lang="fr-FR"/>
          </a:p>
        </c:txPr>
        <c:crossAx val="149620992"/>
        <c:crosses val="autoZero"/>
        <c:crossBetween val="midCat"/>
      </c:valAx>
      <c:valAx>
        <c:axId val="149620992"/>
        <c:scaling>
          <c:orientation val="minMax"/>
          <c:min val="0"/>
        </c:scaling>
        <c:delete val="0"/>
        <c:axPos val="l"/>
        <c:majorGridlines>
          <c:spPr>
            <a:ln w="3175">
              <a:solidFill>
                <a:srgbClr val="000000"/>
              </a:solidFill>
              <a:prstDash val="sysDash"/>
            </a:ln>
          </c:spPr>
        </c:majorGridlines>
        <c:title>
          <c:tx>
            <c:rich>
              <a:bodyPr/>
              <a:lstStyle/>
              <a:p>
                <a:pPr>
                  <a:defRPr sz="1175" b="1" i="0" u="none" strike="noStrike" baseline="0">
                    <a:solidFill>
                      <a:srgbClr val="000000"/>
                    </a:solidFill>
                    <a:latin typeface="Arial"/>
                    <a:ea typeface="Arial"/>
                    <a:cs typeface="Arial"/>
                  </a:defRPr>
                </a:pPr>
                <a:r>
                  <a:rPr lang="fr-FR"/>
                  <a:t>Positions [m]</a:t>
                </a:r>
              </a:p>
            </c:rich>
          </c:tx>
          <c:layout>
            <c:manualLayout>
              <c:xMode val="edge"/>
              <c:yMode val="edge"/>
              <c:x val="2.0047169811320761E-2"/>
              <c:y val="0.30065476815398084"/>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175" b="0" i="0" u="none" strike="noStrike" baseline="0">
                <a:solidFill>
                  <a:srgbClr val="000000"/>
                </a:solidFill>
                <a:latin typeface="Arial"/>
                <a:ea typeface="Arial"/>
                <a:cs typeface="Arial"/>
              </a:defRPr>
            </a:pPr>
            <a:endParaRPr lang="fr-FR"/>
          </a:p>
        </c:txPr>
        <c:crossAx val="149619072"/>
        <c:crosses val="autoZero"/>
        <c:crossBetween val="midCat"/>
      </c:valAx>
      <c:spPr>
        <a:noFill/>
        <a:ln w="12700">
          <a:solidFill>
            <a:srgbClr val="808080"/>
          </a:solidFill>
          <a:prstDash val="solid"/>
        </a:ln>
      </c:spPr>
    </c:plotArea>
    <c:legend>
      <c:legendPos val="r"/>
      <c:layout>
        <c:manualLayout>
          <c:xMode val="edge"/>
          <c:yMode val="edge"/>
          <c:x val="0.8286169712276531"/>
          <c:y val="0.4888892388451444"/>
          <c:w val="0.13679257663546773"/>
          <c:h val="0.15777777777777779"/>
        </c:manualLayout>
      </c:layout>
      <c:overlay val="0"/>
      <c:spPr>
        <a:solidFill>
          <a:srgbClr val="FFFFFF"/>
        </a:solidFill>
        <a:ln w="3175">
          <a:solidFill>
            <a:srgbClr val="000000"/>
          </a:solidFill>
          <a:prstDash val="solid"/>
        </a:ln>
      </c:spPr>
      <c:txPr>
        <a:bodyPr/>
        <a:lstStyle/>
        <a:p>
          <a:pPr>
            <a:defRPr sz="970" b="0" i="0" u="none" strike="noStrike" baseline="0">
              <a:solidFill>
                <a:srgbClr val="000000"/>
              </a:solidFill>
              <a:latin typeface="Arial"/>
              <a:ea typeface="Arial"/>
              <a:cs typeface="Arial"/>
            </a:defRPr>
          </a:pPr>
          <a:endParaRPr lang="fr-FR"/>
        </a:p>
      </c:txPr>
    </c:legend>
    <c:plotVisOnly val="0"/>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51180555555555562" footer="0.51180555555555562"/>
    <c:pageSetup firstPageNumber="0"/>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Propu!$A$2</c:f>
          <c:strCache>
            <c:ptCount val="1"/>
            <c:pt idx="0">
              <c:v>Aucun (2e ét. inerte)</c:v>
            </c:pt>
          </c:strCache>
        </c:strRef>
      </c:tx>
      <c:layout>
        <c:manualLayout>
          <c:xMode val="edge"/>
          <c:yMode val="edge"/>
          <c:x val="0.47127077646762688"/>
          <c:y val="3.9178592393174498E-2"/>
        </c:manualLayout>
      </c:layout>
      <c:overlay val="0"/>
      <c:txPr>
        <a:bodyPr/>
        <a:lstStyle/>
        <a:p>
          <a:pPr>
            <a:defRPr sz="1200" b="0" i="0" u="none" strike="noStrike" baseline="0">
              <a:solidFill>
                <a:srgbClr val="000000"/>
              </a:solidFill>
              <a:latin typeface="Arial"/>
              <a:ea typeface="Arial"/>
              <a:cs typeface="Arial"/>
            </a:defRPr>
          </a:pPr>
          <a:endParaRPr lang="fr-FR"/>
        </a:p>
      </c:txPr>
    </c:title>
    <c:autoTitleDeleted val="0"/>
    <c:plotArea>
      <c:layout>
        <c:manualLayout>
          <c:layoutTarget val="inner"/>
          <c:xMode val="edge"/>
          <c:yMode val="edge"/>
          <c:x val="7.2496559551677733E-2"/>
          <c:y val="5.5426586068345711E-2"/>
          <c:w val="0.88973722710617964"/>
          <c:h val="0.82390179871348956"/>
        </c:manualLayout>
      </c:layout>
      <c:scatterChart>
        <c:scatterStyle val="lineMarker"/>
        <c:varyColors val="0"/>
        <c:ser>
          <c:idx val="0"/>
          <c:order val="0"/>
          <c:tx>
            <c:strRef>
              <c:f>Propu!$A$4</c:f>
              <c:strCache>
                <c:ptCount val="1"/>
                <c:pt idx="0">
                  <c:v>Poussée (en N)</c:v>
                </c:pt>
              </c:strCache>
            </c:strRef>
          </c:tx>
          <c:spPr>
            <a:ln w="25400">
              <a:solidFill>
                <a:srgbClr val="004586"/>
              </a:solidFill>
              <a:prstDash val="solid"/>
            </a:ln>
          </c:spPr>
          <c:marker>
            <c:symbol val="square"/>
            <c:size val="4"/>
            <c:spPr>
              <a:solidFill>
                <a:srgbClr val="004586"/>
              </a:solidFill>
              <a:ln>
                <a:solidFill>
                  <a:srgbClr val="004586"/>
                </a:solidFill>
                <a:prstDash val="solid"/>
              </a:ln>
            </c:spPr>
          </c:marker>
          <c:xVal>
            <c:numRef>
              <c:f>Propu!$B$3:$X$3</c:f>
              <c:numCache>
                <c:formatCode>General</c:formatCode>
                <c:ptCount val="23"/>
                <c:pt idx="0">
                  <c:v>0</c:v>
                </c:pt>
                <c:pt idx="1">
                  <c:v>0.1</c:v>
                </c:pt>
                <c:pt idx="2">
                  <c:v>0.2</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numCache>
            </c:numRef>
          </c:xVal>
          <c:yVal>
            <c:numRef>
              <c:f>Propu!$B$4:$X$4</c:f>
              <c:numCache>
                <c:formatCode>General</c:formatCode>
                <c:ptCount val="23"/>
                <c:pt idx="0">
                  <c:v>0</c:v>
                </c:pt>
                <c:pt idx="1">
                  <c:v>0.01</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00-8EF7-4299-9A20-8D075AE9918F}"/>
            </c:ext>
          </c:extLst>
        </c:ser>
        <c:dLbls>
          <c:showLegendKey val="0"/>
          <c:showVal val="0"/>
          <c:showCatName val="0"/>
          <c:showSerName val="0"/>
          <c:showPercent val="0"/>
          <c:showBubbleSize val="0"/>
        </c:dLbls>
        <c:axId val="193428480"/>
        <c:axId val="193451520"/>
      </c:scatterChart>
      <c:valAx>
        <c:axId val="193428480"/>
        <c:scaling>
          <c:orientation val="minMax"/>
        </c:scaling>
        <c:delete val="0"/>
        <c:axPos val="b"/>
        <c:majorGridlines>
          <c:spPr>
            <a:ln w="3175">
              <a:solidFill>
                <a:srgbClr val="B3B3B3"/>
              </a:solidFill>
              <a:prstDash val="sysDash"/>
            </a:ln>
          </c:spPr>
        </c:majorGridlines>
        <c:title>
          <c:tx>
            <c:rich>
              <a:bodyPr/>
              <a:lstStyle/>
              <a:p>
                <a:pPr>
                  <a:defRPr sz="1000" b="0" i="0" u="none" strike="noStrike" baseline="0">
                    <a:solidFill>
                      <a:srgbClr val="000000"/>
                    </a:solidFill>
                    <a:latin typeface="Arial"/>
                    <a:ea typeface="Arial"/>
                    <a:cs typeface="Arial"/>
                  </a:defRPr>
                </a:pPr>
                <a:r>
                  <a:rPr lang="fr-FR"/>
                  <a:t>Temps / Time [s]</a:t>
                </a:r>
              </a:p>
            </c:rich>
          </c:tx>
          <c:layout>
            <c:manualLayout>
              <c:xMode val="edge"/>
              <c:yMode val="edge"/>
              <c:x val="0.78665554917523417"/>
              <c:y val="0.68868125417484782"/>
            </c:manualLayout>
          </c:layout>
          <c:overlay val="0"/>
          <c:spPr>
            <a:noFill/>
            <a:ln w="25400">
              <a:noFill/>
            </a:ln>
          </c:spPr>
        </c:title>
        <c:numFmt formatCode="General" sourceLinked="1"/>
        <c:majorTickMark val="out"/>
        <c:minorTickMark val="none"/>
        <c:tickLblPos val="nextTo"/>
        <c:spPr>
          <a:ln w="3175">
            <a:solidFill>
              <a:srgbClr val="B3B3B3"/>
            </a:solidFill>
            <a:prstDash val="solid"/>
          </a:ln>
        </c:spPr>
        <c:txPr>
          <a:bodyPr rot="0" vert="horz"/>
          <a:lstStyle/>
          <a:p>
            <a:pPr>
              <a:defRPr sz="1000" b="0" i="0" u="none" strike="noStrike" baseline="0">
                <a:solidFill>
                  <a:srgbClr val="000000"/>
                </a:solidFill>
                <a:latin typeface="Arial"/>
                <a:ea typeface="Arial"/>
                <a:cs typeface="Arial"/>
              </a:defRPr>
            </a:pPr>
            <a:endParaRPr lang="fr-FR"/>
          </a:p>
        </c:txPr>
        <c:crossAx val="193451520"/>
        <c:crosses val="autoZero"/>
        <c:crossBetween val="midCat"/>
      </c:valAx>
      <c:valAx>
        <c:axId val="193451520"/>
        <c:scaling>
          <c:orientation val="minMax"/>
        </c:scaling>
        <c:delete val="0"/>
        <c:axPos val="l"/>
        <c:majorGridlines>
          <c:spPr>
            <a:ln w="3175">
              <a:solidFill>
                <a:srgbClr val="B3B3B3"/>
              </a:solidFill>
              <a:prstDash val="sysDash"/>
            </a:ln>
          </c:spPr>
        </c:majorGridlines>
        <c:title>
          <c:tx>
            <c:rich>
              <a:bodyPr/>
              <a:lstStyle/>
              <a:p>
                <a:pPr>
                  <a:defRPr sz="1000" b="0" i="0" u="none" strike="noStrike" baseline="0">
                    <a:solidFill>
                      <a:srgbClr val="000000"/>
                    </a:solidFill>
                    <a:latin typeface="Arial"/>
                    <a:ea typeface="Arial"/>
                    <a:cs typeface="Arial"/>
                  </a:defRPr>
                </a:pPr>
                <a:r>
                  <a:rPr lang="fr-FR"/>
                  <a:t>Poussée / Thrust [N]</a:t>
                </a:r>
              </a:p>
            </c:rich>
          </c:tx>
          <c:layout>
            <c:manualLayout>
              <c:xMode val="edge"/>
              <c:yMode val="edge"/>
              <c:x val="8.5144147191391295E-2"/>
              <c:y val="0.35327652166872459"/>
            </c:manualLayout>
          </c:layout>
          <c:overlay val="0"/>
          <c:spPr>
            <a:noFill/>
            <a:ln w="25400">
              <a:noFill/>
            </a:ln>
          </c:spPr>
        </c:title>
        <c:numFmt formatCode="General" sourceLinked="1"/>
        <c:majorTickMark val="out"/>
        <c:minorTickMark val="none"/>
        <c:tickLblPos val="nextTo"/>
        <c:spPr>
          <a:ln w="3175">
            <a:solidFill>
              <a:srgbClr val="B3B3B3"/>
            </a:solidFill>
            <a:prstDash val="solid"/>
          </a:ln>
        </c:spPr>
        <c:txPr>
          <a:bodyPr rot="0" vert="horz"/>
          <a:lstStyle/>
          <a:p>
            <a:pPr>
              <a:defRPr sz="1000" b="0" i="0" u="none" strike="noStrike" baseline="0">
                <a:solidFill>
                  <a:srgbClr val="000000"/>
                </a:solidFill>
                <a:latin typeface="Arial"/>
                <a:ea typeface="Arial"/>
                <a:cs typeface="Arial"/>
              </a:defRPr>
            </a:pPr>
            <a:endParaRPr lang="fr-FR"/>
          </a:p>
        </c:txPr>
        <c:crossAx val="193428480"/>
        <c:crosses val="autoZero"/>
        <c:crossBetween val="midCat"/>
      </c:valAx>
      <c:spPr>
        <a:noFill/>
        <a:ln w="3175">
          <a:solidFill>
            <a:srgbClr val="B3B3B3"/>
          </a:solidFill>
          <a:prstDash val="solid"/>
        </a:ln>
      </c:spPr>
    </c:plotArea>
    <c:plotVisOnly val="0"/>
    <c:dispBlanksAs val="gap"/>
    <c:showDLblsOverMax val="0"/>
  </c:chart>
  <c:spPr>
    <a:solidFill>
      <a:srgbClr val="FFFFFF"/>
    </a:solidFill>
    <a:ln w="9525">
      <a:noFill/>
    </a:ln>
  </c:spPr>
  <c:txPr>
    <a:bodyPr/>
    <a:lstStyle/>
    <a:p>
      <a:pPr>
        <a:defRPr sz="1200"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51180555555555562" footer="0.51180555555555562"/>
    <c:pageSetup firstPageNumber="0" orientation="landscape" horizontalDpi="1200" verticalDpi="1200"/>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Abaco!$B$77</c:f>
          <c:strCache>
            <c:ptCount val="1"/>
            <c:pt idx="0">
              <c:v>Vitesse max / Masse totale</c:v>
            </c:pt>
          </c:strCache>
        </c:strRef>
      </c:tx>
      <c:layout>
        <c:manualLayout>
          <c:xMode val="edge"/>
          <c:yMode val="edge"/>
          <c:x val="0.32580555555555563"/>
          <c:y val="3.2407484861159096E-2"/>
        </c:manualLayout>
      </c:layout>
      <c:overlay val="1"/>
      <c:txPr>
        <a:bodyPr/>
        <a:lstStyle/>
        <a:p>
          <a:pPr>
            <a:defRPr sz="1800" b="1" i="0" u="none" strike="noStrike" baseline="0">
              <a:solidFill>
                <a:srgbClr val="000000"/>
              </a:solidFill>
              <a:latin typeface="Calibri"/>
              <a:ea typeface="Calibri"/>
              <a:cs typeface="Calibri"/>
            </a:defRPr>
          </a:pPr>
          <a:endParaRPr lang="fr-FR"/>
        </a:p>
      </c:txPr>
    </c:title>
    <c:autoTitleDeleted val="0"/>
    <c:plotArea>
      <c:layout>
        <c:manualLayout>
          <c:layoutTarget val="inner"/>
          <c:xMode val="edge"/>
          <c:yMode val="edge"/>
          <c:x val="0.13612729658792738"/>
          <c:y val="5.1400554097404488E-2"/>
          <c:w val="0.81367125984251965"/>
          <c:h val="0.8326195683872849"/>
        </c:manualLayout>
      </c:layout>
      <c:scatterChart>
        <c:scatterStyle val="lineMarker"/>
        <c:varyColors val="0"/>
        <c:ser>
          <c:idx val="0"/>
          <c:order val="0"/>
          <c:tx>
            <c:strRef>
              <c:f>Abaco!$B$43</c:f>
              <c:strCache>
                <c:ptCount val="1"/>
                <c:pt idx="0">
                  <c:v>Ø = 52 mm</c:v>
                </c:pt>
              </c:strCache>
            </c:strRef>
          </c:tx>
          <c:xVal>
            <c:numRef>
              <c:f>Abaco!$D$43:$D$51</c:f>
              <c:numCache>
                <c:formatCode>General\ "kg"</c:formatCode>
                <c:ptCount val="9"/>
                <c:pt idx="0">
                  <c:v>1E-4</c:v>
                </c:pt>
                <c:pt idx="1">
                  <c:v>1.08535</c:v>
                </c:pt>
                <c:pt idx="2">
                  <c:v>2.1706000000000003</c:v>
                </c:pt>
                <c:pt idx="3">
                  <c:v>3.2558500000000001</c:v>
                </c:pt>
                <c:pt idx="4">
                  <c:v>4.3411</c:v>
                </c:pt>
                <c:pt idx="5">
                  <c:v>5.4263500000000002</c:v>
                </c:pt>
                <c:pt idx="6">
                  <c:v>6.5115999999999996</c:v>
                </c:pt>
                <c:pt idx="7">
                  <c:v>7.5968499999999999</c:v>
                </c:pt>
                <c:pt idx="8">
                  <c:v>8.6821000000000002</c:v>
                </c:pt>
              </c:numCache>
            </c:numRef>
          </c:xVal>
          <c:yVal>
            <c:numRef>
              <c:f>Abaco!$K$43:$K$51</c:f>
              <c:numCache>
                <c:formatCode>General" m/s"</c:formatCode>
                <c:ptCount val="9"/>
                <c:pt idx="0">
                  <c:v>0.80796981852254368</c:v>
                </c:pt>
                <c:pt idx="1">
                  <c:v>0</c:v>
                </c:pt>
                <c:pt idx="2">
                  <c:v>0</c:v>
                </c:pt>
                <c:pt idx="3">
                  <c:v>0</c:v>
                </c:pt>
                <c:pt idx="4">
                  <c:v>0</c:v>
                </c:pt>
                <c:pt idx="5">
                  <c:v>0</c:v>
                </c:pt>
                <c:pt idx="6">
                  <c:v>0</c:v>
                </c:pt>
                <c:pt idx="7">
                  <c:v>0</c:v>
                </c:pt>
                <c:pt idx="8">
                  <c:v>0</c:v>
                </c:pt>
              </c:numCache>
            </c:numRef>
          </c:yVal>
          <c:smooth val="0"/>
          <c:extLst>
            <c:ext xmlns:c16="http://schemas.microsoft.com/office/drawing/2014/chart" uri="{C3380CC4-5D6E-409C-BE32-E72D297353CC}">
              <c16:uniqueId val="{00000000-8857-4FF4-B70E-166DFD57E3E3}"/>
            </c:ext>
          </c:extLst>
        </c:ser>
        <c:ser>
          <c:idx val="1"/>
          <c:order val="1"/>
          <c:tx>
            <c:strRef>
              <c:f>Abaco!$B$52</c:f>
              <c:strCache>
                <c:ptCount val="1"/>
                <c:pt idx="0">
                  <c:v>Ø = 104 mm</c:v>
                </c:pt>
              </c:strCache>
            </c:strRef>
          </c:tx>
          <c:xVal>
            <c:numRef>
              <c:f>Abaco!$D$52:$D$60</c:f>
              <c:numCache>
                <c:formatCode>General\ "kg"</c:formatCode>
                <c:ptCount val="9"/>
                <c:pt idx="0">
                  <c:v>1E-4</c:v>
                </c:pt>
                <c:pt idx="1">
                  <c:v>1.08535</c:v>
                </c:pt>
                <c:pt idx="2">
                  <c:v>2.1706000000000003</c:v>
                </c:pt>
                <c:pt idx="3">
                  <c:v>3.2558500000000001</c:v>
                </c:pt>
                <c:pt idx="4">
                  <c:v>4.3411</c:v>
                </c:pt>
                <c:pt idx="5">
                  <c:v>5.4263500000000002</c:v>
                </c:pt>
                <c:pt idx="6">
                  <c:v>6.5115999999999996</c:v>
                </c:pt>
                <c:pt idx="7">
                  <c:v>7.5968499999999999</c:v>
                </c:pt>
                <c:pt idx="8">
                  <c:v>8.6821000000000002</c:v>
                </c:pt>
              </c:numCache>
            </c:numRef>
          </c:xVal>
          <c:yVal>
            <c:numRef>
              <c:f>Abaco!$K$52:$K$60</c:f>
              <c:numCache>
                <c:formatCode>General" m/s"</c:formatCode>
                <c:ptCount val="9"/>
                <c:pt idx="0">
                  <c:v>0.40398490927024355</c:v>
                </c:pt>
                <c:pt idx="1">
                  <c:v>0</c:v>
                </c:pt>
                <c:pt idx="2">
                  <c:v>0</c:v>
                </c:pt>
                <c:pt idx="3">
                  <c:v>0</c:v>
                </c:pt>
                <c:pt idx="4">
                  <c:v>0</c:v>
                </c:pt>
                <c:pt idx="5">
                  <c:v>0</c:v>
                </c:pt>
                <c:pt idx="6">
                  <c:v>0</c:v>
                </c:pt>
                <c:pt idx="7">
                  <c:v>0</c:v>
                </c:pt>
                <c:pt idx="8">
                  <c:v>0</c:v>
                </c:pt>
              </c:numCache>
            </c:numRef>
          </c:yVal>
          <c:smooth val="0"/>
          <c:extLst>
            <c:ext xmlns:c16="http://schemas.microsoft.com/office/drawing/2014/chart" uri="{C3380CC4-5D6E-409C-BE32-E72D297353CC}">
              <c16:uniqueId val="{00000001-8857-4FF4-B70E-166DFD57E3E3}"/>
            </c:ext>
          </c:extLst>
        </c:ser>
        <c:ser>
          <c:idx val="2"/>
          <c:order val="2"/>
          <c:tx>
            <c:strRef>
              <c:f>Abaco!$B$61</c:f>
              <c:strCache>
                <c:ptCount val="1"/>
                <c:pt idx="0">
                  <c:v>Ø = 156 mm</c:v>
                </c:pt>
              </c:strCache>
            </c:strRef>
          </c:tx>
          <c:xVal>
            <c:numRef>
              <c:f>Abaco!$D$61:$D$69</c:f>
              <c:numCache>
                <c:formatCode>General\ "kg"</c:formatCode>
                <c:ptCount val="9"/>
                <c:pt idx="0">
                  <c:v>1E-4</c:v>
                </c:pt>
                <c:pt idx="1">
                  <c:v>1.08535</c:v>
                </c:pt>
                <c:pt idx="2">
                  <c:v>2.1706000000000003</c:v>
                </c:pt>
                <c:pt idx="3">
                  <c:v>3.2558500000000001</c:v>
                </c:pt>
                <c:pt idx="4">
                  <c:v>4.3411</c:v>
                </c:pt>
                <c:pt idx="5">
                  <c:v>5.4263500000000002</c:v>
                </c:pt>
                <c:pt idx="6">
                  <c:v>6.5115999999999996</c:v>
                </c:pt>
                <c:pt idx="7">
                  <c:v>7.5968499999999999</c:v>
                </c:pt>
                <c:pt idx="8">
                  <c:v>8.6821000000000002</c:v>
                </c:pt>
              </c:numCache>
            </c:numRef>
          </c:xVal>
          <c:yVal>
            <c:numRef>
              <c:f>Abaco!$K$61:$K$69</c:f>
              <c:numCache>
                <c:formatCode>General" m/s"</c:formatCode>
                <c:ptCount val="9"/>
                <c:pt idx="0">
                  <c:v>0.26932327284682905</c:v>
                </c:pt>
                <c:pt idx="1">
                  <c:v>0</c:v>
                </c:pt>
                <c:pt idx="2">
                  <c:v>0</c:v>
                </c:pt>
                <c:pt idx="3">
                  <c:v>0</c:v>
                </c:pt>
                <c:pt idx="4">
                  <c:v>0</c:v>
                </c:pt>
                <c:pt idx="5">
                  <c:v>0</c:v>
                </c:pt>
                <c:pt idx="6">
                  <c:v>0</c:v>
                </c:pt>
                <c:pt idx="7">
                  <c:v>0</c:v>
                </c:pt>
                <c:pt idx="8">
                  <c:v>0</c:v>
                </c:pt>
              </c:numCache>
            </c:numRef>
          </c:yVal>
          <c:smooth val="0"/>
          <c:extLst>
            <c:ext xmlns:c16="http://schemas.microsoft.com/office/drawing/2014/chart" uri="{C3380CC4-5D6E-409C-BE32-E72D297353CC}">
              <c16:uniqueId val="{00000002-8857-4FF4-B70E-166DFD57E3E3}"/>
            </c:ext>
          </c:extLst>
        </c:ser>
        <c:dLbls>
          <c:showLegendKey val="0"/>
          <c:showVal val="0"/>
          <c:showCatName val="0"/>
          <c:showSerName val="0"/>
          <c:showPercent val="0"/>
          <c:showBubbleSize val="0"/>
        </c:dLbls>
        <c:axId val="193467904"/>
        <c:axId val="193469824"/>
      </c:scatterChart>
      <c:valAx>
        <c:axId val="193467904"/>
        <c:scaling>
          <c:orientation val="minMax"/>
        </c:scaling>
        <c:delete val="0"/>
        <c:axPos val="b"/>
        <c:majorGridlines/>
        <c:title>
          <c:tx>
            <c:strRef>
              <c:f>Abaco!$B$75</c:f>
              <c:strCache>
                <c:ptCount val="1"/>
                <c:pt idx="0">
                  <c:v>Masse totale</c:v>
                </c:pt>
              </c:strCache>
            </c:strRef>
          </c:tx>
          <c:layout>
            <c:manualLayout>
              <c:xMode val="edge"/>
              <c:yMode val="edge"/>
              <c:x val="0.25133792650918629"/>
              <c:y val="0.80923605680929611"/>
            </c:manualLayout>
          </c:layout>
          <c:overlay val="0"/>
          <c:txPr>
            <a:bodyPr/>
            <a:lstStyle/>
            <a:p>
              <a:pPr>
                <a:defRPr sz="1000" b="1" i="0" u="none" strike="noStrike" baseline="0">
                  <a:solidFill>
                    <a:srgbClr val="000000"/>
                  </a:solidFill>
                  <a:latin typeface="Calibri"/>
                  <a:ea typeface="Calibri"/>
                  <a:cs typeface="Calibri"/>
                </a:defRPr>
              </a:pPr>
              <a:endParaRPr lang="fr-FR"/>
            </a:p>
          </c:txPr>
        </c:title>
        <c:numFmt formatCode="General\ &quot;kg&quot;"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193469824"/>
        <c:crosses val="autoZero"/>
        <c:crossBetween val="midCat"/>
      </c:valAx>
      <c:valAx>
        <c:axId val="193469824"/>
        <c:scaling>
          <c:orientation val="minMax"/>
        </c:scaling>
        <c:delete val="0"/>
        <c:axPos val="l"/>
        <c:majorGridlines/>
        <c:title>
          <c:tx>
            <c:strRef>
              <c:f>Abaco!$B$76</c:f>
              <c:strCache>
                <c:ptCount val="1"/>
                <c:pt idx="0">
                  <c:v>Vitesse max</c:v>
                </c:pt>
              </c:strCache>
            </c:strRef>
          </c:tx>
          <c:layout>
            <c:manualLayout>
              <c:xMode val="edge"/>
              <c:yMode val="edge"/>
              <c:x val="0.14166666666666666"/>
              <c:y val="5.803422378207343E-2"/>
            </c:manualLayout>
          </c:layout>
          <c:overlay val="0"/>
          <c:txPr>
            <a:bodyPr/>
            <a:lstStyle/>
            <a:p>
              <a:pPr>
                <a:defRPr sz="1000" b="1" i="0" u="none" strike="noStrike" baseline="0">
                  <a:solidFill>
                    <a:srgbClr val="000000"/>
                  </a:solidFill>
                  <a:latin typeface="Calibri"/>
                  <a:ea typeface="Calibri"/>
                  <a:cs typeface="Calibri"/>
                </a:defRPr>
              </a:pPr>
              <a:endParaRPr lang="fr-FR"/>
            </a:p>
          </c:txPr>
        </c:title>
        <c:numFmt formatCode="General&quot; m/s&quot;"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193467904"/>
        <c:crosses val="autoZero"/>
        <c:crossBetween val="midCat"/>
      </c:valAx>
    </c:plotArea>
    <c:legend>
      <c:legendPos val="r"/>
      <c:layout>
        <c:manualLayout>
          <c:xMode val="edge"/>
          <c:yMode val="edge"/>
          <c:x val="0.71944466316710431"/>
          <c:y val="0.18706733829172051"/>
          <c:w val="0.20833333333333343"/>
          <c:h val="0.24711352766816386"/>
        </c:manualLayout>
      </c:layout>
      <c:overlay val="0"/>
      <c:spPr>
        <a:solidFill>
          <a:schemeClr val="bg1"/>
        </a:solidFill>
      </c:spPr>
      <c:txPr>
        <a:bodyPr/>
        <a:lstStyle/>
        <a:p>
          <a:pPr>
            <a:defRPr sz="920" b="0" i="0" u="none" strike="noStrike" baseline="0">
              <a:solidFill>
                <a:srgbClr val="000000"/>
              </a:solidFill>
              <a:latin typeface="Calibri"/>
              <a:ea typeface="Calibri"/>
              <a:cs typeface="Calibri"/>
            </a:defRPr>
          </a:pPr>
          <a:endParaRPr lang="fr-FR"/>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fr-FR"/>
    </a:p>
  </c:txPr>
  <c:printSettings>
    <c:headerFooter/>
    <c:pageMargins b="0.750000000000002" l="0.70000000000000062" r="0.70000000000000062" t="0.750000000000002" header="0.30000000000000032" footer="0.30000000000000032"/>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Abaco!$B$79</c:f>
          <c:strCache>
            <c:ptCount val="1"/>
            <c:pt idx="0">
              <c:v>Altitude max / Masse totale</c:v>
            </c:pt>
          </c:strCache>
        </c:strRef>
      </c:tx>
      <c:layout>
        <c:manualLayout>
          <c:xMode val="edge"/>
          <c:yMode val="edge"/>
          <c:x val="0.32580555555555563"/>
          <c:y val="3.2407517456544362E-2"/>
        </c:manualLayout>
      </c:layout>
      <c:overlay val="1"/>
      <c:txPr>
        <a:bodyPr/>
        <a:lstStyle/>
        <a:p>
          <a:pPr>
            <a:defRPr sz="1800" b="1" i="0" u="none" strike="noStrike" baseline="0">
              <a:solidFill>
                <a:srgbClr val="000000"/>
              </a:solidFill>
              <a:latin typeface="Calibri"/>
              <a:ea typeface="Calibri"/>
              <a:cs typeface="Calibri"/>
            </a:defRPr>
          </a:pPr>
          <a:endParaRPr lang="fr-FR"/>
        </a:p>
      </c:txPr>
    </c:title>
    <c:autoTitleDeleted val="0"/>
    <c:plotArea>
      <c:layout>
        <c:manualLayout>
          <c:layoutTarget val="inner"/>
          <c:xMode val="edge"/>
          <c:yMode val="edge"/>
          <c:x val="0.13612729658792738"/>
          <c:y val="5.1400554097404488E-2"/>
          <c:w val="0.81367125984251965"/>
          <c:h val="0.8326195683872849"/>
        </c:manualLayout>
      </c:layout>
      <c:scatterChart>
        <c:scatterStyle val="lineMarker"/>
        <c:varyColors val="0"/>
        <c:ser>
          <c:idx val="0"/>
          <c:order val="0"/>
          <c:tx>
            <c:strRef>
              <c:f>Abaco!$B$43</c:f>
              <c:strCache>
                <c:ptCount val="1"/>
                <c:pt idx="0">
                  <c:v>Ø = 52 mm</c:v>
                </c:pt>
              </c:strCache>
            </c:strRef>
          </c:tx>
          <c:xVal>
            <c:numRef>
              <c:f>Abaco!$D$43:$D$51</c:f>
              <c:numCache>
                <c:formatCode>General\ "kg"</c:formatCode>
                <c:ptCount val="9"/>
                <c:pt idx="0">
                  <c:v>1E-4</c:v>
                </c:pt>
                <c:pt idx="1">
                  <c:v>1.08535</c:v>
                </c:pt>
                <c:pt idx="2">
                  <c:v>2.1706000000000003</c:v>
                </c:pt>
                <c:pt idx="3">
                  <c:v>3.2558500000000001</c:v>
                </c:pt>
                <c:pt idx="4">
                  <c:v>4.3411</c:v>
                </c:pt>
                <c:pt idx="5">
                  <c:v>5.4263500000000002</c:v>
                </c:pt>
                <c:pt idx="6">
                  <c:v>6.5115999999999996</c:v>
                </c:pt>
                <c:pt idx="7">
                  <c:v>7.5968499999999999</c:v>
                </c:pt>
                <c:pt idx="8">
                  <c:v>8.6821000000000002</c:v>
                </c:pt>
              </c:numCache>
            </c:numRef>
          </c:xVal>
          <c:yVal>
            <c:numRef>
              <c:f>Abaco!$L$43:$L$51</c:f>
              <c:numCache>
                <c:formatCode>General" m"</c:formatCode>
                <c:ptCount val="9"/>
                <c:pt idx="0">
                  <c:v>0</c:v>
                </c:pt>
                <c:pt idx="1">
                  <c:v>0</c:v>
                </c:pt>
                <c:pt idx="2">
                  <c:v>0</c:v>
                </c:pt>
                <c:pt idx="3">
                  <c:v>0</c:v>
                </c:pt>
                <c:pt idx="4">
                  <c:v>0</c:v>
                </c:pt>
                <c:pt idx="5">
                  <c:v>0</c:v>
                </c:pt>
                <c:pt idx="6">
                  <c:v>0</c:v>
                </c:pt>
                <c:pt idx="7">
                  <c:v>0</c:v>
                </c:pt>
                <c:pt idx="8">
                  <c:v>0</c:v>
                </c:pt>
              </c:numCache>
            </c:numRef>
          </c:yVal>
          <c:smooth val="0"/>
          <c:extLst>
            <c:ext xmlns:c16="http://schemas.microsoft.com/office/drawing/2014/chart" uri="{C3380CC4-5D6E-409C-BE32-E72D297353CC}">
              <c16:uniqueId val="{00000000-7047-4687-B7C4-0BB054548F22}"/>
            </c:ext>
          </c:extLst>
        </c:ser>
        <c:ser>
          <c:idx val="1"/>
          <c:order val="1"/>
          <c:tx>
            <c:strRef>
              <c:f>Abaco!$B$52</c:f>
              <c:strCache>
                <c:ptCount val="1"/>
                <c:pt idx="0">
                  <c:v>Ø = 104 mm</c:v>
                </c:pt>
              </c:strCache>
            </c:strRef>
          </c:tx>
          <c:xVal>
            <c:numRef>
              <c:f>Abaco!$D$52:$D$60</c:f>
              <c:numCache>
                <c:formatCode>General\ "kg"</c:formatCode>
                <c:ptCount val="9"/>
                <c:pt idx="0">
                  <c:v>1E-4</c:v>
                </c:pt>
                <c:pt idx="1">
                  <c:v>1.08535</c:v>
                </c:pt>
                <c:pt idx="2">
                  <c:v>2.1706000000000003</c:v>
                </c:pt>
                <c:pt idx="3">
                  <c:v>3.2558500000000001</c:v>
                </c:pt>
                <c:pt idx="4">
                  <c:v>4.3411</c:v>
                </c:pt>
                <c:pt idx="5">
                  <c:v>5.4263500000000002</c:v>
                </c:pt>
                <c:pt idx="6">
                  <c:v>6.5115999999999996</c:v>
                </c:pt>
                <c:pt idx="7">
                  <c:v>7.5968499999999999</c:v>
                </c:pt>
                <c:pt idx="8">
                  <c:v>8.6821000000000002</c:v>
                </c:pt>
              </c:numCache>
            </c:numRef>
          </c:xVal>
          <c:yVal>
            <c:numRef>
              <c:f>Abaco!$L$52:$L$60</c:f>
              <c:numCache>
                <c:formatCode>General" m"</c:formatCode>
                <c:ptCount val="9"/>
                <c:pt idx="0">
                  <c:v>0</c:v>
                </c:pt>
                <c:pt idx="1">
                  <c:v>0</c:v>
                </c:pt>
                <c:pt idx="2">
                  <c:v>0</c:v>
                </c:pt>
                <c:pt idx="3">
                  <c:v>0</c:v>
                </c:pt>
                <c:pt idx="4">
                  <c:v>0</c:v>
                </c:pt>
                <c:pt idx="5">
                  <c:v>0</c:v>
                </c:pt>
                <c:pt idx="6">
                  <c:v>0</c:v>
                </c:pt>
                <c:pt idx="7">
                  <c:v>0</c:v>
                </c:pt>
                <c:pt idx="8">
                  <c:v>0</c:v>
                </c:pt>
              </c:numCache>
            </c:numRef>
          </c:yVal>
          <c:smooth val="0"/>
          <c:extLst>
            <c:ext xmlns:c16="http://schemas.microsoft.com/office/drawing/2014/chart" uri="{C3380CC4-5D6E-409C-BE32-E72D297353CC}">
              <c16:uniqueId val="{00000001-7047-4687-B7C4-0BB054548F22}"/>
            </c:ext>
          </c:extLst>
        </c:ser>
        <c:ser>
          <c:idx val="2"/>
          <c:order val="2"/>
          <c:tx>
            <c:strRef>
              <c:f>Abaco!$B$61</c:f>
              <c:strCache>
                <c:ptCount val="1"/>
                <c:pt idx="0">
                  <c:v>Ø = 156 mm</c:v>
                </c:pt>
              </c:strCache>
            </c:strRef>
          </c:tx>
          <c:xVal>
            <c:numRef>
              <c:f>Abaco!$D$61:$D$69</c:f>
              <c:numCache>
                <c:formatCode>General\ "kg"</c:formatCode>
                <c:ptCount val="9"/>
                <c:pt idx="0">
                  <c:v>1E-4</c:v>
                </c:pt>
                <c:pt idx="1">
                  <c:v>1.08535</c:v>
                </c:pt>
                <c:pt idx="2">
                  <c:v>2.1706000000000003</c:v>
                </c:pt>
                <c:pt idx="3">
                  <c:v>3.2558500000000001</c:v>
                </c:pt>
                <c:pt idx="4">
                  <c:v>4.3411</c:v>
                </c:pt>
                <c:pt idx="5">
                  <c:v>5.4263500000000002</c:v>
                </c:pt>
                <c:pt idx="6">
                  <c:v>6.5115999999999996</c:v>
                </c:pt>
                <c:pt idx="7">
                  <c:v>7.5968499999999999</c:v>
                </c:pt>
                <c:pt idx="8">
                  <c:v>8.6821000000000002</c:v>
                </c:pt>
              </c:numCache>
            </c:numRef>
          </c:xVal>
          <c:yVal>
            <c:numRef>
              <c:f>Abaco!$L$61:$L$69</c:f>
              <c:numCache>
                <c:formatCode>General" m"</c:formatCode>
                <c:ptCount val="9"/>
                <c:pt idx="0">
                  <c:v>0</c:v>
                </c:pt>
                <c:pt idx="1">
                  <c:v>0</c:v>
                </c:pt>
                <c:pt idx="2">
                  <c:v>0</c:v>
                </c:pt>
                <c:pt idx="3">
                  <c:v>0</c:v>
                </c:pt>
                <c:pt idx="4">
                  <c:v>0</c:v>
                </c:pt>
                <c:pt idx="5">
                  <c:v>0</c:v>
                </c:pt>
                <c:pt idx="6">
                  <c:v>0</c:v>
                </c:pt>
                <c:pt idx="7">
                  <c:v>0</c:v>
                </c:pt>
                <c:pt idx="8">
                  <c:v>0</c:v>
                </c:pt>
              </c:numCache>
            </c:numRef>
          </c:yVal>
          <c:smooth val="0"/>
          <c:extLst>
            <c:ext xmlns:c16="http://schemas.microsoft.com/office/drawing/2014/chart" uri="{C3380CC4-5D6E-409C-BE32-E72D297353CC}">
              <c16:uniqueId val="{00000002-7047-4687-B7C4-0BB054548F22}"/>
            </c:ext>
          </c:extLst>
        </c:ser>
        <c:dLbls>
          <c:showLegendKey val="0"/>
          <c:showVal val="0"/>
          <c:showCatName val="0"/>
          <c:showSerName val="0"/>
          <c:showPercent val="0"/>
          <c:showBubbleSize val="0"/>
        </c:dLbls>
        <c:axId val="193512576"/>
        <c:axId val="193514496"/>
      </c:scatterChart>
      <c:valAx>
        <c:axId val="193512576"/>
        <c:scaling>
          <c:orientation val="minMax"/>
        </c:scaling>
        <c:delete val="0"/>
        <c:axPos val="b"/>
        <c:majorGridlines/>
        <c:title>
          <c:tx>
            <c:strRef>
              <c:f>Abaco!$B$75</c:f>
              <c:strCache>
                <c:ptCount val="1"/>
                <c:pt idx="0">
                  <c:v>Masse totale</c:v>
                </c:pt>
              </c:strCache>
            </c:strRef>
          </c:tx>
          <c:layout>
            <c:manualLayout>
              <c:xMode val="edge"/>
              <c:yMode val="edge"/>
              <c:x val="0.25133792650918629"/>
              <c:y val="0.80923599762293852"/>
            </c:manualLayout>
          </c:layout>
          <c:overlay val="0"/>
          <c:txPr>
            <a:bodyPr/>
            <a:lstStyle/>
            <a:p>
              <a:pPr>
                <a:defRPr sz="1000" b="1" i="0" u="none" strike="noStrike" baseline="0">
                  <a:solidFill>
                    <a:srgbClr val="000000"/>
                  </a:solidFill>
                  <a:latin typeface="Calibri"/>
                  <a:ea typeface="Calibri"/>
                  <a:cs typeface="Calibri"/>
                </a:defRPr>
              </a:pPr>
              <a:endParaRPr lang="fr-FR"/>
            </a:p>
          </c:txPr>
        </c:title>
        <c:numFmt formatCode="General\ &quot;kg&quot;"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193514496"/>
        <c:crosses val="autoZero"/>
        <c:crossBetween val="midCat"/>
      </c:valAx>
      <c:valAx>
        <c:axId val="193514496"/>
        <c:scaling>
          <c:orientation val="minMax"/>
        </c:scaling>
        <c:delete val="0"/>
        <c:axPos val="l"/>
        <c:majorGridlines/>
        <c:title>
          <c:tx>
            <c:strRef>
              <c:f>Abaco!$B$78</c:f>
              <c:strCache>
                <c:ptCount val="1"/>
                <c:pt idx="0">
                  <c:v>Altitude max</c:v>
                </c:pt>
              </c:strCache>
            </c:strRef>
          </c:tx>
          <c:layout>
            <c:manualLayout>
              <c:xMode val="edge"/>
              <c:yMode val="edge"/>
              <c:x val="0.14166666666666666"/>
              <c:y val="5.8034467389689502E-2"/>
            </c:manualLayout>
          </c:layout>
          <c:overlay val="0"/>
          <c:txPr>
            <a:bodyPr/>
            <a:lstStyle/>
            <a:p>
              <a:pPr>
                <a:defRPr sz="1000" b="1" i="0" u="none" strike="noStrike" baseline="0">
                  <a:solidFill>
                    <a:srgbClr val="000000"/>
                  </a:solidFill>
                  <a:latin typeface="Calibri"/>
                  <a:ea typeface="Calibri"/>
                  <a:cs typeface="Calibri"/>
                </a:defRPr>
              </a:pPr>
              <a:endParaRPr lang="fr-FR"/>
            </a:p>
          </c:txPr>
        </c:title>
        <c:numFmt formatCode="General&quot; m&quot;"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193512576"/>
        <c:crosses val="autoZero"/>
        <c:crossBetween val="midCat"/>
      </c:valAx>
    </c:plotArea>
    <c:legend>
      <c:legendPos val="r"/>
      <c:layout>
        <c:manualLayout>
          <c:xMode val="edge"/>
          <c:yMode val="edge"/>
          <c:x val="0.71944466316710431"/>
          <c:y val="0.18396263556678061"/>
          <c:w val="0.20833333333333343"/>
          <c:h val="0.25235886198187502"/>
        </c:manualLayout>
      </c:layout>
      <c:overlay val="0"/>
      <c:spPr>
        <a:solidFill>
          <a:schemeClr val="bg1"/>
        </a:solidFill>
      </c:spPr>
      <c:txPr>
        <a:bodyPr/>
        <a:lstStyle/>
        <a:p>
          <a:pPr>
            <a:defRPr sz="920" b="0" i="0" u="none" strike="noStrike" baseline="0">
              <a:solidFill>
                <a:srgbClr val="000000"/>
              </a:solidFill>
              <a:latin typeface="Calibri"/>
              <a:ea typeface="Calibri"/>
              <a:cs typeface="Calibri"/>
            </a:defRPr>
          </a:pPr>
          <a:endParaRPr lang="fr-FR"/>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fr-FR"/>
    </a:p>
  </c:txPr>
  <c:printSettings>
    <c:headerFooter/>
    <c:pageMargins b="0.750000000000002" l="0.70000000000000062" r="0.70000000000000062" t="0.750000000000002" header="0.30000000000000032" footer="0.30000000000000032"/>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Abaco!$B$81</c:f>
          <c:strCache>
            <c:ptCount val="1"/>
            <c:pt idx="0">
              <c:v>Temps de culmination / Masse totale</c:v>
            </c:pt>
          </c:strCache>
        </c:strRef>
      </c:tx>
      <c:layout>
        <c:manualLayout>
          <c:xMode val="edge"/>
          <c:yMode val="edge"/>
          <c:x val="0.18369438576275529"/>
          <c:y val="3.2407517456544362E-2"/>
        </c:manualLayout>
      </c:layout>
      <c:overlay val="1"/>
      <c:txPr>
        <a:bodyPr/>
        <a:lstStyle/>
        <a:p>
          <a:pPr>
            <a:defRPr sz="1800" b="1" i="0" u="none" strike="noStrike" baseline="0">
              <a:solidFill>
                <a:srgbClr val="000000"/>
              </a:solidFill>
              <a:latin typeface="Calibri"/>
              <a:ea typeface="Calibri"/>
              <a:cs typeface="Calibri"/>
            </a:defRPr>
          </a:pPr>
          <a:endParaRPr lang="fr-FR"/>
        </a:p>
      </c:txPr>
    </c:title>
    <c:autoTitleDeleted val="0"/>
    <c:plotArea>
      <c:layout>
        <c:manualLayout>
          <c:layoutTarget val="inner"/>
          <c:xMode val="edge"/>
          <c:yMode val="edge"/>
          <c:x val="0.13612729658792738"/>
          <c:y val="5.1400554097404488E-2"/>
          <c:w val="0.81367125984251965"/>
          <c:h val="0.8326195683872849"/>
        </c:manualLayout>
      </c:layout>
      <c:scatterChart>
        <c:scatterStyle val="lineMarker"/>
        <c:varyColors val="0"/>
        <c:ser>
          <c:idx val="0"/>
          <c:order val="0"/>
          <c:tx>
            <c:strRef>
              <c:f>Abaco!$B$43</c:f>
              <c:strCache>
                <c:ptCount val="1"/>
                <c:pt idx="0">
                  <c:v>Ø = 52 mm</c:v>
                </c:pt>
              </c:strCache>
            </c:strRef>
          </c:tx>
          <c:xVal>
            <c:numRef>
              <c:f>Abaco!$D$43:$D$51</c:f>
              <c:numCache>
                <c:formatCode>General\ "kg"</c:formatCode>
                <c:ptCount val="9"/>
                <c:pt idx="0">
                  <c:v>1E-4</c:v>
                </c:pt>
                <c:pt idx="1">
                  <c:v>1.08535</c:v>
                </c:pt>
                <c:pt idx="2">
                  <c:v>2.1706000000000003</c:v>
                </c:pt>
                <c:pt idx="3">
                  <c:v>3.2558500000000001</c:v>
                </c:pt>
                <c:pt idx="4">
                  <c:v>4.3411</c:v>
                </c:pt>
                <c:pt idx="5">
                  <c:v>5.4263500000000002</c:v>
                </c:pt>
                <c:pt idx="6">
                  <c:v>6.5115999999999996</c:v>
                </c:pt>
                <c:pt idx="7">
                  <c:v>7.5968499999999999</c:v>
                </c:pt>
                <c:pt idx="8">
                  <c:v>8.6821000000000002</c:v>
                </c:pt>
              </c:numCache>
            </c:numRef>
          </c:xVal>
          <c:yVal>
            <c:numRef>
              <c:f>Abaco!$M$43:$M$51</c:f>
              <c:numCache>
                <c:formatCode>General" s"</c:formatCode>
                <c:ptCount val="9"/>
                <c:pt idx="0">
                  <c:v>0</c:v>
                </c:pt>
                <c:pt idx="1">
                  <c:v>1</c:v>
                </c:pt>
                <c:pt idx="2">
                  <c:v>1</c:v>
                </c:pt>
                <c:pt idx="3">
                  <c:v>1</c:v>
                </c:pt>
                <c:pt idx="4">
                  <c:v>1</c:v>
                </c:pt>
                <c:pt idx="5">
                  <c:v>1</c:v>
                </c:pt>
                <c:pt idx="6">
                  <c:v>1</c:v>
                </c:pt>
                <c:pt idx="7">
                  <c:v>1</c:v>
                </c:pt>
                <c:pt idx="8">
                  <c:v>1</c:v>
                </c:pt>
              </c:numCache>
            </c:numRef>
          </c:yVal>
          <c:smooth val="0"/>
          <c:extLst>
            <c:ext xmlns:c16="http://schemas.microsoft.com/office/drawing/2014/chart" uri="{C3380CC4-5D6E-409C-BE32-E72D297353CC}">
              <c16:uniqueId val="{00000000-DDCF-44BB-899F-3EC11CCF873C}"/>
            </c:ext>
          </c:extLst>
        </c:ser>
        <c:ser>
          <c:idx val="1"/>
          <c:order val="1"/>
          <c:tx>
            <c:strRef>
              <c:f>Abaco!$B$52</c:f>
              <c:strCache>
                <c:ptCount val="1"/>
                <c:pt idx="0">
                  <c:v>Ø = 104 mm</c:v>
                </c:pt>
              </c:strCache>
            </c:strRef>
          </c:tx>
          <c:xVal>
            <c:numRef>
              <c:f>Abaco!$D$52:$D$60</c:f>
              <c:numCache>
                <c:formatCode>General\ "kg"</c:formatCode>
                <c:ptCount val="9"/>
                <c:pt idx="0">
                  <c:v>1E-4</c:v>
                </c:pt>
                <c:pt idx="1">
                  <c:v>1.08535</c:v>
                </c:pt>
                <c:pt idx="2">
                  <c:v>2.1706000000000003</c:v>
                </c:pt>
                <c:pt idx="3">
                  <c:v>3.2558500000000001</c:v>
                </c:pt>
                <c:pt idx="4">
                  <c:v>4.3411</c:v>
                </c:pt>
                <c:pt idx="5">
                  <c:v>5.4263500000000002</c:v>
                </c:pt>
                <c:pt idx="6">
                  <c:v>6.5115999999999996</c:v>
                </c:pt>
                <c:pt idx="7">
                  <c:v>7.5968499999999999</c:v>
                </c:pt>
                <c:pt idx="8">
                  <c:v>8.6821000000000002</c:v>
                </c:pt>
              </c:numCache>
            </c:numRef>
          </c:xVal>
          <c:yVal>
            <c:numRef>
              <c:f>Abaco!$M$52:$M$60</c:f>
              <c:numCache>
                <c:formatCode>General" s"</c:formatCode>
                <c:ptCount val="9"/>
                <c:pt idx="0">
                  <c:v>0</c:v>
                </c:pt>
                <c:pt idx="1">
                  <c:v>1</c:v>
                </c:pt>
                <c:pt idx="2">
                  <c:v>1</c:v>
                </c:pt>
                <c:pt idx="3">
                  <c:v>1</c:v>
                </c:pt>
                <c:pt idx="4">
                  <c:v>1</c:v>
                </c:pt>
                <c:pt idx="5">
                  <c:v>1</c:v>
                </c:pt>
                <c:pt idx="6">
                  <c:v>1</c:v>
                </c:pt>
                <c:pt idx="7">
                  <c:v>1</c:v>
                </c:pt>
                <c:pt idx="8">
                  <c:v>1</c:v>
                </c:pt>
              </c:numCache>
            </c:numRef>
          </c:yVal>
          <c:smooth val="0"/>
          <c:extLst>
            <c:ext xmlns:c16="http://schemas.microsoft.com/office/drawing/2014/chart" uri="{C3380CC4-5D6E-409C-BE32-E72D297353CC}">
              <c16:uniqueId val="{00000001-DDCF-44BB-899F-3EC11CCF873C}"/>
            </c:ext>
          </c:extLst>
        </c:ser>
        <c:ser>
          <c:idx val="2"/>
          <c:order val="2"/>
          <c:tx>
            <c:strRef>
              <c:f>Abaco!$B$61</c:f>
              <c:strCache>
                <c:ptCount val="1"/>
                <c:pt idx="0">
                  <c:v>Ø = 156 mm</c:v>
                </c:pt>
              </c:strCache>
            </c:strRef>
          </c:tx>
          <c:xVal>
            <c:numRef>
              <c:f>Abaco!$D$61:$D$69</c:f>
              <c:numCache>
                <c:formatCode>General\ "kg"</c:formatCode>
                <c:ptCount val="9"/>
                <c:pt idx="0">
                  <c:v>1E-4</c:v>
                </c:pt>
                <c:pt idx="1">
                  <c:v>1.08535</c:v>
                </c:pt>
                <c:pt idx="2">
                  <c:v>2.1706000000000003</c:v>
                </c:pt>
                <c:pt idx="3">
                  <c:v>3.2558500000000001</c:v>
                </c:pt>
                <c:pt idx="4">
                  <c:v>4.3411</c:v>
                </c:pt>
                <c:pt idx="5">
                  <c:v>5.4263500000000002</c:v>
                </c:pt>
                <c:pt idx="6">
                  <c:v>6.5115999999999996</c:v>
                </c:pt>
                <c:pt idx="7">
                  <c:v>7.5968499999999999</c:v>
                </c:pt>
                <c:pt idx="8">
                  <c:v>8.6821000000000002</c:v>
                </c:pt>
              </c:numCache>
            </c:numRef>
          </c:xVal>
          <c:yVal>
            <c:numRef>
              <c:f>Abaco!$M$61:$M$69</c:f>
              <c:numCache>
                <c:formatCode>General" s"</c:formatCode>
                <c:ptCount val="9"/>
                <c:pt idx="0">
                  <c:v>0</c:v>
                </c:pt>
                <c:pt idx="1">
                  <c:v>1</c:v>
                </c:pt>
                <c:pt idx="2">
                  <c:v>1</c:v>
                </c:pt>
                <c:pt idx="3">
                  <c:v>1</c:v>
                </c:pt>
                <c:pt idx="4">
                  <c:v>1</c:v>
                </c:pt>
                <c:pt idx="5">
                  <c:v>1</c:v>
                </c:pt>
                <c:pt idx="6">
                  <c:v>1</c:v>
                </c:pt>
                <c:pt idx="7">
                  <c:v>1</c:v>
                </c:pt>
                <c:pt idx="8">
                  <c:v>1</c:v>
                </c:pt>
              </c:numCache>
            </c:numRef>
          </c:yVal>
          <c:smooth val="0"/>
          <c:extLst>
            <c:ext xmlns:c16="http://schemas.microsoft.com/office/drawing/2014/chart" uri="{C3380CC4-5D6E-409C-BE32-E72D297353CC}">
              <c16:uniqueId val="{00000002-DDCF-44BB-899F-3EC11CCF873C}"/>
            </c:ext>
          </c:extLst>
        </c:ser>
        <c:dLbls>
          <c:showLegendKey val="0"/>
          <c:showVal val="0"/>
          <c:showCatName val="0"/>
          <c:showSerName val="0"/>
          <c:showPercent val="0"/>
          <c:showBubbleSize val="0"/>
        </c:dLbls>
        <c:axId val="195678976"/>
        <c:axId val="195680896"/>
      </c:scatterChart>
      <c:valAx>
        <c:axId val="195678976"/>
        <c:scaling>
          <c:orientation val="minMax"/>
        </c:scaling>
        <c:delete val="0"/>
        <c:axPos val="b"/>
        <c:majorGridlines/>
        <c:title>
          <c:tx>
            <c:strRef>
              <c:f>Abaco!$B$75</c:f>
              <c:strCache>
                <c:ptCount val="1"/>
                <c:pt idx="0">
                  <c:v>Masse totale</c:v>
                </c:pt>
              </c:strCache>
            </c:strRef>
          </c:tx>
          <c:layout>
            <c:manualLayout>
              <c:xMode val="edge"/>
              <c:yMode val="edge"/>
              <c:x val="0.25133794251328334"/>
              <c:y val="0.80923599762293852"/>
            </c:manualLayout>
          </c:layout>
          <c:overlay val="0"/>
          <c:txPr>
            <a:bodyPr/>
            <a:lstStyle/>
            <a:p>
              <a:pPr>
                <a:defRPr sz="1000" b="1" i="0" u="none" strike="noStrike" baseline="0">
                  <a:solidFill>
                    <a:srgbClr val="000000"/>
                  </a:solidFill>
                  <a:latin typeface="Calibri"/>
                  <a:ea typeface="Calibri"/>
                  <a:cs typeface="Calibri"/>
                </a:defRPr>
              </a:pPr>
              <a:endParaRPr lang="fr-FR"/>
            </a:p>
          </c:txPr>
        </c:title>
        <c:numFmt formatCode="General\ &quot;kg&quot;"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195680896"/>
        <c:crosses val="autoZero"/>
        <c:crossBetween val="midCat"/>
      </c:valAx>
      <c:valAx>
        <c:axId val="195680896"/>
        <c:scaling>
          <c:orientation val="minMax"/>
        </c:scaling>
        <c:delete val="0"/>
        <c:axPos val="l"/>
        <c:majorGridlines/>
        <c:title>
          <c:tx>
            <c:strRef>
              <c:f>Abaco!$B$80</c:f>
              <c:strCache>
                <c:ptCount val="1"/>
                <c:pt idx="0">
                  <c:v>Temps de culmination</c:v>
                </c:pt>
              </c:strCache>
            </c:strRef>
          </c:tx>
          <c:layout>
            <c:manualLayout>
              <c:xMode val="edge"/>
              <c:yMode val="edge"/>
              <c:x val="0.14166677336064695"/>
              <c:y val="5.8034467389689502E-2"/>
            </c:manualLayout>
          </c:layout>
          <c:overlay val="0"/>
          <c:txPr>
            <a:bodyPr/>
            <a:lstStyle/>
            <a:p>
              <a:pPr>
                <a:defRPr sz="1000" b="1" i="0" u="none" strike="noStrike" baseline="0">
                  <a:solidFill>
                    <a:srgbClr val="000000"/>
                  </a:solidFill>
                  <a:latin typeface="Calibri"/>
                  <a:ea typeface="Calibri"/>
                  <a:cs typeface="Calibri"/>
                </a:defRPr>
              </a:pPr>
              <a:endParaRPr lang="fr-FR"/>
            </a:p>
          </c:txPr>
        </c:title>
        <c:numFmt formatCode="General&quot; s&quot;"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195678976"/>
        <c:crosses val="autoZero"/>
        <c:crossBetween val="midCat"/>
      </c:valAx>
    </c:plotArea>
    <c:legend>
      <c:legendPos val="r"/>
      <c:layout>
        <c:manualLayout>
          <c:xMode val="edge"/>
          <c:yMode val="edge"/>
          <c:x val="0.72357744916031841"/>
          <c:y val="0.18396263556678061"/>
          <c:w val="0.20325203252032525"/>
          <c:h val="0.25235886198187502"/>
        </c:manualLayout>
      </c:layout>
      <c:overlay val="0"/>
      <c:spPr>
        <a:solidFill>
          <a:schemeClr val="bg1"/>
        </a:solidFill>
      </c:spPr>
      <c:txPr>
        <a:bodyPr/>
        <a:lstStyle/>
        <a:p>
          <a:pPr>
            <a:defRPr sz="920" b="0" i="0" u="none" strike="noStrike" baseline="0">
              <a:solidFill>
                <a:srgbClr val="000000"/>
              </a:solidFill>
              <a:latin typeface="Calibri"/>
              <a:ea typeface="Calibri"/>
              <a:cs typeface="Calibri"/>
            </a:defRPr>
          </a:pPr>
          <a:endParaRPr lang="fr-FR"/>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fr-FR"/>
    </a:p>
  </c:txPr>
  <c:printSettings>
    <c:headerFooter/>
    <c:pageMargins b="0.750000000000002" l="0.70000000000000062" r="0.70000000000000062" t="0.750000000000002" header="0.30000000000000032" footer="0.30000000000000032"/>
    <c:pageSetup/>
  </c:printSettings>
</c:chartSpace>
</file>

<file path=xl/ctrlProps/ctrlProp1.xml><?xml version="1.0" encoding="utf-8"?>
<formControlPr xmlns="http://schemas.microsoft.com/office/spreadsheetml/2009/9/main" objectType="Spin" dx="15" fmlaLink="$C$23" inc="25" max="30000" noThreeD="1" page="10"/>
</file>

<file path=xl/ctrlProps/ctrlProp2.xml><?xml version="1.0" encoding="utf-8"?>
<formControlPr xmlns="http://schemas.microsoft.com/office/spreadsheetml/2009/9/main" objectType="Spin" dx="15" fmlaLink="$C$12" inc="100" max="30000" noThreeD="1" page="10" val="4341"/>
</file>

<file path=xl/ctrlProps/ctrlProp3.xml><?xml version="1.0" encoding="utf-8"?>
<formControlPr xmlns="http://schemas.microsoft.com/office/spreadsheetml/2009/9/main" objectType="Spin" dx="15" fmlaLink="$C$13" inc="50" max="30000" noThreeD="1" page="10" val="493"/>
</file>

<file path=xl/ctrlProps/ctrlProp4.xml><?xml version="1.0" encoding="utf-8"?>
<formControlPr xmlns="http://schemas.microsoft.com/office/spreadsheetml/2009/9/main" objectType="Spin" dx="15" fmlaLink="$C$24" inc="20" max="30000" noThreeD="1" page="10" val="84"/>
</file>

<file path=xl/ctrlProps/ctrlProp5.xml><?xml version="1.0" encoding="utf-8"?>
<formControlPr xmlns="http://schemas.microsoft.com/office/spreadsheetml/2009/9/main" objectType="Spin" dx="15" fmlaLink="$C$28" inc="10" max="30000" noThreeD="1" page="10" val="210"/>
</file>

<file path=xl/ctrlProps/ctrlProp6.xml><?xml version="1.0" encoding="utf-8"?>
<formControlPr xmlns="http://schemas.microsoft.com/office/spreadsheetml/2009/9/main" objectType="Spin" dx="15" fmlaLink="$C$29" inc="10" max="30000" noThreeD="1" page="10" val="80"/>
</file>

<file path=xl/ctrlProps/ctrlProp7.xml><?xml version="1.0" encoding="utf-8"?>
<formControlPr xmlns="http://schemas.microsoft.com/office/spreadsheetml/2009/9/main" objectType="Spin" dx="15" fmlaLink="$C$30" inc="10" max="30000" noThreeD="1" page="10" val="185"/>
</file>

<file path=xl/ctrlProps/ctrlProp8.xml><?xml version="1.0" encoding="utf-8"?>
<formControlPr xmlns="http://schemas.microsoft.com/office/spreadsheetml/2009/9/main" objectType="Spin" dx="15" fmlaLink="$C$31" inc="10" max="30000" noThreeD="1" page="10" val="145"/>
</file>

<file path=xl/ctrlProps/ctrlProp9.xml><?xml version="1.0" encoding="utf-8"?>
<formControlPr xmlns="http://schemas.microsoft.com/office/spreadsheetml/2009/9/main" objectType="Spin" dx="15" fmlaLink="$C$32" max="30000" noThreeD="1" page="10" val="4"/>
</file>

<file path=xl/ctrlProps/ctrlProp10.xml><?xml version="1.0" encoding="utf-8"?>
<formControlPr xmlns="http://schemas.microsoft.com/office/spreadsheetml/2009/9/main" objectType="Spin" dx="15" fmlaLink="$C$33" max="6" min="3" noThreeD="1" page="10" val="4"/>
</file>

<file path=xl/ctrlProps/ctrlProp11.xml><?xml version="1.0" encoding="utf-8"?>
<formControlPr xmlns="http://schemas.microsoft.com/office/spreadsheetml/2009/9/main" objectType="Spin" dx="15" fmlaLink="$C$14" inc="50" max="30000" noThreeD="1" page="10" val="1120"/>
</file>

<file path=xl/ctrlProps/ctrlProp12.xml><?xml version="1.0" encoding="utf-8"?>
<formControlPr xmlns="http://schemas.microsoft.com/office/spreadsheetml/2009/9/main" objectType="Spin" dx="15" fmlaLink="$C$12" inc="100" max="30000" noThreeD="1" page="10" val="4341"/>
</file>

<file path=xl/ctrlProps/ctrlProp13.xml><?xml version="1.0" encoding="utf-8"?>
<formControlPr xmlns="http://schemas.microsoft.com/office/spreadsheetml/2009/9/main" objectType="Spin" dx="15" fmlaLink="$C$12" inc="100" max="30000" noThreeD="1" page="10" val="4341"/>
</file>

<file path=xl/ctrlProps/ctrlProp14.xml><?xml version="1.0" encoding="utf-8"?>
<formControlPr xmlns="http://schemas.microsoft.com/office/spreadsheetml/2009/9/main" objectType="Spin" dx="15" fmlaLink="Stabilito!C12" inc="100" max="30000" noThreeD="1" page="10" val="4341"/>
</file>

<file path=xl/ctrlProps/ctrlProp15.xml><?xml version="1.0" encoding="utf-8"?>
<formControlPr xmlns="http://schemas.microsoft.com/office/spreadsheetml/2009/9/main" objectType="Spin" dx="15" fmlaLink="$B$44" inc="50" max="30000" noThreeD="1" page="10" val="310"/>
</file>

<file path=xl/ctrlProps/ctrlProp16.xml><?xml version="1.0" encoding="utf-8"?>
<formControlPr xmlns="http://schemas.microsoft.com/office/spreadsheetml/2009/9/main" objectType="Spin" dx="15" fmlaLink="$B$46" inc="50" max="30000" noThreeD="1" page="10" val="310"/>
</file>

<file path=xl/ctrlProps/ctrlProp17.xml><?xml version="1.0" encoding="utf-8"?>
<formControlPr xmlns="http://schemas.microsoft.com/office/spreadsheetml/2009/9/main" objectType="Spin" dx="15" fmlaLink="$B$52" inc="50" max="30000" noThreeD="1" page="10" val="299"/>
</file>

<file path=xl/ctrlProps/ctrlProp18.xml><?xml version="1.0" encoding="utf-8"?>
<formControlPr xmlns="http://schemas.microsoft.com/office/spreadsheetml/2009/9/main" objectType="Spin" dx="15" fmlaLink="$B$54" inc="5" max="30000" noThreeD="1" page="10" val="29"/>
</file>

<file path=xl/ctrlProps/ctrlProp19.xml><?xml version="1.0" encoding="utf-8"?>
<formControlPr xmlns="http://schemas.microsoft.com/office/spreadsheetml/2009/9/main" objectType="Spin" dx="15" fmlaLink="Stabilito!C12" inc="100" max="30000" noThreeD="1" page="10" val="4341"/>
</file>

<file path=xl/ctrlProps/ctrlProp20.xml><?xml version="1.0" encoding="utf-8"?>
<formControlPr xmlns="http://schemas.microsoft.com/office/spreadsheetml/2009/9/main" objectType="Spin" dx="15" fmlaLink="Stabilito!C12" inc="100" max="30000" noThreeD="1" page="10" val="4341"/>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7" Type="http://schemas.openxmlformats.org/officeDocument/2006/relationships/image" Target="../media/image5.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4.png"/><Relationship Id="rId5" Type="http://schemas.openxmlformats.org/officeDocument/2006/relationships/image" Target="../media/image3.png"/><Relationship Id="rId4" Type="http://schemas.openxmlformats.org/officeDocument/2006/relationships/chart" Target="../charts/chart2.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image" Target="../media/image3.png"/><Relationship Id="rId4" Type="http://schemas.openxmlformats.org/officeDocument/2006/relationships/chart" Target="../charts/chart12.xml"/></Relationships>
</file>

<file path=xl/drawings/_rels/drawing7.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45.png"/><Relationship Id="rId1" Type="http://schemas.openxmlformats.org/officeDocument/2006/relationships/image" Target="../media/image44.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6.emf"/></Relationships>
</file>

<file path=xl/drawings/_rels/vmlDrawing3.vml.rels><?xml version="1.0" encoding="UTF-8" standalone="yes"?>
<Relationships xmlns="http://schemas.openxmlformats.org/package/2006/relationships"><Relationship Id="rId13" Type="http://schemas.openxmlformats.org/officeDocument/2006/relationships/image" Target="../media/image19.emf"/><Relationship Id="rId18" Type="http://schemas.openxmlformats.org/officeDocument/2006/relationships/image" Target="../media/image24.emf"/><Relationship Id="rId26" Type="http://schemas.openxmlformats.org/officeDocument/2006/relationships/image" Target="../media/image32.emf"/><Relationship Id="rId3" Type="http://schemas.openxmlformats.org/officeDocument/2006/relationships/image" Target="../media/image9.emf"/><Relationship Id="rId21" Type="http://schemas.openxmlformats.org/officeDocument/2006/relationships/image" Target="../media/image27.emf"/><Relationship Id="rId34" Type="http://schemas.openxmlformats.org/officeDocument/2006/relationships/image" Target="../media/image40.emf"/><Relationship Id="rId7" Type="http://schemas.openxmlformats.org/officeDocument/2006/relationships/image" Target="../media/image13.emf"/><Relationship Id="rId12" Type="http://schemas.openxmlformats.org/officeDocument/2006/relationships/image" Target="../media/image18.emf"/><Relationship Id="rId17" Type="http://schemas.openxmlformats.org/officeDocument/2006/relationships/image" Target="../media/image23.emf"/><Relationship Id="rId25" Type="http://schemas.openxmlformats.org/officeDocument/2006/relationships/image" Target="../media/image31.emf"/><Relationship Id="rId33" Type="http://schemas.openxmlformats.org/officeDocument/2006/relationships/image" Target="../media/image39.emf"/><Relationship Id="rId2" Type="http://schemas.openxmlformats.org/officeDocument/2006/relationships/image" Target="../media/image8.emf"/><Relationship Id="rId16" Type="http://schemas.openxmlformats.org/officeDocument/2006/relationships/image" Target="../media/image22.emf"/><Relationship Id="rId20" Type="http://schemas.openxmlformats.org/officeDocument/2006/relationships/image" Target="../media/image26.emf"/><Relationship Id="rId29" Type="http://schemas.openxmlformats.org/officeDocument/2006/relationships/image" Target="../media/image35.emf"/><Relationship Id="rId1" Type="http://schemas.openxmlformats.org/officeDocument/2006/relationships/image" Target="../media/image7.emf"/><Relationship Id="rId6" Type="http://schemas.openxmlformats.org/officeDocument/2006/relationships/image" Target="../media/image12.emf"/><Relationship Id="rId11" Type="http://schemas.openxmlformats.org/officeDocument/2006/relationships/image" Target="../media/image17.emf"/><Relationship Id="rId24" Type="http://schemas.openxmlformats.org/officeDocument/2006/relationships/image" Target="../media/image30.emf"/><Relationship Id="rId32" Type="http://schemas.openxmlformats.org/officeDocument/2006/relationships/image" Target="../media/image38.emf"/><Relationship Id="rId5" Type="http://schemas.openxmlformats.org/officeDocument/2006/relationships/image" Target="../media/image11.emf"/><Relationship Id="rId15" Type="http://schemas.openxmlformats.org/officeDocument/2006/relationships/image" Target="../media/image21.emf"/><Relationship Id="rId23" Type="http://schemas.openxmlformats.org/officeDocument/2006/relationships/image" Target="../media/image29.emf"/><Relationship Id="rId28" Type="http://schemas.openxmlformats.org/officeDocument/2006/relationships/image" Target="../media/image34.emf"/><Relationship Id="rId36" Type="http://schemas.openxmlformats.org/officeDocument/2006/relationships/image" Target="../media/image42.emf"/><Relationship Id="rId10" Type="http://schemas.openxmlformats.org/officeDocument/2006/relationships/image" Target="../media/image16.emf"/><Relationship Id="rId19" Type="http://schemas.openxmlformats.org/officeDocument/2006/relationships/image" Target="../media/image25.emf"/><Relationship Id="rId31" Type="http://schemas.openxmlformats.org/officeDocument/2006/relationships/image" Target="../media/image37.emf"/><Relationship Id="rId4" Type="http://schemas.openxmlformats.org/officeDocument/2006/relationships/image" Target="../media/image10.emf"/><Relationship Id="rId9" Type="http://schemas.openxmlformats.org/officeDocument/2006/relationships/image" Target="../media/image15.emf"/><Relationship Id="rId14" Type="http://schemas.openxmlformats.org/officeDocument/2006/relationships/image" Target="../media/image20.emf"/><Relationship Id="rId22" Type="http://schemas.openxmlformats.org/officeDocument/2006/relationships/image" Target="../media/image28.emf"/><Relationship Id="rId27" Type="http://schemas.openxmlformats.org/officeDocument/2006/relationships/image" Target="../media/image33.emf"/><Relationship Id="rId30" Type="http://schemas.openxmlformats.org/officeDocument/2006/relationships/image" Target="../media/image36.emf"/><Relationship Id="rId35" Type="http://schemas.openxmlformats.org/officeDocument/2006/relationships/image" Target="../media/image41.emf"/><Relationship Id="rId8" Type="http://schemas.openxmlformats.org/officeDocument/2006/relationships/image" Target="../media/image1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3.emf"/></Relationships>
</file>

<file path=xl/drawings/drawing1.xml><?xml version="1.0" encoding="utf-8"?>
<xdr:wsDr xmlns:xdr="http://schemas.openxmlformats.org/drawingml/2006/spreadsheetDrawing" xmlns:a="http://schemas.openxmlformats.org/drawingml/2006/main">
  <xdr:twoCellAnchor>
    <xdr:from>
      <xdr:col>12</xdr:col>
      <xdr:colOff>25400</xdr:colOff>
      <xdr:row>1</xdr:row>
      <xdr:rowOff>25400</xdr:rowOff>
    </xdr:from>
    <xdr:to>
      <xdr:col>12</xdr:col>
      <xdr:colOff>488950</xdr:colOff>
      <xdr:row>1</xdr:row>
      <xdr:rowOff>139700</xdr:rowOff>
    </xdr:to>
    <xdr:grpSp>
      <xdr:nvGrpSpPr>
        <xdr:cNvPr id="5096993" name="Groupe 1">
          <a:extLst>
            <a:ext uri="{FF2B5EF4-FFF2-40B4-BE49-F238E27FC236}">
              <a16:creationId xmlns:a16="http://schemas.microsoft.com/office/drawing/2014/main" id="{00000000-0008-0000-0000-000021C64D00}"/>
            </a:ext>
          </a:extLst>
        </xdr:cNvPr>
        <xdr:cNvGrpSpPr>
          <a:grpSpLocks/>
        </xdr:cNvGrpSpPr>
      </xdr:nvGrpSpPr>
      <xdr:grpSpPr bwMode="auto">
        <a:xfrm>
          <a:off x="7372074" y="191052"/>
          <a:ext cx="463550" cy="114300"/>
          <a:chOff x="7067550" y="190500"/>
          <a:chExt cx="438150" cy="114300"/>
        </a:xfrm>
      </xdr:grpSpPr>
      <xdr:pic>
        <xdr:nvPicPr>
          <xdr:cNvPr id="5096999" name="Image 1">
            <a:extLst>
              <a:ext uri="{FF2B5EF4-FFF2-40B4-BE49-F238E27FC236}">
                <a16:creationId xmlns:a16="http://schemas.microsoft.com/office/drawing/2014/main" id="{00000000-0008-0000-0000-000027C64D00}"/>
              </a:ext>
            </a:extLst>
          </xdr:cNvPr>
          <xdr:cNvPicPr>
            <a:picLocks noChangeAspect="1"/>
          </xdr:cNvPicPr>
        </xdr:nvPicPr>
        <xdr:blipFill>
          <a:blip xmlns:r="http://schemas.openxmlformats.org/officeDocument/2006/relationships" r:embed="rId1" cstate="print"/>
          <a:srcRect/>
          <a:stretch>
            <a:fillRect/>
          </a:stretch>
        </xdr:blipFill>
        <xdr:spPr bwMode="auto">
          <a:xfrm>
            <a:off x="7067550" y="190500"/>
            <a:ext cx="171450" cy="114300"/>
          </a:xfrm>
          <a:prstGeom prst="rect">
            <a:avLst/>
          </a:prstGeom>
          <a:noFill/>
          <a:ln w="9525">
            <a:noFill/>
            <a:miter lim="800000"/>
            <a:headEnd/>
            <a:tailEnd/>
          </a:ln>
        </xdr:spPr>
      </xdr:pic>
      <xdr:pic>
        <xdr:nvPicPr>
          <xdr:cNvPr id="5097000" name="Image 2">
            <a:extLst>
              <a:ext uri="{FF2B5EF4-FFF2-40B4-BE49-F238E27FC236}">
                <a16:creationId xmlns:a16="http://schemas.microsoft.com/office/drawing/2014/main" id="{00000000-0008-0000-0000-000028C64D00}"/>
              </a:ext>
            </a:extLst>
          </xdr:cNvPr>
          <xdr:cNvPicPr>
            <a:picLocks noChangeAspect="1"/>
          </xdr:cNvPicPr>
        </xdr:nvPicPr>
        <xdr:blipFill>
          <a:blip xmlns:r="http://schemas.openxmlformats.org/officeDocument/2006/relationships" r:embed="rId2" cstate="print"/>
          <a:srcRect/>
          <a:stretch>
            <a:fillRect/>
          </a:stretch>
        </xdr:blipFill>
        <xdr:spPr bwMode="auto">
          <a:xfrm>
            <a:off x="7277100" y="190500"/>
            <a:ext cx="228600" cy="114300"/>
          </a:xfrm>
          <a:prstGeom prst="rect">
            <a:avLst/>
          </a:prstGeom>
          <a:noFill/>
          <a:ln w="9525">
            <a:noFill/>
            <a:miter lim="800000"/>
            <a:headEnd/>
            <a:tailEnd/>
          </a:ln>
        </xdr:spPr>
      </xdr:pic>
    </xdr:grpSp>
    <xdr:clientData/>
  </xdr:twoCellAnchor>
  <xdr:twoCellAnchor>
    <xdr:from>
      <xdr:col>4</xdr:col>
      <xdr:colOff>279400</xdr:colOff>
      <xdr:row>1</xdr:row>
      <xdr:rowOff>0</xdr:rowOff>
    </xdr:from>
    <xdr:to>
      <xdr:col>10</xdr:col>
      <xdr:colOff>0</xdr:colOff>
      <xdr:row>24</xdr:row>
      <xdr:rowOff>0</xdr:rowOff>
    </xdr:to>
    <xdr:graphicFrame macro="">
      <xdr:nvGraphicFramePr>
        <xdr:cNvPr id="5096994" name="Graphique 9">
          <a:extLst>
            <a:ext uri="{FF2B5EF4-FFF2-40B4-BE49-F238E27FC236}">
              <a16:creationId xmlns:a16="http://schemas.microsoft.com/office/drawing/2014/main" id="{00000000-0008-0000-0000-000022C64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0</xdr:colOff>
      <xdr:row>25</xdr:row>
      <xdr:rowOff>0</xdr:rowOff>
    </xdr:from>
    <xdr:to>
      <xdr:col>16</xdr:col>
      <xdr:colOff>0</xdr:colOff>
      <xdr:row>35</xdr:row>
      <xdr:rowOff>0</xdr:rowOff>
    </xdr:to>
    <xdr:graphicFrame macro="">
      <xdr:nvGraphicFramePr>
        <xdr:cNvPr id="5096995" name="Graphique 19">
          <a:extLst>
            <a:ext uri="{FF2B5EF4-FFF2-40B4-BE49-F238E27FC236}">
              <a16:creationId xmlns:a16="http://schemas.microsoft.com/office/drawing/2014/main" id="{00000000-0008-0000-0000-000023C64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0</xdr:colOff>
      <xdr:row>1</xdr:row>
      <xdr:rowOff>0</xdr:rowOff>
    </xdr:from>
    <xdr:to>
      <xdr:col>1</xdr:col>
      <xdr:colOff>981075</xdr:colOff>
      <xdr:row>4</xdr:row>
      <xdr:rowOff>152400</xdr:rowOff>
    </xdr:to>
    <xdr:pic>
      <xdr:nvPicPr>
        <xdr:cNvPr id="5096996" name="Picture 8" descr="logoplasci">
          <a:extLst>
            <a:ext uri="{FF2B5EF4-FFF2-40B4-BE49-F238E27FC236}">
              <a16:creationId xmlns:a16="http://schemas.microsoft.com/office/drawing/2014/main" id="{00000000-0008-0000-0000-000024C64D00}"/>
            </a:ext>
          </a:extLst>
        </xdr:cNvPr>
        <xdr:cNvPicPr>
          <a:picLocks noChangeAspect="1" noChangeArrowheads="1"/>
        </xdr:cNvPicPr>
      </xdr:nvPicPr>
      <xdr:blipFill>
        <a:blip xmlns:r="http://schemas.openxmlformats.org/officeDocument/2006/relationships" r:embed="rId5" cstate="print"/>
        <a:srcRect/>
        <a:stretch>
          <a:fillRect/>
        </a:stretch>
      </xdr:blipFill>
      <xdr:spPr bwMode="auto">
        <a:xfrm>
          <a:off x="152400" y="158750"/>
          <a:ext cx="984250" cy="628650"/>
        </a:xfrm>
        <a:prstGeom prst="rect">
          <a:avLst/>
        </a:prstGeom>
        <a:noFill/>
        <a:ln w="9525">
          <a:noFill/>
          <a:miter lim="800000"/>
          <a:headEnd/>
          <a:tailEnd/>
        </a:ln>
      </xdr:spPr>
    </xdr:pic>
    <xdr:clientData/>
  </xdr:twoCellAnchor>
  <xdr:twoCellAnchor editAs="oneCell">
    <xdr:from>
      <xdr:col>1</xdr:col>
      <xdr:colOff>0</xdr:colOff>
      <xdr:row>38</xdr:row>
      <xdr:rowOff>0</xdr:rowOff>
    </xdr:from>
    <xdr:to>
      <xdr:col>3</xdr:col>
      <xdr:colOff>1270</xdr:colOff>
      <xdr:row>49</xdr:row>
      <xdr:rowOff>66675</xdr:rowOff>
    </xdr:to>
    <xdr:pic>
      <xdr:nvPicPr>
        <xdr:cNvPr id="5096997" name="Image 1">
          <a:extLst>
            <a:ext uri="{FF2B5EF4-FFF2-40B4-BE49-F238E27FC236}">
              <a16:creationId xmlns:a16="http://schemas.microsoft.com/office/drawing/2014/main" id="{00000000-0008-0000-0000-000025C64D00}"/>
            </a:ext>
          </a:extLst>
        </xdr:cNvPr>
        <xdr:cNvPicPr>
          <a:picLocks noChangeAspect="1"/>
        </xdr:cNvPicPr>
      </xdr:nvPicPr>
      <xdr:blipFill>
        <a:blip xmlns:r="http://schemas.openxmlformats.org/officeDocument/2006/relationships" r:embed="rId6" cstate="print"/>
        <a:srcRect/>
        <a:stretch>
          <a:fillRect/>
        </a:stretch>
      </xdr:blipFill>
      <xdr:spPr bwMode="auto">
        <a:xfrm>
          <a:off x="152400" y="5873750"/>
          <a:ext cx="1987550" cy="1885950"/>
        </a:xfrm>
        <a:prstGeom prst="rect">
          <a:avLst/>
        </a:prstGeom>
        <a:noFill/>
        <a:ln w="9525">
          <a:noFill/>
          <a:miter lim="800000"/>
          <a:headEnd/>
          <a:tailEnd/>
        </a:ln>
      </xdr:spPr>
    </xdr:pic>
    <xdr:clientData/>
  </xdr:twoCellAnchor>
  <xdr:twoCellAnchor editAs="oneCell">
    <xdr:from>
      <xdr:col>18</xdr:col>
      <xdr:colOff>0</xdr:colOff>
      <xdr:row>3</xdr:row>
      <xdr:rowOff>12700</xdr:rowOff>
    </xdr:from>
    <xdr:to>
      <xdr:col>20</xdr:col>
      <xdr:colOff>561975</xdr:colOff>
      <xdr:row>9</xdr:row>
      <xdr:rowOff>20320</xdr:rowOff>
    </xdr:to>
    <xdr:pic>
      <xdr:nvPicPr>
        <xdr:cNvPr id="5096998" name="Image 2">
          <a:extLst>
            <a:ext uri="{FF2B5EF4-FFF2-40B4-BE49-F238E27FC236}">
              <a16:creationId xmlns:a16="http://schemas.microsoft.com/office/drawing/2014/main" id="{00000000-0008-0000-0000-000026C64D00}"/>
            </a:ext>
          </a:extLst>
        </xdr:cNvPr>
        <xdr:cNvPicPr>
          <a:picLocks noChangeAspect="1"/>
        </xdr:cNvPicPr>
      </xdr:nvPicPr>
      <xdr:blipFill>
        <a:blip xmlns:r="http://schemas.openxmlformats.org/officeDocument/2006/relationships" r:embed="rId7" cstate="print"/>
        <a:srcRect/>
        <a:stretch>
          <a:fillRect/>
        </a:stretch>
      </xdr:blipFill>
      <xdr:spPr bwMode="auto">
        <a:xfrm>
          <a:off x="9810750" y="488950"/>
          <a:ext cx="2152650" cy="952500"/>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3</xdr:col>
          <xdr:colOff>752475</xdr:colOff>
          <xdr:row>22</xdr:row>
          <xdr:rowOff>0</xdr:rowOff>
        </xdr:from>
        <xdr:to>
          <xdr:col>3</xdr:col>
          <xdr:colOff>895350</xdr:colOff>
          <xdr:row>23</xdr:row>
          <xdr:rowOff>0</xdr:rowOff>
        </xdr:to>
        <xdr:sp macro="" textlink="">
          <xdr:nvSpPr>
            <xdr:cNvPr id="36775" name="Spinner 935" hidden="1">
              <a:extLst>
                <a:ext uri="{63B3BB69-23CF-44E3-9099-C40C66FF867C}">
                  <a14:compatExt spid="_x0000_s36775"/>
                </a:ext>
                <a:ext uri="{FF2B5EF4-FFF2-40B4-BE49-F238E27FC236}">
                  <a16:creationId xmlns:a16="http://schemas.microsoft.com/office/drawing/2014/main" id="{00000000-0008-0000-0000-0000A7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11</xdr:row>
          <xdr:rowOff>0</xdr:rowOff>
        </xdr:from>
        <xdr:to>
          <xdr:col>2</xdr:col>
          <xdr:colOff>895350</xdr:colOff>
          <xdr:row>12</xdr:row>
          <xdr:rowOff>0</xdr:rowOff>
        </xdr:to>
        <xdr:sp macro="" textlink="">
          <xdr:nvSpPr>
            <xdr:cNvPr id="36781" name="Spinner 941" hidden="1">
              <a:extLst>
                <a:ext uri="{63B3BB69-23CF-44E3-9099-C40C66FF867C}">
                  <a14:compatExt spid="_x0000_s36781"/>
                </a:ext>
                <a:ext uri="{FF2B5EF4-FFF2-40B4-BE49-F238E27FC236}">
                  <a16:creationId xmlns:a16="http://schemas.microsoft.com/office/drawing/2014/main" id="{00000000-0008-0000-0000-0000AD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12</xdr:row>
          <xdr:rowOff>0</xdr:rowOff>
        </xdr:from>
        <xdr:to>
          <xdr:col>2</xdr:col>
          <xdr:colOff>895350</xdr:colOff>
          <xdr:row>13</xdr:row>
          <xdr:rowOff>0</xdr:rowOff>
        </xdr:to>
        <xdr:sp macro="" textlink="">
          <xdr:nvSpPr>
            <xdr:cNvPr id="36782" name="Spinner 942" hidden="1">
              <a:extLst>
                <a:ext uri="{63B3BB69-23CF-44E3-9099-C40C66FF867C}">
                  <a14:compatExt spid="_x0000_s36782"/>
                </a:ext>
                <a:ext uri="{FF2B5EF4-FFF2-40B4-BE49-F238E27FC236}">
                  <a16:creationId xmlns:a16="http://schemas.microsoft.com/office/drawing/2014/main" id="{00000000-0008-0000-0000-0000AE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752475</xdr:colOff>
          <xdr:row>22</xdr:row>
          <xdr:rowOff>161925</xdr:rowOff>
        </xdr:from>
        <xdr:to>
          <xdr:col>3</xdr:col>
          <xdr:colOff>895350</xdr:colOff>
          <xdr:row>24</xdr:row>
          <xdr:rowOff>0</xdr:rowOff>
        </xdr:to>
        <xdr:sp macro="" textlink="">
          <xdr:nvSpPr>
            <xdr:cNvPr id="36783" name="Spinner 943" hidden="1">
              <a:extLst>
                <a:ext uri="{63B3BB69-23CF-44E3-9099-C40C66FF867C}">
                  <a14:compatExt spid="_x0000_s36783"/>
                </a:ext>
                <a:ext uri="{FF2B5EF4-FFF2-40B4-BE49-F238E27FC236}">
                  <a16:creationId xmlns:a16="http://schemas.microsoft.com/office/drawing/2014/main" id="{00000000-0008-0000-0000-0000AF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27</xdr:row>
          <xdr:rowOff>0</xdr:rowOff>
        </xdr:from>
        <xdr:to>
          <xdr:col>3</xdr:col>
          <xdr:colOff>0</xdr:colOff>
          <xdr:row>28</xdr:row>
          <xdr:rowOff>9525</xdr:rowOff>
        </xdr:to>
        <xdr:sp macro="" textlink="">
          <xdr:nvSpPr>
            <xdr:cNvPr id="36789" name="Spinner 949" hidden="1">
              <a:extLst>
                <a:ext uri="{63B3BB69-23CF-44E3-9099-C40C66FF867C}">
                  <a14:compatExt spid="_x0000_s36789"/>
                </a:ext>
                <a:ext uri="{FF2B5EF4-FFF2-40B4-BE49-F238E27FC236}">
                  <a16:creationId xmlns:a16="http://schemas.microsoft.com/office/drawing/2014/main" id="{00000000-0008-0000-0000-0000B5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28</xdr:row>
          <xdr:rowOff>0</xdr:rowOff>
        </xdr:from>
        <xdr:to>
          <xdr:col>3</xdr:col>
          <xdr:colOff>0</xdr:colOff>
          <xdr:row>29</xdr:row>
          <xdr:rowOff>9525</xdr:rowOff>
        </xdr:to>
        <xdr:sp macro="" textlink="">
          <xdr:nvSpPr>
            <xdr:cNvPr id="36795" name="Spinner 955" hidden="1">
              <a:extLst>
                <a:ext uri="{63B3BB69-23CF-44E3-9099-C40C66FF867C}">
                  <a14:compatExt spid="_x0000_s36795"/>
                </a:ext>
                <a:ext uri="{FF2B5EF4-FFF2-40B4-BE49-F238E27FC236}">
                  <a16:creationId xmlns:a16="http://schemas.microsoft.com/office/drawing/2014/main" id="{00000000-0008-0000-0000-0000BB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28</xdr:row>
          <xdr:rowOff>161925</xdr:rowOff>
        </xdr:from>
        <xdr:to>
          <xdr:col>3</xdr:col>
          <xdr:colOff>0</xdr:colOff>
          <xdr:row>30</xdr:row>
          <xdr:rowOff>0</xdr:rowOff>
        </xdr:to>
        <xdr:sp macro="" textlink="">
          <xdr:nvSpPr>
            <xdr:cNvPr id="36796" name="Spinner 956" hidden="1">
              <a:extLst>
                <a:ext uri="{63B3BB69-23CF-44E3-9099-C40C66FF867C}">
                  <a14:compatExt spid="_x0000_s36796"/>
                </a:ext>
                <a:ext uri="{FF2B5EF4-FFF2-40B4-BE49-F238E27FC236}">
                  <a16:creationId xmlns:a16="http://schemas.microsoft.com/office/drawing/2014/main" id="{00000000-0008-0000-0000-0000BC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30</xdr:row>
          <xdr:rowOff>0</xdr:rowOff>
        </xdr:from>
        <xdr:to>
          <xdr:col>3</xdr:col>
          <xdr:colOff>0</xdr:colOff>
          <xdr:row>30</xdr:row>
          <xdr:rowOff>161925</xdr:rowOff>
        </xdr:to>
        <xdr:sp macro="" textlink="">
          <xdr:nvSpPr>
            <xdr:cNvPr id="36797" name="Spinner 957" hidden="1">
              <a:extLst>
                <a:ext uri="{63B3BB69-23CF-44E3-9099-C40C66FF867C}">
                  <a14:compatExt spid="_x0000_s36797"/>
                </a:ext>
                <a:ext uri="{FF2B5EF4-FFF2-40B4-BE49-F238E27FC236}">
                  <a16:creationId xmlns:a16="http://schemas.microsoft.com/office/drawing/2014/main" id="{00000000-0008-0000-0000-0000BD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31</xdr:row>
          <xdr:rowOff>0</xdr:rowOff>
        </xdr:from>
        <xdr:to>
          <xdr:col>2</xdr:col>
          <xdr:colOff>895350</xdr:colOff>
          <xdr:row>32</xdr:row>
          <xdr:rowOff>0</xdr:rowOff>
        </xdr:to>
        <xdr:sp macro="" textlink="">
          <xdr:nvSpPr>
            <xdr:cNvPr id="36798" name="Spinner 958" hidden="1">
              <a:extLst>
                <a:ext uri="{63B3BB69-23CF-44E3-9099-C40C66FF867C}">
                  <a14:compatExt spid="_x0000_s36798"/>
                </a:ext>
                <a:ext uri="{FF2B5EF4-FFF2-40B4-BE49-F238E27FC236}">
                  <a16:creationId xmlns:a16="http://schemas.microsoft.com/office/drawing/2014/main" id="{00000000-0008-0000-0000-0000BE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32</xdr:row>
          <xdr:rowOff>0</xdr:rowOff>
        </xdr:from>
        <xdr:to>
          <xdr:col>3</xdr:col>
          <xdr:colOff>0</xdr:colOff>
          <xdr:row>33</xdr:row>
          <xdr:rowOff>0</xdr:rowOff>
        </xdr:to>
        <xdr:sp macro="" textlink="">
          <xdr:nvSpPr>
            <xdr:cNvPr id="36799" name="Spinner 959" hidden="1">
              <a:extLst>
                <a:ext uri="{63B3BB69-23CF-44E3-9099-C40C66FF867C}">
                  <a14:compatExt spid="_x0000_s36799"/>
                </a:ext>
                <a:ext uri="{FF2B5EF4-FFF2-40B4-BE49-F238E27FC236}">
                  <a16:creationId xmlns:a16="http://schemas.microsoft.com/office/drawing/2014/main" id="{00000000-0008-0000-0000-0000BF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752475</xdr:colOff>
          <xdr:row>12</xdr:row>
          <xdr:rowOff>161925</xdr:rowOff>
        </xdr:from>
        <xdr:to>
          <xdr:col>4</xdr:col>
          <xdr:colOff>0</xdr:colOff>
          <xdr:row>13</xdr:row>
          <xdr:rowOff>161925</xdr:rowOff>
        </xdr:to>
        <xdr:sp macro="" textlink="">
          <xdr:nvSpPr>
            <xdr:cNvPr id="36801" name="Spinner 961" hidden="1">
              <a:extLst>
                <a:ext uri="{63B3BB69-23CF-44E3-9099-C40C66FF867C}">
                  <a14:compatExt spid="_x0000_s36801"/>
                </a:ext>
                <a:ext uri="{FF2B5EF4-FFF2-40B4-BE49-F238E27FC236}">
                  <a16:creationId xmlns:a16="http://schemas.microsoft.com/office/drawing/2014/main" id="{00000000-0008-0000-0000-0000C1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19</xdr:col>
          <xdr:colOff>0</xdr:colOff>
          <xdr:row>35</xdr:row>
          <xdr:rowOff>9525</xdr:rowOff>
        </xdr:from>
        <xdr:to>
          <xdr:col>19</xdr:col>
          <xdr:colOff>0</xdr:colOff>
          <xdr:row>36</xdr:row>
          <xdr:rowOff>0</xdr:rowOff>
        </xdr:to>
        <xdr:sp macro="" textlink="">
          <xdr:nvSpPr>
            <xdr:cNvPr id="5096691" name="Spinner 3315" hidden="1">
              <a:extLst>
                <a:ext uri="{63B3BB69-23CF-44E3-9099-C40C66FF867C}">
                  <a14:compatExt spid="_x0000_s5096691"/>
                </a:ext>
                <a:ext uri="{FF2B5EF4-FFF2-40B4-BE49-F238E27FC236}">
                  <a16:creationId xmlns:a16="http://schemas.microsoft.com/office/drawing/2014/main" id="{00000000-0008-0000-0000-0000F3C44D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19</xdr:col>
          <xdr:colOff>0</xdr:colOff>
          <xdr:row>35</xdr:row>
          <xdr:rowOff>9525</xdr:rowOff>
        </xdr:from>
        <xdr:to>
          <xdr:col>19</xdr:col>
          <xdr:colOff>0</xdr:colOff>
          <xdr:row>36</xdr:row>
          <xdr:rowOff>0</xdr:rowOff>
        </xdr:to>
        <xdr:sp macro="" textlink="">
          <xdr:nvSpPr>
            <xdr:cNvPr id="5096692" name="Spinner 3316" hidden="1">
              <a:extLst>
                <a:ext uri="{63B3BB69-23CF-44E3-9099-C40C66FF867C}">
                  <a14:compatExt spid="_x0000_s5096692"/>
                </a:ext>
                <a:ext uri="{FF2B5EF4-FFF2-40B4-BE49-F238E27FC236}">
                  <a16:creationId xmlns:a16="http://schemas.microsoft.com/office/drawing/2014/main" id="{00000000-0008-0000-0000-0000F4C44D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5</xdr:col>
      <xdr:colOff>0</xdr:colOff>
      <xdr:row>1</xdr:row>
      <xdr:rowOff>0</xdr:rowOff>
    </xdr:from>
    <xdr:to>
      <xdr:col>8</xdr:col>
      <xdr:colOff>609600</xdr:colOff>
      <xdr:row>21</xdr:row>
      <xdr:rowOff>38100</xdr:rowOff>
    </xdr:to>
    <xdr:graphicFrame macro="">
      <xdr:nvGraphicFramePr>
        <xdr:cNvPr id="4779983" name="Graphique 1">
          <a:extLst>
            <a:ext uri="{FF2B5EF4-FFF2-40B4-BE49-F238E27FC236}">
              <a16:creationId xmlns:a16="http://schemas.microsoft.com/office/drawing/2014/main" id="{00000000-0008-0000-0100-0000CFEF48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1</xdr:row>
      <xdr:rowOff>0</xdr:rowOff>
    </xdr:from>
    <xdr:to>
      <xdr:col>13</xdr:col>
      <xdr:colOff>0</xdr:colOff>
      <xdr:row>21</xdr:row>
      <xdr:rowOff>47625</xdr:rowOff>
    </xdr:to>
    <xdr:graphicFrame macro="">
      <xdr:nvGraphicFramePr>
        <xdr:cNvPr id="4779984" name="Graphique 2">
          <a:extLst>
            <a:ext uri="{FF2B5EF4-FFF2-40B4-BE49-F238E27FC236}">
              <a16:creationId xmlns:a16="http://schemas.microsoft.com/office/drawing/2014/main" id="{00000000-0008-0000-0100-0000D0EF48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0</xdr:colOff>
      <xdr:row>1</xdr:row>
      <xdr:rowOff>0</xdr:rowOff>
    </xdr:from>
    <xdr:to>
      <xdr:col>1</xdr:col>
      <xdr:colOff>979170</xdr:colOff>
      <xdr:row>4</xdr:row>
      <xdr:rowOff>152400</xdr:rowOff>
    </xdr:to>
    <xdr:pic>
      <xdr:nvPicPr>
        <xdr:cNvPr id="4779985" name="Picture 8" descr="logoplasci">
          <a:extLst>
            <a:ext uri="{FF2B5EF4-FFF2-40B4-BE49-F238E27FC236}">
              <a16:creationId xmlns:a16="http://schemas.microsoft.com/office/drawing/2014/main" id="{00000000-0008-0000-0100-0000D1EF4800}"/>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152400" y="165100"/>
          <a:ext cx="984250" cy="628650"/>
        </a:xfrm>
        <a:prstGeom prst="rect">
          <a:avLst/>
        </a:prstGeom>
        <a:noFill/>
        <a:ln w="9525">
          <a:noFill/>
          <a:miter lim="800000"/>
          <a:headEnd/>
          <a:tailEnd/>
        </a:ln>
      </xdr:spPr>
    </xdr:pic>
    <xdr:clientData/>
  </xdr:twoCellAnchor>
  <xdr:twoCellAnchor>
    <xdr:from>
      <xdr:col>2</xdr:col>
      <xdr:colOff>397377</xdr:colOff>
      <xdr:row>49</xdr:row>
      <xdr:rowOff>132682</xdr:rowOff>
    </xdr:from>
    <xdr:to>
      <xdr:col>3</xdr:col>
      <xdr:colOff>583998</xdr:colOff>
      <xdr:row>56</xdr:row>
      <xdr:rowOff>50436</xdr:rowOff>
    </xdr:to>
    <xdr:grpSp>
      <xdr:nvGrpSpPr>
        <xdr:cNvPr id="4" name="Groupe 3">
          <a:extLst>
            <a:ext uri="{FF2B5EF4-FFF2-40B4-BE49-F238E27FC236}">
              <a16:creationId xmlns:a16="http://schemas.microsoft.com/office/drawing/2014/main" id="{00000000-0008-0000-0100-000004000000}"/>
            </a:ext>
          </a:extLst>
        </xdr:cNvPr>
        <xdr:cNvGrpSpPr/>
      </xdr:nvGrpSpPr>
      <xdr:grpSpPr>
        <a:xfrm>
          <a:off x="1616577" y="8076532"/>
          <a:ext cx="1043871" cy="1051229"/>
          <a:chOff x="1543718" y="8304129"/>
          <a:chExt cx="1082306" cy="1064096"/>
        </a:xfrm>
      </xdr:grpSpPr>
      <xdr:sp macro="" textlink="">
        <xdr:nvSpPr>
          <xdr:cNvPr id="4779987" name="Oval 323">
            <a:extLst>
              <a:ext uri="{FF2B5EF4-FFF2-40B4-BE49-F238E27FC236}">
                <a16:creationId xmlns:a16="http://schemas.microsoft.com/office/drawing/2014/main" id="{00000000-0008-0000-0100-0000D3EF4800}"/>
              </a:ext>
            </a:extLst>
          </xdr:cNvPr>
          <xdr:cNvSpPr>
            <a:spLocks noChangeArrowheads="1"/>
          </xdr:cNvSpPr>
        </xdr:nvSpPr>
        <xdr:spPr bwMode="auto">
          <a:xfrm>
            <a:off x="1543718" y="8304129"/>
            <a:ext cx="1082306" cy="1064096"/>
          </a:xfrm>
          <a:prstGeom prst="ellipse">
            <a:avLst/>
          </a:prstGeom>
          <a:solidFill>
            <a:srgbClr val="F2F2F2"/>
          </a:solidFill>
          <a:ln w="9525">
            <a:solidFill>
              <a:srgbClr val="000000"/>
            </a:solidFill>
            <a:round/>
            <a:headEnd/>
            <a:tailEnd/>
          </a:ln>
        </xdr:spPr>
      </xdr:sp>
      <xdr:sp macro="" textlink="">
        <xdr:nvSpPr>
          <xdr:cNvPr id="4779988" name="Oval 323">
            <a:extLst>
              <a:ext uri="{FF2B5EF4-FFF2-40B4-BE49-F238E27FC236}">
                <a16:creationId xmlns:a16="http://schemas.microsoft.com/office/drawing/2014/main" id="{00000000-0008-0000-0100-0000D4EF4800}"/>
              </a:ext>
            </a:extLst>
          </xdr:cNvPr>
          <xdr:cNvSpPr>
            <a:spLocks noChangeArrowheads="1"/>
          </xdr:cNvSpPr>
        </xdr:nvSpPr>
        <xdr:spPr bwMode="auto">
          <a:xfrm>
            <a:off x="1939718" y="8694827"/>
            <a:ext cx="290306" cy="282700"/>
          </a:xfrm>
          <a:prstGeom prst="ellipse">
            <a:avLst/>
          </a:prstGeom>
          <a:solidFill>
            <a:srgbClr val="FFFFFF"/>
          </a:solidFill>
          <a:ln w="9525">
            <a:solidFill>
              <a:srgbClr val="000000"/>
            </a:solidFill>
            <a:round/>
            <a:headEnd/>
            <a:tailEnd/>
          </a:ln>
        </xdr:spPr>
      </xdr:sp>
      <xdr:sp macro="" textlink="">
        <xdr:nvSpPr>
          <xdr:cNvPr id="4779989" name="Line 324">
            <a:extLst>
              <a:ext uri="{FF2B5EF4-FFF2-40B4-BE49-F238E27FC236}">
                <a16:creationId xmlns:a16="http://schemas.microsoft.com/office/drawing/2014/main" id="{00000000-0008-0000-0100-0000D5EF4800}"/>
              </a:ext>
            </a:extLst>
          </xdr:cNvPr>
          <xdr:cNvSpPr>
            <a:spLocks noChangeShapeType="1"/>
          </xdr:cNvSpPr>
        </xdr:nvSpPr>
        <xdr:spPr bwMode="auto">
          <a:xfrm>
            <a:off x="2083718" y="8304129"/>
            <a:ext cx="0" cy="540000"/>
          </a:xfrm>
          <a:prstGeom prst="line">
            <a:avLst/>
          </a:prstGeom>
          <a:noFill/>
          <a:ln w="9525">
            <a:solidFill>
              <a:srgbClr val="000000"/>
            </a:solidFill>
            <a:round/>
            <a:headEnd type="triangle" w="med" len="med"/>
            <a:tailEnd type="triangle" w="med" len="med"/>
          </a:ln>
        </xdr:spPr>
      </xdr:sp>
      <xdr:sp macro="" textlink="">
        <xdr:nvSpPr>
          <xdr:cNvPr id="4779990" name="Line 324">
            <a:extLst>
              <a:ext uri="{FF2B5EF4-FFF2-40B4-BE49-F238E27FC236}">
                <a16:creationId xmlns:a16="http://schemas.microsoft.com/office/drawing/2014/main" id="{00000000-0008-0000-0100-0000D6EF4800}"/>
              </a:ext>
            </a:extLst>
          </xdr:cNvPr>
          <xdr:cNvSpPr>
            <a:spLocks noChangeShapeType="1"/>
          </xdr:cNvSpPr>
        </xdr:nvSpPr>
        <xdr:spPr bwMode="auto">
          <a:xfrm>
            <a:off x="2083718" y="8838866"/>
            <a:ext cx="0" cy="144000"/>
          </a:xfrm>
          <a:prstGeom prst="line">
            <a:avLst/>
          </a:prstGeom>
          <a:noFill/>
          <a:ln w="9525">
            <a:solidFill>
              <a:srgbClr val="000000"/>
            </a:solidFill>
            <a:round/>
            <a:headEnd type="triangle" w="sm" len="sm"/>
            <a:tailEnd type="triangle" w="sm" len="sm"/>
          </a:ln>
        </xdr:spPr>
      </xdr:sp>
    </xdr:grpSp>
    <xdr:clientData/>
  </xdr:twoCellAnchor>
  <mc:AlternateContent xmlns:mc="http://schemas.openxmlformats.org/markup-compatibility/2006">
    <mc:Choice xmlns:a14="http://schemas.microsoft.com/office/drawing/2010/main" Requires="a14">
      <xdr:twoCellAnchor>
        <xdr:from>
          <xdr:col>3</xdr:col>
          <xdr:colOff>647700</xdr:colOff>
          <xdr:row>9</xdr:row>
          <xdr:rowOff>161925</xdr:rowOff>
        </xdr:from>
        <xdr:to>
          <xdr:col>4</xdr:col>
          <xdr:colOff>0</xdr:colOff>
          <xdr:row>11</xdr:row>
          <xdr:rowOff>9525</xdr:rowOff>
        </xdr:to>
        <xdr:sp macro="" textlink="">
          <xdr:nvSpPr>
            <xdr:cNvPr id="1424424" name="Spinner 1064" hidden="1">
              <a:extLst>
                <a:ext uri="{63B3BB69-23CF-44E3-9099-C40C66FF867C}">
                  <a14:compatExt spid="_x0000_s1424424"/>
                </a:ext>
                <a:ext uri="{FF2B5EF4-FFF2-40B4-BE49-F238E27FC236}">
                  <a16:creationId xmlns:a16="http://schemas.microsoft.com/office/drawing/2014/main" id="{00000000-0008-0000-0100-000028BC15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1</xdr:col>
          <xdr:colOff>1181100</xdr:colOff>
          <xdr:row>43</xdr:row>
          <xdr:rowOff>9525</xdr:rowOff>
        </xdr:from>
        <xdr:to>
          <xdr:col>2</xdr:col>
          <xdr:colOff>0</xdr:colOff>
          <xdr:row>44</xdr:row>
          <xdr:rowOff>0</xdr:rowOff>
        </xdr:to>
        <xdr:sp macro="" textlink="">
          <xdr:nvSpPr>
            <xdr:cNvPr id="1424589" name="Spinner 1229" hidden="1">
              <a:extLst>
                <a:ext uri="{63B3BB69-23CF-44E3-9099-C40C66FF867C}">
                  <a14:compatExt spid="_x0000_s1424589"/>
                </a:ext>
                <a:ext uri="{FF2B5EF4-FFF2-40B4-BE49-F238E27FC236}">
                  <a16:creationId xmlns:a16="http://schemas.microsoft.com/office/drawing/2014/main" id="{00000000-0008-0000-0100-0000CDBC15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1</xdr:col>
          <xdr:colOff>1181100</xdr:colOff>
          <xdr:row>45</xdr:row>
          <xdr:rowOff>9525</xdr:rowOff>
        </xdr:from>
        <xdr:to>
          <xdr:col>2</xdr:col>
          <xdr:colOff>0</xdr:colOff>
          <xdr:row>46</xdr:row>
          <xdr:rowOff>0</xdr:rowOff>
        </xdr:to>
        <xdr:sp macro="" textlink="">
          <xdr:nvSpPr>
            <xdr:cNvPr id="1424590" name="Spinner 1230" hidden="1">
              <a:extLst>
                <a:ext uri="{63B3BB69-23CF-44E3-9099-C40C66FF867C}">
                  <a14:compatExt spid="_x0000_s1424590"/>
                </a:ext>
                <a:ext uri="{FF2B5EF4-FFF2-40B4-BE49-F238E27FC236}">
                  <a16:creationId xmlns:a16="http://schemas.microsoft.com/office/drawing/2014/main" id="{00000000-0008-0000-0100-0000CEBC15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1</xdr:col>
          <xdr:colOff>1181100</xdr:colOff>
          <xdr:row>51</xdr:row>
          <xdr:rowOff>9525</xdr:rowOff>
        </xdr:from>
        <xdr:to>
          <xdr:col>2</xdr:col>
          <xdr:colOff>0</xdr:colOff>
          <xdr:row>52</xdr:row>
          <xdr:rowOff>0</xdr:rowOff>
        </xdr:to>
        <xdr:sp macro="" textlink="">
          <xdr:nvSpPr>
            <xdr:cNvPr id="1424591" name="Spinner 1231" hidden="1">
              <a:extLst>
                <a:ext uri="{63B3BB69-23CF-44E3-9099-C40C66FF867C}">
                  <a14:compatExt spid="_x0000_s1424591"/>
                </a:ext>
                <a:ext uri="{FF2B5EF4-FFF2-40B4-BE49-F238E27FC236}">
                  <a16:creationId xmlns:a16="http://schemas.microsoft.com/office/drawing/2014/main" id="{00000000-0008-0000-0100-0000CFBC15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94</xdr:row>
          <xdr:rowOff>76200</xdr:rowOff>
        </xdr:from>
        <xdr:to>
          <xdr:col>3</xdr:col>
          <xdr:colOff>762000</xdr:colOff>
          <xdr:row>100</xdr:row>
          <xdr:rowOff>95250</xdr:rowOff>
        </xdr:to>
        <xdr:sp macro="" textlink="">
          <xdr:nvSpPr>
            <xdr:cNvPr id="1425294" name="Object 1934" hidden="1">
              <a:extLst>
                <a:ext uri="{63B3BB69-23CF-44E3-9099-C40C66FF867C}">
                  <a14:compatExt spid="_x0000_s1425294"/>
                </a:ext>
                <a:ext uri="{FF2B5EF4-FFF2-40B4-BE49-F238E27FC236}">
                  <a16:creationId xmlns:a16="http://schemas.microsoft.com/office/drawing/2014/main" id="{00000000-0008-0000-0100-00008EBF15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1181100</xdr:colOff>
          <xdr:row>53</xdr:row>
          <xdr:rowOff>9525</xdr:rowOff>
        </xdr:from>
        <xdr:to>
          <xdr:col>2</xdr:col>
          <xdr:colOff>0</xdr:colOff>
          <xdr:row>54</xdr:row>
          <xdr:rowOff>0</xdr:rowOff>
        </xdr:to>
        <xdr:sp macro="" textlink="">
          <xdr:nvSpPr>
            <xdr:cNvPr id="4779462" name="Spinner 4550" hidden="1">
              <a:extLst>
                <a:ext uri="{63B3BB69-23CF-44E3-9099-C40C66FF867C}">
                  <a14:compatExt spid="_x0000_s4779462"/>
                </a:ext>
                <a:ext uri="{FF2B5EF4-FFF2-40B4-BE49-F238E27FC236}">
                  <a16:creationId xmlns:a16="http://schemas.microsoft.com/office/drawing/2014/main" id="{00000000-0008-0000-0100-0000C6ED48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xdr:twoCellAnchor>
    <xdr:from>
      <xdr:col>2</xdr:col>
      <xdr:colOff>111065</xdr:colOff>
      <xdr:row>40</xdr:row>
      <xdr:rowOff>120650</xdr:rowOff>
    </xdr:from>
    <xdr:to>
      <xdr:col>3</xdr:col>
      <xdr:colOff>723899</xdr:colOff>
      <xdr:row>47</xdr:row>
      <xdr:rowOff>163763</xdr:rowOff>
    </xdr:to>
    <xdr:grpSp>
      <xdr:nvGrpSpPr>
        <xdr:cNvPr id="5" name="Groupe 4">
          <a:extLst>
            <a:ext uri="{FF2B5EF4-FFF2-40B4-BE49-F238E27FC236}">
              <a16:creationId xmlns:a16="http://schemas.microsoft.com/office/drawing/2014/main" id="{00000000-0008-0000-0100-000005000000}"/>
            </a:ext>
          </a:extLst>
        </xdr:cNvPr>
        <xdr:cNvGrpSpPr/>
      </xdr:nvGrpSpPr>
      <xdr:grpSpPr>
        <a:xfrm>
          <a:off x="1330265" y="6607175"/>
          <a:ext cx="1470084" cy="1176588"/>
          <a:chOff x="1206570" y="6604334"/>
          <a:chExt cx="1696381" cy="1189455"/>
        </a:xfrm>
      </xdr:grpSpPr>
      <xdr:grpSp>
        <xdr:nvGrpSpPr>
          <xdr:cNvPr id="4779986" name="Groupe 1">
            <a:extLst>
              <a:ext uri="{FF2B5EF4-FFF2-40B4-BE49-F238E27FC236}">
                <a16:creationId xmlns:a16="http://schemas.microsoft.com/office/drawing/2014/main" id="{00000000-0008-0000-0100-0000D2EF4800}"/>
              </a:ext>
            </a:extLst>
          </xdr:cNvPr>
          <xdr:cNvGrpSpPr>
            <a:grpSpLocks/>
          </xdr:cNvGrpSpPr>
        </xdr:nvGrpSpPr>
        <xdr:grpSpPr bwMode="auto">
          <a:xfrm>
            <a:off x="1423067" y="6604334"/>
            <a:ext cx="1479884" cy="1189455"/>
            <a:chOff x="1362074" y="6410325"/>
            <a:chExt cx="1319467" cy="1181100"/>
          </a:xfrm>
        </xdr:grpSpPr>
        <xdr:sp macro="" textlink="">
          <xdr:nvSpPr>
            <xdr:cNvPr id="4779991" name="Line 320">
              <a:extLst>
                <a:ext uri="{FF2B5EF4-FFF2-40B4-BE49-F238E27FC236}">
                  <a16:creationId xmlns:a16="http://schemas.microsoft.com/office/drawing/2014/main" id="{00000000-0008-0000-0100-0000D7EF4800}"/>
                </a:ext>
              </a:extLst>
            </xdr:cNvPr>
            <xdr:cNvSpPr>
              <a:spLocks noChangeShapeType="1"/>
            </xdr:cNvSpPr>
          </xdr:nvSpPr>
          <xdr:spPr bwMode="auto">
            <a:xfrm flipH="1">
              <a:off x="1481627" y="7305580"/>
              <a:ext cx="342769" cy="0"/>
            </a:xfrm>
            <a:prstGeom prst="line">
              <a:avLst/>
            </a:prstGeom>
            <a:noFill/>
            <a:ln w="9525">
              <a:solidFill>
                <a:srgbClr val="000000"/>
              </a:solidFill>
              <a:round/>
              <a:headEnd type="triangle" w="med" len="med"/>
              <a:tailEnd type="triangle" w="med" len="med"/>
            </a:ln>
          </xdr:spPr>
        </xdr:sp>
        <xdr:sp macro="" textlink="">
          <xdr:nvSpPr>
            <xdr:cNvPr id="4779992" name="Rectangle 314">
              <a:extLst>
                <a:ext uri="{FF2B5EF4-FFF2-40B4-BE49-F238E27FC236}">
                  <a16:creationId xmlns:a16="http://schemas.microsoft.com/office/drawing/2014/main" id="{00000000-0008-0000-0100-0000D8EF4800}"/>
                </a:ext>
              </a:extLst>
            </xdr:cNvPr>
            <xdr:cNvSpPr>
              <a:spLocks noChangeArrowheads="1"/>
            </xdr:cNvSpPr>
          </xdr:nvSpPr>
          <xdr:spPr bwMode="auto">
            <a:xfrm>
              <a:off x="1838688" y="6410325"/>
              <a:ext cx="481630" cy="1181100"/>
            </a:xfrm>
            <a:prstGeom prst="rect">
              <a:avLst/>
            </a:prstGeom>
            <a:solidFill>
              <a:srgbClr val="F2F2F2"/>
            </a:solidFill>
            <a:ln w="9525">
              <a:solidFill>
                <a:srgbClr val="000000"/>
              </a:solidFill>
              <a:miter lim="800000"/>
              <a:headEnd/>
              <a:tailEnd/>
            </a:ln>
          </xdr:spPr>
        </xdr:sp>
        <xdr:sp macro="" textlink="">
          <xdr:nvSpPr>
            <xdr:cNvPr id="4779993" name="Rectangle 315">
              <a:extLst>
                <a:ext uri="{FF2B5EF4-FFF2-40B4-BE49-F238E27FC236}">
                  <a16:creationId xmlns:a16="http://schemas.microsoft.com/office/drawing/2014/main" id="{00000000-0008-0000-0100-0000D9EF4800}"/>
                </a:ext>
              </a:extLst>
            </xdr:cNvPr>
            <xdr:cNvSpPr>
              <a:spLocks noChangeArrowheads="1"/>
            </xdr:cNvSpPr>
          </xdr:nvSpPr>
          <xdr:spPr bwMode="auto">
            <a:xfrm rot="16200000">
              <a:off x="1842199" y="6398837"/>
              <a:ext cx="474608" cy="1204076"/>
            </a:xfrm>
            <a:prstGeom prst="rect">
              <a:avLst/>
            </a:prstGeom>
            <a:solidFill>
              <a:srgbClr val="F2F2F2"/>
            </a:solidFill>
            <a:ln w="9525">
              <a:solidFill>
                <a:srgbClr val="000000"/>
              </a:solidFill>
              <a:miter lim="800000"/>
              <a:headEnd/>
              <a:tailEnd/>
            </a:ln>
          </xdr:spPr>
        </xdr:sp>
        <xdr:sp macro="" textlink="">
          <xdr:nvSpPr>
            <xdr:cNvPr id="4779994" name="Line 316">
              <a:extLst>
                <a:ext uri="{FF2B5EF4-FFF2-40B4-BE49-F238E27FC236}">
                  <a16:creationId xmlns:a16="http://schemas.microsoft.com/office/drawing/2014/main" id="{00000000-0008-0000-0100-0000DAEF4800}"/>
                </a:ext>
              </a:extLst>
            </xdr:cNvPr>
            <xdr:cNvSpPr>
              <a:spLocks noChangeShapeType="1"/>
            </xdr:cNvSpPr>
          </xdr:nvSpPr>
          <xdr:spPr bwMode="auto">
            <a:xfrm>
              <a:off x="1839552" y="6759733"/>
              <a:ext cx="0" cy="482283"/>
            </a:xfrm>
            <a:prstGeom prst="line">
              <a:avLst/>
            </a:prstGeom>
            <a:noFill/>
            <a:ln w="9525">
              <a:solidFill>
                <a:srgbClr val="000000"/>
              </a:solidFill>
              <a:round/>
              <a:headEnd/>
              <a:tailEnd/>
            </a:ln>
          </xdr:spPr>
        </xdr:sp>
        <xdr:sp macro="" textlink="">
          <xdr:nvSpPr>
            <xdr:cNvPr id="4779995" name="Line 317">
              <a:extLst>
                <a:ext uri="{FF2B5EF4-FFF2-40B4-BE49-F238E27FC236}">
                  <a16:creationId xmlns:a16="http://schemas.microsoft.com/office/drawing/2014/main" id="{00000000-0008-0000-0100-0000DBEF4800}"/>
                </a:ext>
              </a:extLst>
            </xdr:cNvPr>
            <xdr:cNvSpPr>
              <a:spLocks noChangeShapeType="1"/>
            </xdr:cNvSpPr>
          </xdr:nvSpPr>
          <xdr:spPr bwMode="auto">
            <a:xfrm>
              <a:off x="2320389" y="6759733"/>
              <a:ext cx="0" cy="482283"/>
            </a:xfrm>
            <a:prstGeom prst="line">
              <a:avLst/>
            </a:prstGeom>
            <a:noFill/>
            <a:ln w="9525">
              <a:solidFill>
                <a:srgbClr val="000000"/>
              </a:solidFill>
              <a:round/>
              <a:headEnd/>
              <a:tailEnd/>
            </a:ln>
          </xdr:spPr>
          <xdr:txBody>
            <a:bodyPr/>
            <a:lstStyle/>
            <a:p>
              <a:endParaRPr lang="fr-FR"/>
            </a:p>
          </xdr:txBody>
        </xdr:sp>
        <xdr:sp macro="" textlink="">
          <xdr:nvSpPr>
            <xdr:cNvPr id="4779996" name="Line 319">
              <a:extLst>
                <a:ext uri="{FF2B5EF4-FFF2-40B4-BE49-F238E27FC236}">
                  <a16:creationId xmlns:a16="http://schemas.microsoft.com/office/drawing/2014/main" id="{00000000-0008-0000-0100-0000DCEF4800}"/>
                </a:ext>
              </a:extLst>
            </xdr:cNvPr>
            <xdr:cNvSpPr>
              <a:spLocks noChangeShapeType="1"/>
            </xdr:cNvSpPr>
          </xdr:nvSpPr>
          <xdr:spPr bwMode="auto">
            <a:xfrm>
              <a:off x="1362074" y="6762863"/>
              <a:ext cx="0" cy="476023"/>
            </a:xfrm>
            <a:prstGeom prst="line">
              <a:avLst/>
            </a:prstGeom>
            <a:noFill/>
            <a:ln w="9525">
              <a:solidFill>
                <a:srgbClr val="000000"/>
              </a:solidFill>
              <a:round/>
              <a:headEnd type="triangle" w="med" len="med"/>
              <a:tailEnd type="triangle" w="med" len="med"/>
            </a:ln>
          </xdr:spPr>
        </xdr:sp>
      </xdr:grpSp>
      <xdr:sp macro="" textlink="">
        <xdr:nvSpPr>
          <xdr:cNvPr id="2" name="ZoneTexte 1">
            <a:extLst>
              <a:ext uri="{FF2B5EF4-FFF2-40B4-BE49-F238E27FC236}">
                <a16:creationId xmlns:a16="http://schemas.microsoft.com/office/drawing/2014/main" id="{00000000-0008-0000-0100-000002000000}"/>
              </a:ext>
            </a:extLst>
          </xdr:cNvPr>
          <xdr:cNvSpPr txBox="1"/>
        </xdr:nvSpPr>
        <xdr:spPr>
          <a:xfrm>
            <a:off x="1206570" y="7066782"/>
            <a:ext cx="25224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fr-FR" sz="1100" b="1"/>
              <a:t>a</a:t>
            </a:r>
          </a:p>
        </xdr:txBody>
      </xdr:sp>
      <xdr:sp macro="" textlink="">
        <xdr:nvSpPr>
          <xdr:cNvPr id="3" name="ZoneTexte 2">
            <a:extLst>
              <a:ext uri="{FF2B5EF4-FFF2-40B4-BE49-F238E27FC236}">
                <a16:creationId xmlns:a16="http://schemas.microsoft.com/office/drawing/2014/main" id="{00000000-0008-0000-0100-000003000000}"/>
              </a:ext>
            </a:extLst>
          </xdr:cNvPr>
          <xdr:cNvSpPr txBox="1"/>
        </xdr:nvSpPr>
        <xdr:spPr>
          <a:xfrm>
            <a:off x="1607218" y="7462419"/>
            <a:ext cx="26039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fr-FR" sz="1100" b="1"/>
              <a:t>b</a:t>
            </a:r>
          </a:p>
        </xdr:txBody>
      </xdr:sp>
    </xdr:grp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165100</xdr:colOff>
      <xdr:row>1</xdr:row>
      <xdr:rowOff>0</xdr:rowOff>
    </xdr:from>
    <xdr:to>
      <xdr:col>10</xdr:col>
      <xdr:colOff>622300</xdr:colOff>
      <xdr:row>19</xdr:row>
      <xdr:rowOff>0</xdr:rowOff>
    </xdr:to>
    <xdr:graphicFrame macro="">
      <xdr:nvGraphicFramePr>
        <xdr:cNvPr id="5105813" name="Graphique 1">
          <a:extLst>
            <a:ext uri="{FF2B5EF4-FFF2-40B4-BE49-F238E27FC236}">
              <a16:creationId xmlns:a16="http://schemas.microsoft.com/office/drawing/2014/main" id="{00000000-0008-0000-0200-000095E84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165100</xdr:colOff>
      <xdr:row>37</xdr:row>
      <xdr:rowOff>0</xdr:rowOff>
    </xdr:from>
    <xdr:to>
      <xdr:col>10</xdr:col>
      <xdr:colOff>622300</xdr:colOff>
      <xdr:row>55</xdr:row>
      <xdr:rowOff>0</xdr:rowOff>
    </xdr:to>
    <xdr:graphicFrame macro="">
      <xdr:nvGraphicFramePr>
        <xdr:cNvPr id="5105814" name="Graphique 2">
          <a:extLst>
            <a:ext uri="{FF2B5EF4-FFF2-40B4-BE49-F238E27FC236}">
              <a16:creationId xmlns:a16="http://schemas.microsoft.com/office/drawing/2014/main" id="{00000000-0008-0000-0200-000096E84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165100</xdr:colOff>
      <xdr:row>19</xdr:row>
      <xdr:rowOff>0</xdr:rowOff>
    </xdr:from>
    <xdr:to>
      <xdr:col>10</xdr:col>
      <xdr:colOff>622300</xdr:colOff>
      <xdr:row>37</xdr:row>
      <xdr:rowOff>0</xdr:rowOff>
    </xdr:to>
    <xdr:graphicFrame macro="">
      <xdr:nvGraphicFramePr>
        <xdr:cNvPr id="5105815" name="Graphique 3">
          <a:extLst>
            <a:ext uri="{FF2B5EF4-FFF2-40B4-BE49-F238E27FC236}">
              <a16:creationId xmlns:a16="http://schemas.microsoft.com/office/drawing/2014/main" id="{00000000-0008-0000-0200-000097E84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165100</xdr:colOff>
      <xdr:row>55</xdr:row>
      <xdr:rowOff>0</xdr:rowOff>
    </xdr:from>
    <xdr:to>
      <xdr:col>10</xdr:col>
      <xdr:colOff>622300</xdr:colOff>
      <xdr:row>73</xdr:row>
      <xdr:rowOff>0</xdr:rowOff>
    </xdr:to>
    <xdr:graphicFrame macro="">
      <xdr:nvGraphicFramePr>
        <xdr:cNvPr id="5105816" name="Graphique 4">
          <a:extLst>
            <a:ext uri="{FF2B5EF4-FFF2-40B4-BE49-F238E27FC236}">
              <a16:creationId xmlns:a16="http://schemas.microsoft.com/office/drawing/2014/main" id="{00000000-0008-0000-0200-000098E84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12700</xdr:colOff>
      <xdr:row>4</xdr:row>
      <xdr:rowOff>44450</xdr:rowOff>
    </xdr:from>
    <xdr:to>
      <xdr:col>7</xdr:col>
      <xdr:colOff>215900</xdr:colOff>
      <xdr:row>19</xdr:row>
      <xdr:rowOff>133350</xdr:rowOff>
    </xdr:to>
    <xdr:graphicFrame macro="">
      <xdr:nvGraphicFramePr>
        <xdr:cNvPr id="5110822" name="Graphique 1">
          <a:extLst>
            <a:ext uri="{FF2B5EF4-FFF2-40B4-BE49-F238E27FC236}">
              <a16:creationId xmlns:a16="http://schemas.microsoft.com/office/drawing/2014/main" id="{00000000-0008-0000-0300-000026FC4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12</xdr:col>
      <xdr:colOff>273050</xdr:colOff>
      <xdr:row>1008</xdr:row>
      <xdr:rowOff>146050</xdr:rowOff>
    </xdr:from>
    <xdr:to>
      <xdr:col>16</xdr:col>
      <xdr:colOff>152400</xdr:colOff>
      <xdr:row>1010</xdr:row>
      <xdr:rowOff>82550</xdr:rowOff>
    </xdr:to>
    <xdr:sp macro="" textlink="">
      <xdr:nvSpPr>
        <xdr:cNvPr id="3393" name="Line 60">
          <a:extLst>
            <a:ext uri="{FF2B5EF4-FFF2-40B4-BE49-F238E27FC236}">
              <a16:creationId xmlns:a16="http://schemas.microsoft.com/office/drawing/2014/main" id="{00000000-0008-0000-0400-0000410D0000}"/>
            </a:ext>
          </a:extLst>
        </xdr:cNvPr>
        <xdr:cNvSpPr>
          <a:spLocks noChangeShapeType="1"/>
        </xdr:cNvSpPr>
      </xdr:nvSpPr>
      <xdr:spPr bwMode="auto">
        <a:xfrm flipH="1">
          <a:off x="5759450" y="160172400"/>
          <a:ext cx="1098550" cy="254000"/>
        </a:xfrm>
        <a:prstGeom prst="line">
          <a:avLst/>
        </a:prstGeom>
        <a:noFill/>
        <a:ln w="9525">
          <a:solidFill>
            <a:srgbClr val="000000"/>
          </a:solidFill>
          <a:round/>
          <a:headEnd/>
          <a:tailEnd type="triangle" w="med" len="med"/>
        </a:ln>
      </xdr:spPr>
    </xdr:sp>
    <xdr:clientData/>
  </xdr:twoCellAnchor>
  <xdr:twoCellAnchor>
    <xdr:from>
      <xdr:col>12</xdr:col>
      <xdr:colOff>279400</xdr:colOff>
      <xdr:row>1011</xdr:row>
      <xdr:rowOff>95250</xdr:rowOff>
    </xdr:from>
    <xdr:to>
      <xdr:col>17</xdr:col>
      <xdr:colOff>349250</xdr:colOff>
      <xdr:row>1013</xdr:row>
      <xdr:rowOff>139700</xdr:rowOff>
    </xdr:to>
    <xdr:sp macro="" textlink="">
      <xdr:nvSpPr>
        <xdr:cNvPr id="3394" name="Line 71">
          <a:extLst>
            <a:ext uri="{FF2B5EF4-FFF2-40B4-BE49-F238E27FC236}">
              <a16:creationId xmlns:a16="http://schemas.microsoft.com/office/drawing/2014/main" id="{00000000-0008-0000-0400-0000420D0000}"/>
            </a:ext>
          </a:extLst>
        </xdr:cNvPr>
        <xdr:cNvSpPr>
          <a:spLocks noChangeShapeType="1"/>
        </xdr:cNvSpPr>
      </xdr:nvSpPr>
      <xdr:spPr bwMode="auto">
        <a:xfrm flipH="1" flipV="1">
          <a:off x="5765800" y="160597850"/>
          <a:ext cx="1892300" cy="361950"/>
        </a:xfrm>
        <a:prstGeom prst="line">
          <a:avLst/>
        </a:prstGeom>
        <a:noFill/>
        <a:ln w="9525">
          <a:solidFill>
            <a:srgbClr val="000000"/>
          </a:solidFill>
          <a:round/>
          <a:headEnd/>
          <a:tailEnd type="triangle" w="med" len="med"/>
        </a:ln>
      </xdr:spPr>
    </xdr:sp>
    <xdr:clientData/>
  </xdr:twoCellAnchor>
  <xdr:twoCellAnchor>
    <xdr:from>
      <xdr:col>12</xdr:col>
      <xdr:colOff>279400</xdr:colOff>
      <xdr:row>1012</xdr:row>
      <xdr:rowOff>139700</xdr:rowOff>
    </xdr:from>
    <xdr:to>
      <xdr:col>17</xdr:col>
      <xdr:colOff>349250</xdr:colOff>
      <xdr:row>1015</xdr:row>
      <xdr:rowOff>25400</xdr:rowOff>
    </xdr:to>
    <xdr:sp macro="" textlink="">
      <xdr:nvSpPr>
        <xdr:cNvPr id="3395" name="Line 71">
          <a:extLst>
            <a:ext uri="{FF2B5EF4-FFF2-40B4-BE49-F238E27FC236}">
              <a16:creationId xmlns:a16="http://schemas.microsoft.com/office/drawing/2014/main" id="{00000000-0008-0000-0400-0000430D0000}"/>
            </a:ext>
          </a:extLst>
        </xdr:cNvPr>
        <xdr:cNvSpPr>
          <a:spLocks noChangeShapeType="1"/>
        </xdr:cNvSpPr>
      </xdr:nvSpPr>
      <xdr:spPr bwMode="auto">
        <a:xfrm flipH="1" flipV="1">
          <a:off x="5765800" y="160801050"/>
          <a:ext cx="1892300" cy="361950"/>
        </a:xfrm>
        <a:prstGeom prst="line">
          <a:avLst/>
        </a:prstGeom>
        <a:noFill/>
        <a:ln w="9525">
          <a:solidFill>
            <a:srgbClr val="000000"/>
          </a:solidFill>
          <a:round/>
          <a:headEnd/>
          <a:tailEnd type="triangle" w="med" len="med"/>
        </a:ln>
      </xdr:spPr>
    </xdr:sp>
    <xdr:clientData/>
  </xdr:twoCellAnchor>
  <mc:AlternateContent xmlns:mc="http://schemas.openxmlformats.org/markup-compatibility/2006">
    <mc:Choice xmlns:a14="http://schemas.microsoft.com/office/drawing/2010/main" Requires="a14">
      <xdr:twoCellAnchor editAs="oneCell">
        <xdr:from>
          <xdr:col>18</xdr:col>
          <xdr:colOff>9525</xdr:colOff>
          <xdr:row>1010</xdr:row>
          <xdr:rowOff>104775</xdr:rowOff>
        </xdr:from>
        <xdr:to>
          <xdr:col>20</xdr:col>
          <xdr:colOff>295275</xdr:colOff>
          <xdr:row>1013</xdr:row>
          <xdr:rowOff>28575</xdr:rowOff>
        </xdr:to>
        <xdr:sp macro="" textlink="">
          <xdr:nvSpPr>
            <xdr:cNvPr id="3091" name="Object 19" hidden="1">
              <a:extLst>
                <a:ext uri="{63B3BB69-23CF-44E3-9099-C40C66FF867C}">
                  <a14:compatExt spid="_x0000_s3091"/>
                </a:ext>
                <a:ext uri="{FF2B5EF4-FFF2-40B4-BE49-F238E27FC236}">
                  <a16:creationId xmlns:a16="http://schemas.microsoft.com/office/drawing/2014/main" id="{00000000-0008-0000-0400-000013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28575</xdr:colOff>
          <xdr:row>1024</xdr:row>
          <xdr:rowOff>161925</xdr:rowOff>
        </xdr:from>
        <xdr:to>
          <xdr:col>25</xdr:col>
          <xdr:colOff>457200</xdr:colOff>
          <xdr:row>1026</xdr:row>
          <xdr:rowOff>76200</xdr:rowOff>
        </xdr:to>
        <xdr:sp macro="" textlink="">
          <xdr:nvSpPr>
            <xdr:cNvPr id="3092" name="Object 20" hidden="1">
              <a:extLst>
                <a:ext uri="{63B3BB69-23CF-44E3-9099-C40C66FF867C}">
                  <a14:compatExt spid="_x0000_s3092"/>
                </a:ext>
                <a:ext uri="{FF2B5EF4-FFF2-40B4-BE49-F238E27FC236}">
                  <a16:creationId xmlns:a16="http://schemas.microsoft.com/office/drawing/2014/main" id="{00000000-0008-0000-0400-000014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257175</xdr:colOff>
          <xdr:row>1006</xdr:row>
          <xdr:rowOff>28575</xdr:rowOff>
        </xdr:from>
        <xdr:to>
          <xdr:col>24</xdr:col>
          <xdr:colOff>152400</xdr:colOff>
          <xdr:row>1007</xdr:row>
          <xdr:rowOff>104775</xdr:rowOff>
        </xdr:to>
        <xdr:sp macro="" textlink="">
          <xdr:nvSpPr>
            <xdr:cNvPr id="3096" name="Object 24" hidden="1">
              <a:extLst>
                <a:ext uri="{63B3BB69-23CF-44E3-9099-C40C66FF867C}">
                  <a14:compatExt spid="_x0000_s3096"/>
                </a:ext>
                <a:ext uri="{FF2B5EF4-FFF2-40B4-BE49-F238E27FC236}">
                  <a16:creationId xmlns:a16="http://schemas.microsoft.com/office/drawing/2014/main" id="{00000000-0008-0000-0400-000018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1017</xdr:row>
          <xdr:rowOff>161925</xdr:rowOff>
        </xdr:from>
        <xdr:to>
          <xdr:col>10</xdr:col>
          <xdr:colOff>581025</xdr:colOff>
          <xdr:row>1019</xdr:row>
          <xdr:rowOff>142875</xdr:rowOff>
        </xdr:to>
        <xdr:sp macro="" textlink="">
          <xdr:nvSpPr>
            <xdr:cNvPr id="3112" name="Object 40" hidden="1">
              <a:extLst>
                <a:ext uri="{63B3BB69-23CF-44E3-9099-C40C66FF867C}">
                  <a14:compatExt spid="_x0000_s3112"/>
                </a:ext>
                <a:ext uri="{FF2B5EF4-FFF2-40B4-BE49-F238E27FC236}">
                  <a16:creationId xmlns:a16="http://schemas.microsoft.com/office/drawing/2014/main" id="{00000000-0008-0000-0400-000028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1014</xdr:row>
          <xdr:rowOff>180975</xdr:rowOff>
        </xdr:from>
        <xdr:to>
          <xdr:col>11</xdr:col>
          <xdr:colOff>266700</xdr:colOff>
          <xdr:row>1016</xdr:row>
          <xdr:rowOff>66675</xdr:rowOff>
        </xdr:to>
        <xdr:sp macro="" textlink="">
          <xdr:nvSpPr>
            <xdr:cNvPr id="3114" name="Object 42" hidden="1">
              <a:extLst>
                <a:ext uri="{63B3BB69-23CF-44E3-9099-C40C66FF867C}">
                  <a14:compatExt spid="_x0000_s3114"/>
                </a:ext>
                <a:ext uri="{FF2B5EF4-FFF2-40B4-BE49-F238E27FC236}">
                  <a16:creationId xmlns:a16="http://schemas.microsoft.com/office/drawing/2014/main" id="{00000000-0008-0000-0400-00002A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1016</xdr:row>
          <xdr:rowOff>76200</xdr:rowOff>
        </xdr:from>
        <xdr:to>
          <xdr:col>11</xdr:col>
          <xdr:colOff>238125</xdr:colOff>
          <xdr:row>1017</xdr:row>
          <xdr:rowOff>161925</xdr:rowOff>
        </xdr:to>
        <xdr:sp macro="" textlink="">
          <xdr:nvSpPr>
            <xdr:cNvPr id="3115" name="Object 43" hidden="1">
              <a:extLst>
                <a:ext uri="{63B3BB69-23CF-44E3-9099-C40C66FF867C}">
                  <a14:compatExt spid="_x0000_s3115"/>
                </a:ext>
                <a:ext uri="{FF2B5EF4-FFF2-40B4-BE49-F238E27FC236}">
                  <a16:creationId xmlns:a16="http://schemas.microsoft.com/office/drawing/2014/main" id="{00000000-0008-0000-0400-00002B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1022</xdr:row>
          <xdr:rowOff>66675</xdr:rowOff>
        </xdr:from>
        <xdr:to>
          <xdr:col>17</xdr:col>
          <xdr:colOff>276225</xdr:colOff>
          <xdr:row>1024</xdr:row>
          <xdr:rowOff>161925</xdr:rowOff>
        </xdr:to>
        <xdr:sp macro="" textlink="">
          <xdr:nvSpPr>
            <xdr:cNvPr id="3119" name="Object 47" hidden="1">
              <a:extLst>
                <a:ext uri="{63B3BB69-23CF-44E3-9099-C40C66FF867C}">
                  <a14:compatExt spid="_x0000_s3119"/>
                </a:ext>
                <a:ext uri="{FF2B5EF4-FFF2-40B4-BE49-F238E27FC236}">
                  <a16:creationId xmlns:a16="http://schemas.microsoft.com/office/drawing/2014/main" id="{00000000-0008-0000-0400-00002F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1008</xdr:row>
          <xdr:rowOff>0</xdr:rowOff>
        </xdr:from>
        <xdr:to>
          <xdr:col>11</xdr:col>
          <xdr:colOff>238125</xdr:colOff>
          <xdr:row>1010</xdr:row>
          <xdr:rowOff>85725</xdr:rowOff>
        </xdr:to>
        <xdr:sp macro="" textlink="">
          <xdr:nvSpPr>
            <xdr:cNvPr id="3120" name="Object 48" hidden="1">
              <a:extLst>
                <a:ext uri="{63B3BB69-23CF-44E3-9099-C40C66FF867C}">
                  <a14:compatExt spid="_x0000_s3120"/>
                </a:ext>
                <a:ext uri="{FF2B5EF4-FFF2-40B4-BE49-F238E27FC236}">
                  <a16:creationId xmlns:a16="http://schemas.microsoft.com/office/drawing/2014/main" id="{00000000-0008-0000-0400-000030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1010</xdr:row>
          <xdr:rowOff>104775</xdr:rowOff>
        </xdr:from>
        <xdr:to>
          <xdr:col>12</xdr:col>
          <xdr:colOff>238125</xdr:colOff>
          <xdr:row>1013</xdr:row>
          <xdr:rowOff>0</xdr:rowOff>
        </xdr:to>
        <xdr:sp macro="" textlink="">
          <xdr:nvSpPr>
            <xdr:cNvPr id="3121" name="Object 49" hidden="1">
              <a:extLst>
                <a:ext uri="{63B3BB69-23CF-44E3-9099-C40C66FF867C}">
                  <a14:compatExt spid="_x0000_s3121"/>
                </a:ext>
                <a:ext uri="{FF2B5EF4-FFF2-40B4-BE49-F238E27FC236}">
                  <a16:creationId xmlns:a16="http://schemas.microsoft.com/office/drawing/2014/main" id="{00000000-0008-0000-0400-00003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9525</xdr:colOff>
          <xdr:row>1006</xdr:row>
          <xdr:rowOff>104775</xdr:rowOff>
        </xdr:from>
        <xdr:to>
          <xdr:col>3</xdr:col>
          <xdr:colOff>542925</xdr:colOff>
          <xdr:row>1007</xdr:row>
          <xdr:rowOff>180975</xdr:rowOff>
        </xdr:to>
        <xdr:sp macro="" textlink="">
          <xdr:nvSpPr>
            <xdr:cNvPr id="3122" name="Object 50" hidden="1">
              <a:extLst>
                <a:ext uri="{63B3BB69-23CF-44E3-9099-C40C66FF867C}">
                  <a14:compatExt spid="_x0000_s3122"/>
                </a:ext>
                <a:ext uri="{FF2B5EF4-FFF2-40B4-BE49-F238E27FC236}">
                  <a16:creationId xmlns:a16="http://schemas.microsoft.com/office/drawing/2014/main" id="{00000000-0008-0000-0400-000032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1024</xdr:row>
          <xdr:rowOff>180975</xdr:rowOff>
        </xdr:from>
        <xdr:to>
          <xdr:col>16</xdr:col>
          <xdr:colOff>0</xdr:colOff>
          <xdr:row>1026</xdr:row>
          <xdr:rowOff>142875</xdr:rowOff>
        </xdr:to>
        <xdr:sp macro="" textlink="">
          <xdr:nvSpPr>
            <xdr:cNvPr id="3124" name="Object 52" hidden="1">
              <a:extLst>
                <a:ext uri="{63B3BB69-23CF-44E3-9099-C40C66FF867C}">
                  <a14:compatExt spid="_x0000_s3124"/>
                </a:ext>
                <a:ext uri="{FF2B5EF4-FFF2-40B4-BE49-F238E27FC236}">
                  <a16:creationId xmlns:a16="http://schemas.microsoft.com/office/drawing/2014/main" id="{00000000-0008-0000-0400-000034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9525</xdr:colOff>
          <xdr:row>1013</xdr:row>
          <xdr:rowOff>28575</xdr:rowOff>
        </xdr:from>
        <xdr:to>
          <xdr:col>21</xdr:col>
          <xdr:colOff>28575</xdr:colOff>
          <xdr:row>1014</xdr:row>
          <xdr:rowOff>114300</xdr:rowOff>
        </xdr:to>
        <xdr:sp macro="" textlink="">
          <xdr:nvSpPr>
            <xdr:cNvPr id="3125" name="Object 53" hidden="1">
              <a:extLst>
                <a:ext uri="{63B3BB69-23CF-44E3-9099-C40C66FF867C}">
                  <a14:compatExt spid="_x0000_s3125"/>
                </a:ext>
                <a:ext uri="{FF2B5EF4-FFF2-40B4-BE49-F238E27FC236}">
                  <a16:creationId xmlns:a16="http://schemas.microsoft.com/office/drawing/2014/main" id="{00000000-0008-0000-0400-000035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9525</xdr:colOff>
          <xdr:row>1005</xdr:row>
          <xdr:rowOff>9525</xdr:rowOff>
        </xdr:from>
        <xdr:to>
          <xdr:col>10</xdr:col>
          <xdr:colOff>409575</xdr:colOff>
          <xdr:row>1006</xdr:row>
          <xdr:rowOff>85725</xdr:rowOff>
        </xdr:to>
        <xdr:sp macro="" textlink="">
          <xdr:nvSpPr>
            <xdr:cNvPr id="3127" name="Object 55" hidden="1">
              <a:extLst>
                <a:ext uri="{63B3BB69-23CF-44E3-9099-C40C66FF867C}">
                  <a14:compatExt spid="_x0000_s3127"/>
                </a:ext>
                <a:ext uri="{FF2B5EF4-FFF2-40B4-BE49-F238E27FC236}">
                  <a16:creationId xmlns:a16="http://schemas.microsoft.com/office/drawing/2014/main" id="{00000000-0008-0000-0400-000037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1013</xdr:row>
          <xdr:rowOff>9525</xdr:rowOff>
        </xdr:from>
        <xdr:to>
          <xdr:col>8</xdr:col>
          <xdr:colOff>190500</xdr:colOff>
          <xdr:row>1014</xdr:row>
          <xdr:rowOff>161925</xdr:rowOff>
        </xdr:to>
        <xdr:sp macro="" textlink="">
          <xdr:nvSpPr>
            <xdr:cNvPr id="3129" name="Object 57" hidden="1">
              <a:extLst>
                <a:ext uri="{63B3BB69-23CF-44E3-9099-C40C66FF867C}">
                  <a14:compatExt spid="_x0000_s3129"/>
                </a:ext>
                <a:ext uri="{FF2B5EF4-FFF2-40B4-BE49-F238E27FC236}">
                  <a16:creationId xmlns:a16="http://schemas.microsoft.com/office/drawing/2014/main" id="{00000000-0008-0000-0400-000039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9525</xdr:colOff>
          <xdr:row>1018</xdr:row>
          <xdr:rowOff>47625</xdr:rowOff>
        </xdr:from>
        <xdr:to>
          <xdr:col>24</xdr:col>
          <xdr:colOff>1076325</xdr:colOff>
          <xdr:row>1019</xdr:row>
          <xdr:rowOff>142875</xdr:rowOff>
        </xdr:to>
        <xdr:sp macro="" textlink="">
          <xdr:nvSpPr>
            <xdr:cNvPr id="3131" name="Object 59" hidden="1">
              <a:extLst>
                <a:ext uri="{63B3BB69-23CF-44E3-9099-C40C66FF867C}">
                  <a14:compatExt spid="_x0000_s3131"/>
                </a:ext>
                <a:ext uri="{FF2B5EF4-FFF2-40B4-BE49-F238E27FC236}">
                  <a16:creationId xmlns:a16="http://schemas.microsoft.com/office/drawing/2014/main" id="{00000000-0008-0000-0400-00003B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1019</xdr:row>
          <xdr:rowOff>142875</xdr:rowOff>
        </xdr:from>
        <xdr:to>
          <xdr:col>20</xdr:col>
          <xdr:colOff>581025</xdr:colOff>
          <xdr:row>1022</xdr:row>
          <xdr:rowOff>47625</xdr:rowOff>
        </xdr:to>
        <xdr:sp macro="" textlink="">
          <xdr:nvSpPr>
            <xdr:cNvPr id="3134" name="Object 62" hidden="1">
              <a:extLst>
                <a:ext uri="{63B3BB69-23CF-44E3-9099-C40C66FF867C}">
                  <a14:compatExt spid="_x0000_s3134"/>
                </a:ext>
                <a:ext uri="{FF2B5EF4-FFF2-40B4-BE49-F238E27FC236}">
                  <a16:creationId xmlns:a16="http://schemas.microsoft.com/office/drawing/2014/main" id="{00000000-0008-0000-0400-00003E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0</xdr:colOff>
          <xdr:row>1018</xdr:row>
          <xdr:rowOff>47625</xdr:rowOff>
        </xdr:from>
        <xdr:to>
          <xdr:col>19</xdr:col>
          <xdr:colOff>180975</xdr:colOff>
          <xdr:row>1019</xdr:row>
          <xdr:rowOff>142875</xdr:rowOff>
        </xdr:to>
        <xdr:sp macro="" textlink="">
          <xdr:nvSpPr>
            <xdr:cNvPr id="3135" name="Object 63" hidden="1">
              <a:extLst>
                <a:ext uri="{63B3BB69-23CF-44E3-9099-C40C66FF867C}">
                  <a14:compatExt spid="_x0000_s3135"/>
                </a:ext>
                <a:ext uri="{FF2B5EF4-FFF2-40B4-BE49-F238E27FC236}">
                  <a16:creationId xmlns:a16="http://schemas.microsoft.com/office/drawing/2014/main" id="{00000000-0008-0000-0400-00003F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9525</xdr:colOff>
          <xdr:row>1007</xdr:row>
          <xdr:rowOff>123825</xdr:rowOff>
        </xdr:from>
        <xdr:to>
          <xdr:col>37</xdr:col>
          <xdr:colOff>276225</xdr:colOff>
          <xdr:row>1010</xdr:row>
          <xdr:rowOff>76200</xdr:rowOff>
        </xdr:to>
        <xdr:sp macro="" textlink="">
          <xdr:nvSpPr>
            <xdr:cNvPr id="3141" name="Object 69" hidden="1">
              <a:extLst>
                <a:ext uri="{63B3BB69-23CF-44E3-9099-C40C66FF867C}">
                  <a14:compatExt spid="_x0000_s3141"/>
                </a:ext>
                <a:ext uri="{FF2B5EF4-FFF2-40B4-BE49-F238E27FC236}">
                  <a16:creationId xmlns:a16="http://schemas.microsoft.com/office/drawing/2014/main" id="{00000000-0008-0000-0400-000045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9525</xdr:colOff>
          <xdr:row>1010</xdr:row>
          <xdr:rowOff>85725</xdr:rowOff>
        </xdr:from>
        <xdr:to>
          <xdr:col>35</xdr:col>
          <xdr:colOff>723900</xdr:colOff>
          <xdr:row>1013</xdr:row>
          <xdr:rowOff>47625</xdr:rowOff>
        </xdr:to>
        <xdr:sp macro="" textlink="">
          <xdr:nvSpPr>
            <xdr:cNvPr id="3142" name="Object 70" hidden="1">
              <a:extLst>
                <a:ext uri="{63B3BB69-23CF-44E3-9099-C40C66FF867C}">
                  <a14:compatExt spid="_x0000_s3142"/>
                </a:ext>
                <a:ext uri="{FF2B5EF4-FFF2-40B4-BE49-F238E27FC236}">
                  <a16:creationId xmlns:a16="http://schemas.microsoft.com/office/drawing/2014/main" id="{00000000-0008-0000-0400-000046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1035</xdr:row>
          <xdr:rowOff>28575</xdr:rowOff>
        </xdr:from>
        <xdr:to>
          <xdr:col>11</xdr:col>
          <xdr:colOff>561975</xdr:colOff>
          <xdr:row>1038</xdr:row>
          <xdr:rowOff>28575</xdr:rowOff>
        </xdr:to>
        <xdr:sp macro="" textlink="">
          <xdr:nvSpPr>
            <xdr:cNvPr id="3157" name="Object 85" hidden="1">
              <a:extLst>
                <a:ext uri="{63B3BB69-23CF-44E3-9099-C40C66FF867C}">
                  <a14:compatExt spid="_x0000_s3157"/>
                </a:ext>
                <a:ext uri="{FF2B5EF4-FFF2-40B4-BE49-F238E27FC236}">
                  <a16:creationId xmlns:a16="http://schemas.microsoft.com/office/drawing/2014/main" id="{00000000-0008-0000-0400-000055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1040</xdr:row>
          <xdr:rowOff>28575</xdr:rowOff>
        </xdr:from>
        <xdr:to>
          <xdr:col>12</xdr:col>
          <xdr:colOff>28575</xdr:colOff>
          <xdr:row>1043</xdr:row>
          <xdr:rowOff>28575</xdr:rowOff>
        </xdr:to>
        <xdr:sp macro="" textlink="">
          <xdr:nvSpPr>
            <xdr:cNvPr id="3158" name="Object 86" hidden="1">
              <a:extLst>
                <a:ext uri="{63B3BB69-23CF-44E3-9099-C40C66FF867C}">
                  <a14:compatExt spid="_x0000_s3158"/>
                </a:ext>
                <a:ext uri="{FF2B5EF4-FFF2-40B4-BE49-F238E27FC236}">
                  <a16:creationId xmlns:a16="http://schemas.microsoft.com/office/drawing/2014/main" id="{00000000-0008-0000-0400-000056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9525</xdr:colOff>
          <xdr:row>1014</xdr:row>
          <xdr:rowOff>123825</xdr:rowOff>
        </xdr:from>
        <xdr:to>
          <xdr:col>20</xdr:col>
          <xdr:colOff>333375</xdr:colOff>
          <xdr:row>1016</xdr:row>
          <xdr:rowOff>9525</xdr:rowOff>
        </xdr:to>
        <xdr:sp macro="" textlink="">
          <xdr:nvSpPr>
            <xdr:cNvPr id="3161" name="Object 89" hidden="1">
              <a:extLst>
                <a:ext uri="{63B3BB69-23CF-44E3-9099-C40C66FF867C}">
                  <a14:compatExt spid="_x0000_s3161"/>
                </a:ext>
                <a:ext uri="{FF2B5EF4-FFF2-40B4-BE49-F238E27FC236}">
                  <a16:creationId xmlns:a16="http://schemas.microsoft.com/office/drawing/2014/main" id="{00000000-0008-0000-0400-000059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257175</xdr:colOff>
          <xdr:row>1007</xdr:row>
          <xdr:rowOff>114300</xdr:rowOff>
        </xdr:from>
        <xdr:to>
          <xdr:col>32</xdr:col>
          <xdr:colOff>161925</xdr:colOff>
          <xdr:row>1010</xdr:row>
          <xdr:rowOff>85725</xdr:rowOff>
        </xdr:to>
        <xdr:sp macro="" textlink="">
          <xdr:nvSpPr>
            <xdr:cNvPr id="3162" name="Object 90" hidden="1">
              <a:extLst>
                <a:ext uri="{63B3BB69-23CF-44E3-9099-C40C66FF867C}">
                  <a14:compatExt spid="_x0000_s3162"/>
                </a:ext>
                <a:ext uri="{FF2B5EF4-FFF2-40B4-BE49-F238E27FC236}">
                  <a16:creationId xmlns:a16="http://schemas.microsoft.com/office/drawing/2014/main" id="{00000000-0008-0000-0400-00005A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1055</xdr:row>
          <xdr:rowOff>28575</xdr:rowOff>
        </xdr:from>
        <xdr:to>
          <xdr:col>12</xdr:col>
          <xdr:colOff>333375</xdr:colOff>
          <xdr:row>1058</xdr:row>
          <xdr:rowOff>47625</xdr:rowOff>
        </xdr:to>
        <xdr:sp macro="" textlink="">
          <xdr:nvSpPr>
            <xdr:cNvPr id="3167" name="Object 95" hidden="1">
              <a:extLst>
                <a:ext uri="{63B3BB69-23CF-44E3-9099-C40C66FF867C}">
                  <a14:compatExt spid="_x0000_s3167"/>
                </a:ext>
                <a:ext uri="{FF2B5EF4-FFF2-40B4-BE49-F238E27FC236}">
                  <a16:creationId xmlns:a16="http://schemas.microsoft.com/office/drawing/2014/main" id="{00000000-0008-0000-0400-00005F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1060</xdr:row>
          <xdr:rowOff>28575</xdr:rowOff>
        </xdr:from>
        <xdr:to>
          <xdr:col>15</xdr:col>
          <xdr:colOff>47625</xdr:colOff>
          <xdr:row>1063</xdr:row>
          <xdr:rowOff>47625</xdr:rowOff>
        </xdr:to>
        <xdr:sp macro="" textlink="">
          <xdr:nvSpPr>
            <xdr:cNvPr id="3168" name="Object 96" hidden="1">
              <a:extLst>
                <a:ext uri="{63B3BB69-23CF-44E3-9099-C40C66FF867C}">
                  <a14:compatExt spid="_x0000_s3168"/>
                </a:ext>
                <a:ext uri="{FF2B5EF4-FFF2-40B4-BE49-F238E27FC236}">
                  <a16:creationId xmlns:a16="http://schemas.microsoft.com/office/drawing/2014/main" id="{00000000-0008-0000-0400-000060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1065</xdr:row>
          <xdr:rowOff>28575</xdr:rowOff>
        </xdr:from>
        <xdr:to>
          <xdr:col>16</xdr:col>
          <xdr:colOff>676275</xdr:colOff>
          <xdr:row>1068</xdr:row>
          <xdr:rowOff>47625</xdr:rowOff>
        </xdr:to>
        <xdr:sp macro="" textlink="">
          <xdr:nvSpPr>
            <xdr:cNvPr id="3169" name="Object 97" hidden="1">
              <a:extLst>
                <a:ext uri="{63B3BB69-23CF-44E3-9099-C40C66FF867C}">
                  <a14:compatExt spid="_x0000_s3169"/>
                </a:ext>
                <a:ext uri="{FF2B5EF4-FFF2-40B4-BE49-F238E27FC236}">
                  <a16:creationId xmlns:a16="http://schemas.microsoft.com/office/drawing/2014/main" id="{00000000-0008-0000-0400-00006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1045</xdr:row>
          <xdr:rowOff>28575</xdr:rowOff>
        </xdr:from>
        <xdr:to>
          <xdr:col>16</xdr:col>
          <xdr:colOff>104775</xdr:colOff>
          <xdr:row>1048</xdr:row>
          <xdr:rowOff>28575</xdr:rowOff>
        </xdr:to>
        <xdr:sp macro="" textlink="">
          <xdr:nvSpPr>
            <xdr:cNvPr id="3173" name="Object 101" hidden="1">
              <a:extLst>
                <a:ext uri="{63B3BB69-23CF-44E3-9099-C40C66FF867C}">
                  <a14:compatExt spid="_x0000_s3173"/>
                </a:ext>
                <a:ext uri="{FF2B5EF4-FFF2-40B4-BE49-F238E27FC236}">
                  <a16:creationId xmlns:a16="http://schemas.microsoft.com/office/drawing/2014/main" id="{00000000-0008-0000-0400-000065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1050</xdr:row>
          <xdr:rowOff>28575</xdr:rowOff>
        </xdr:from>
        <xdr:to>
          <xdr:col>16</xdr:col>
          <xdr:colOff>390525</xdr:colOff>
          <xdr:row>1053</xdr:row>
          <xdr:rowOff>47625</xdr:rowOff>
        </xdr:to>
        <xdr:sp macro="" textlink="">
          <xdr:nvSpPr>
            <xdr:cNvPr id="3174" name="Object 102" hidden="1">
              <a:extLst>
                <a:ext uri="{63B3BB69-23CF-44E3-9099-C40C66FF867C}">
                  <a14:compatExt spid="_x0000_s3174"/>
                </a:ext>
                <a:ext uri="{FF2B5EF4-FFF2-40B4-BE49-F238E27FC236}">
                  <a16:creationId xmlns:a16="http://schemas.microsoft.com/office/drawing/2014/main" id="{00000000-0008-0000-0400-000066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1070</xdr:row>
          <xdr:rowOff>28575</xdr:rowOff>
        </xdr:from>
        <xdr:to>
          <xdr:col>12</xdr:col>
          <xdr:colOff>409575</xdr:colOff>
          <xdr:row>1073</xdr:row>
          <xdr:rowOff>47625</xdr:rowOff>
        </xdr:to>
        <xdr:sp macro="" textlink="">
          <xdr:nvSpPr>
            <xdr:cNvPr id="3178" name="Object 106" hidden="1">
              <a:extLst>
                <a:ext uri="{63B3BB69-23CF-44E3-9099-C40C66FF867C}">
                  <a14:compatExt spid="_x0000_s3178"/>
                </a:ext>
                <a:ext uri="{FF2B5EF4-FFF2-40B4-BE49-F238E27FC236}">
                  <a16:creationId xmlns:a16="http://schemas.microsoft.com/office/drawing/2014/main" id="{00000000-0008-0000-0400-00006A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0</xdr:colOff>
          <xdr:row>1053</xdr:row>
          <xdr:rowOff>28575</xdr:rowOff>
        </xdr:from>
        <xdr:to>
          <xdr:col>32</xdr:col>
          <xdr:colOff>419100</xdr:colOff>
          <xdr:row>1056</xdr:row>
          <xdr:rowOff>28575</xdr:rowOff>
        </xdr:to>
        <xdr:sp macro="" textlink="">
          <xdr:nvSpPr>
            <xdr:cNvPr id="3188" name="Object 116" hidden="1">
              <a:extLst>
                <a:ext uri="{63B3BB69-23CF-44E3-9099-C40C66FF867C}">
                  <a14:compatExt spid="_x0000_s3188"/>
                </a:ext>
                <a:ext uri="{FF2B5EF4-FFF2-40B4-BE49-F238E27FC236}">
                  <a16:creationId xmlns:a16="http://schemas.microsoft.com/office/drawing/2014/main" id="{00000000-0008-0000-0400-000074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28575</xdr:colOff>
          <xdr:row>1022</xdr:row>
          <xdr:rowOff>47625</xdr:rowOff>
        </xdr:from>
        <xdr:to>
          <xdr:col>32</xdr:col>
          <xdr:colOff>266700</xdr:colOff>
          <xdr:row>1024</xdr:row>
          <xdr:rowOff>142875</xdr:rowOff>
        </xdr:to>
        <xdr:sp macro="" textlink="">
          <xdr:nvSpPr>
            <xdr:cNvPr id="3192" name="Object 120" hidden="1">
              <a:extLst>
                <a:ext uri="{63B3BB69-23CF-44E3-9099-C40C66FF867C}">
                  <a14:compatExt spid="_x0000_s3192"/>
                </a:ext>
                <a:ext uri="{FF2B5EF4-FFF2-40B4-BE49-F238E27FC236}">
                  <a16:creationId xmlns:a16="http://schemas.microsoft.com/office/drawing/2014/main" id="{00000000-0008-0000-0400-000078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0</xdr:colOff>
          <xdr:row>1017</xdr:row>
          <xdr:rowOff>28575</xdr:rowOff>
        </xdr:from>
        <xdr:to>
          <xdr:col>36</xdr:col>
          <xdr:colOff>161925</xdr:colOff>
          <xdr:row>1020</xdr:row>
          <xdr:rowOff>28575</xdr:rowOff>
        </xdr:to>
        <xdr:sp macro="" textlink="">
          <xdr:nvSpPr>
            <xdr:cNvPr id="3220" name="Object 148" hidden="1">
              <a:extLst>
                <a:ext uri="{63B3BB69-23CF-44E3-9099-C40C66FF867C}">
                  <a14:compatExt spid="_x0000_s3220"/>
                </a:ext>
                <a:ext uri="{FF2B5EF4-FFF2-40B4-BE49-F238E27FC236}">
                  <a16:creationId xmlns:a16="http://schemas.microsoft.com/office/drawing/2014/main" id="{00000000-0008-0000-0400-000094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0</xdr:colOff>
          <xdr:row>1014</xdr:row>
          <xdr:rowOff>0</xdr:rowOff>
        </xdr:from>
        <xdr:to>
          <xdr:col>36</xdr:col>
          <xdr:colOff>695325</xdr:colOff>
          <xdr:row>1017</xdr:row>
          <xdr:rowOff>0</xdr:rowOff>
        </xdr:to>
        <xdr:sp macro="" textlink="">
          <xdr:nvSpPr>
            <xdr:cNvPr id="3222" name="Object 150" hidden="1">
              <a:extLst>
                <a:ext uri="{63B3BB69-23CF-44E3-9099-C40C66FF867C}">
                  <a14:compatExt spid="_x0000_s3222"/>
                </a:ext>
                <a:ext uri="{FF2B5EF4-FFF2-40B4-BE49-F238E27FC236}">
                  <a16:creationId xmlns:a16="http://schemas.microsoft.com/office/drawing/2014/main" id="{00000000-0008-0000-0400-000096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0</xdr:colOff>
          <xdr:row>1020</xdr:row>
          <xdr:rowOff>47625</xdr:rowOff>
        </xdr:from>
        <xdr:to>
          <xdr:col>35</xdr:col>
          <xdr:colOff>142875</xdr:colOff>
          <xdr:row>1023</xdr:row>
          <xdr:rowOff>47625</xdr:rowOff>
        </xdr:to>
        <xdr:sp macro="" textlink="">
          <xdr:nvSpPr>
            <xdr:cNvPr id="3223" name="Object 151" hidden="1">
              <a:extLst>
                <a:ext uri="{63B3BB69-23CF-44E3-9099-C40C66FF867C}">
                  <a14:compatExt spid="_x0000_s3223"/>
                </a:ext>
                <a:ext uri="{FF2B5EF4-FFF2-40B4-BE49-F238E27FC236}">
                  <a16:creationId xmlns:a16="http://schemas.microsoft.com/office/drawing/2014/main" id="{00000000-0008-0000-0400-000097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0</xdr:colOff>
          <xdr:row>1023</xdr:row>
          <xdr:rowOff>66675</xdr:rowOff>
        </xdr:from>
        <xdr:to>
          <xdr:col>36</xdr:col>
          <xdr:colOff>47625</xdr:colOff>
          <xdr:row>1026</xdr:row>
          <xdr:rowOff>66675</xdr:rowOff>
        </xdr:to>
        <xdr:sp macro="" textlink="">
          <xdr:nvSpPr>
            <xdr:cNvPr id="3225" name="Object 153" hidden="1">
              <a:extLst>
                <a:ext uri="{63B3BB69-23CF-44E3-9099-C40C66FF867C}">
                  <a14:compatExt spid="_x0000_s3225"/>
                </a:ext>
                <a:ext uri="{FF2B5EF4-FFF2-40B4-BE49-F238E27FC236}">
                  <a16:creationId xmlns:a16="http://schemas.microsoft.com/office/drawing/2014/main" id="{00000000-0008-0000-0400-000099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0</xdr:colOff>
          <xdr:row>1048</xdr:row>
          <xdr:rowOff>28575</xdr:rowOff>
        </xdr:from>
        <xdr:to>
          <xdr:col>34</xdr:col>
          <xdr:colOff>352425</xdr:colOff>
          <xdr:row>1051</xdr:row>
          <xdr:rowOff>85725</xdr:rowOff>
        </xdr:to>
        <xdr:sp macro="" textlink="">
          <xdr:nvSpPr>
            <xdr:cNvPr id="3281" name="Object 209" hidden="1">
              <a:extLst>
                <a:ext uri="{63B3BB69-23CF-44E3-9099-C40C66FF867C}">
                  <a14:compatExt spid="_x0000_s3281"/>
                </a:ext>
                <a:ext uri="{FF2B5EF4-FFF2-40B4-BE49-F238E27FC236}">
                  <a16:creationId xmlns:a16="http://schemas.microsoft.com/office/drawing/2014/main" id="{00000000-0008-0000-0400-0000D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984250</xdr:colOff>
      <xdr:row>4</xdr:row>
      <xdr:rowOff>152400</xdr:rowOff>
    </xdr:to>
    <xdr:pic>
      <xdr:nvPicPr>
        <xdr:cNvPr id="2604352" name="Picture 8" descr="logoplasci">
          <a:extLst>
            <a:ext uri="{FF2B5EF4-FFF2-40B4-BE49-F238E27FC236}">
              <a16:creationId xmlns:a16="http://schemas.microsoft.com/office/drawing/2014/main" id="{00000000-0008-0000-0500-000040BD27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52400" y="165100"/>
          <a:ext cx="984250" cy="635000"/>
        </a:xfrm>
        <a:prstGeom prst="rect">
          <a:avLst/>
        </a:prstGeom>
        <a:noFill/>
        <a:ln w="9525">
          <a:noFill/>
          <a:miter lim="800000"/>
          <a:headEnd/>
          <a:tailEnd/>
        </a:ln>
      </xdr:spPr>
    </xdr:pic>
    <xdr:clientData/>
  </xdr:twoCellAnchor>
  <xdr:twoCellAnchor>
    <xdr:from>
      <xdr:col>6</xdr:col>
      <xdr:colOff>450850</xdr:colOff>
      <xdr:row>0</xdr:row>
      <xdr:rowOff>120650</xdr:rowOff>
    </xdr:from>
    <xdr:to>
      <xdr:col>12</xdr:col>
      <xdr:colOff>450850</xdr:colOff>
      <xdr:row>18</xdr:row>
      <xdr:rowOff>25400</xdr:rowOff>
    </xdr:to>
    <xdr:graphicFrame macro="">
      <xdr:nvGraphicFramePr>
        <xdr:cNvPr id="2604353" name="Graphique 2">
          <a:extLst>
            <a:ext uri="{FF2B5EF4-FFF2-40B4-BE49-F238E27FC236}">
              <a16:creationId xmlns:a16="http://schemas.microsoft.com/office/drawing/2014/main" id="{00000000-0008-0000-0500-000041BD27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450850</xdr:colOff>
      <xdr:row>18</xdr:row>
      <xdr:rowOff>25400</xdr:rowOff>
    </xdr:from>
    <xdr:to>
      <xdr:col>12</xdr:col>
      <xdr:colOff>450850</xdr:colOff>
      <xdr:row>36</xdr:row>
      <xdr:rowOff>19050</xdr:rowOff>
    </xdr:to>
    <xdr:graphicFrame macro="">
      <xdr:nvGraphicFramePr>
        <xdr:cNvPr id="2604354" name="Graphique 2">
          <a:extLst>
            <a:ext uri="{FF2B5EF4-FFF2-40B4-BE49-F238E27FC236}">
              <a16:creationId xmlns:a16="http://schemas.microsoft.com/office/drawing/2014/main" id="{00000000-0008-0000-0500-000042BD27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12700</xdr:colOff>
      <xdr:row>18</xdr:row>
      <xdr:rowOff>25400</xdr:rowOff>
    </xdr:from>
    <xdr:to>
      <xdr:col>6</xdr:col>
      <xdr:colOff>450850</xdr:colOff>
      <xdr:row>36</xdr:row>
      <xdr:rowOff>19050</xdr:rowOff>
    </xdr:to>
    <xdr:graphicFrame macro="">
      <xdr:nvGraphicFramePr>
        <xdr:cNvPr id="2604355" name="Graphique 2">
          <a:extLst>
            <a:ext uri="{FF2B5EF4-FFF2-40B4-BE49-F238E27FC236}">
              <a16:creationId xmlns:a16="http://schemas.microsoft.com/office/drawing/2014/main" id="{00000000-0008-0000-0500-000043BD27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mc:AlternateContent xmlns:mc="http://schemas.openxmlformats.org/markup-compatibility/2006">
    <mc:Choice xmlns:a14="http://schemas.microsoft.com/office/drawing/2010/main" Requires="a14">
      <xdr:twoCellAnchor>
        <xdr:from>
          <xdr:col>3</xdr:col>
          <xdr:colOff>657225</xdr:colOff>
          <xdr:row>9</xdr:row>
          <xdr:rowOff>200025</xdr:rowOff>
        </xdr:from>
        <xdr:to>
          <xdr:col>4</xdr:col>
          <xdr:colOff>0</xdr:colOff>
          <xdr:row>11</xdr:row>
          <xdr:rowOff>0</xdr:rowOff>
        </xdr:to>
        <xdr:sp macro="" textlink="">
          <xdr:nvSpPr>
            <xdr:cNvPr id="2604063" name="Spinner 31" hidden="1">
              <a:extLst>
                <a:ext uri="{63B3BB69-23CF-44E3-9099-C40C66FF867C}">
                  <a14:compatExt spid="_x0000_s2604063"/>
                </a:ext>
                <a:ext uri="{FF2B5EF4-FFF2-40B4-BE49-F238E27FC236}">
                  <a16:creationId xmlns:a16="http://schemas.microsoft.com/office/drawing/2014/main" id="{00000000-0008-0000-0500-00001FBC27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8</xdr:col>
          <xdr:colOff>390525</xdr:colOff>
          <xdr:row>70</xdr:row>
          <xdr:rowOff>28575</xdr:rowOff>
        </xdr:from>
        <xdr:to>
          <xdr:col>12</xdr:col>
          <xdr:colOff>904875</xdr:colOff>
          <xdr:row>87</xdr:row>
          <xdr:rowOff>9525</xdr:rowOff>
        </xdr:to>
        <xdr:sp macro="" textlink="">
          <xdr:nvSpPr>
            <xdr:cNvPr id="2604101" name="Object 69" hidden="1">
              <a:extLst>
                <a:ext uri="{63B3BB69-23CF-44E3-9099-C40C66FF867C}">
                  <a14:compatExt spid="_x0000_s2604101"/>
                </a:ext>
                <a:ext uri="{FF2B5EF4-FFF2-40B4-BE49-F238E27FC236}">
                  <a16:creationId xmlns:a16="http://schemas.microsoft.com/office/drawing/2014/main" id="{00000000-0008-0000-0500-000045BC27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3</xdr:col>
          <xdr:colOff>657225</xdr:colOff>
          <xdr:row>11</xdr:row>
          <xdr:rowOff>0</xdr:rowOff>
        </xdr:from>
        <xdr:to>
          <xdr:col>4</xdr:col>
          <xdr:colOff>0</xdr:colOff>
          <xdr:row>12</xdr:row>
          <xdr:rowOff>0</xdr:rowOff>
        </xdr:to>
        <xdr:sp macro="" textlink="">
          <xdr:nvSpPr>
            <xdr:cNvPr id="2604202" name="Spinner 170" hidden="1">
              <a:extLst>
                <a:ext uri="{63B3BB69-23CF-44E3-9099-C40C66FF867C}">
                  <a14:compatExt spid="_x0000_s2604202"/>
                </a:ext>
                <a:ext uri="{FF2B5EF4-FFF2-40B4-BE49-F238E27FC236}">
                  <a16:creationId xmlns:a16="http://schemas.microsoft.com/office/drawing/2014/main" id="{00000000-0008-0000-0500-0000AABC27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xdr:wsDr>
</file>

<file path=xl/drawings/drawing7.xml><?xml version="1.0" encoding="utf-8"?>
<xdr:wsDr xmlns:xdr="http://schemas.openxmlformats.org/drawingml/2006/spreadsheetDrawing" xmlns:a="http://schemas.openxmlformats.org/drawingml/2006/main">
  <xdr:twoCellAnchor editAs="oneCell">
    <xdr:from>
      <xdr:col>0</xdr:col>
      <xdr:colOff>69850</xdr:colOff>
      <xdr:row>33</xdr:row>
      <xdr:rowOff>25400</xdr:rowOff>
    </xdr:from>
    <xdr:to>
      <xdr:col>2</xdr:col>
      <xdr:colOff>20320</xdr:colOff>
      <xdr:row>44</xdr:row>
      <xdr:rowOff>19050</xdr:rowOff>
    </xdr:to>
    <xdr:pic>
      <xdr:nvPicPr>
        <xdr:cNvPr id="5938" name="Image 1">
          <a:extLst>
            <a:ext uri="{FF2B5EF4-FFF2-40B4-BE49-F238E27FC236}">
              <a16:creationId xmlns:a16="http://schemas.microsoft.com/office/drawing/2014/main" id="{00000000-0008-0000-0600-000032170000}"/>
            </a:ext>
          </a:extLst>
        </xdr:cNvPr>
        <xdr:cNvPicPr>
          <a:picLocks noChangeAspect="1"/>
        </xdr:cNvPicPr>
      </xdr:nvPicPr>
      <xdr:blipFill>
        <a:blip xmlns:r="http://schemas.openxmlformats.org/officeDocument/2006/relationships" r:embed="rId1" cstate="print"/>
        <a:srcRect/>
        <a:stretch>
          <a:fillRect/>
        </a:stretch>
      </xdr:blipFill>
      <xdr:spPr bwMode="auto">
        <a:xfrm>
          <a:off x="69850" y="5295900"/>
          <a:ext cx="1231900" cy="1739900"/>
        </a:xfrm>
        <a:prstGeom prst="rect">
          <a:avLst/>
        </a:prstGeom>
        <a:noFill/>
        <a:ln w="9525">
          <a:noFill/>
          <a:miter lim="800000"/>
          <a:headEnd/>
          <a:tailEnd/>
        </a:ln>
      </xdr:spPr>
    </xdr:pic>
    <xdr:clientData/>
  </xdr:twoCellAnchor>
  <xdr:twoCellAnchor editAs="oneCell">
    <xdr:from>
      <xdr:col>1</xdr:col>
      <xdr:colOff>1123950</xdr:colOff>
      <xdr:row>55</xdr:row>
      <xdr:rowOff>44450</xdr:rowOff>
    </xdr:from>
    <xdr:to>
      <xdr:col>10</xdr:col>
      <xdr:colOff>609600</xdr:colOff>
      <xdr:row>83</xdr:row>
      <xdr:rowOff>17780</xdr:rowOff>
    </xdr:to>
    <xdr:pic>
      <xdr:nvPicPr>
        <xdr:cNvPr id="5939" name="Image 2">
          <a:extLst>
            <a:ext uri="{FF2B5EF4-FFF2-40B4-BE49-F238E27FC236}">
              <a16:creationId xmlns:a16="http://schemas.microsoft.com/office/drawing/2014/main" id="{00000000-0008-0000-0600-000033170000}"/>
            </a:ext>
          </a:extLst>
        </xdr:cNvPr>
        <xdr:cNvPicPr>
          <a:picLocks noChangeAspect="1"/>
        </xdr:cNvPicPr>
      </xdr:nvPicPr>
      <xdr:blipFill>
        <a:blip xmlns:r="http://schemas.openxmlformats.org/officeDocument/2006/relationships" r:embed="rId2" cstate="print"/>
        <a:srcRect/>
        <a:stretch>
          <a:fillRect/>
        </a:stretch>
      </xdr:blipFill>
      <xdr:spPr bwMode="auto">
        <a:xfrm>
          <a:off x="1276350" y="8331200"/>
          <a:ext cx="7099300" cy="4425950"/>
        </a:xfrm>
        <a:prstGeom prst="rect">
          <a:avLst/>
        </a:prstGeom>
        <a:noFill/>
        <a:ln w="9525">
          <a:noFill/>
          <a:miter lim="800000"/>
          <a:headEnd/>
          <a:tailEnd/>
        </a:ln>
      </xdr:spPr>
    </xdr:pic>
    <xdr:clientData/>
  </xdr:twoCellAnchor>
  <xdr:twoCellAnchor editAs="oneCell">
    <xdr:from>
      <xdr:col>1</xdr:col>
      <xdr:colOff>0</xdr:colOff>
      <xdr:row>1</xdr:row>
      <xdr:rowOff>0</xdr:rowOff>
    </xdr:from>
    <xdr:to>
      <xdr:col>1</xdr:col>
      <xdr:colOff>980440</xdr:colOff>
      <xdr:row>4</xdr:row>
      <xdr:rowOff>152400</xdr:rowOff>
    </xdr:to>
    <xdr:pic>
      <xdr:nvPicPr>
        <xdr:cNvPr id="5940" name="Picture 8" descr="logoplasci">
          <a:extLst>
            <a:ext uri="{FF2B5EF4-FFF2-40B4-BE49-F238E27FC236}">
              <a16:creationId xmlns:a16="http://schemas.microsoft.com/office/drawing/2014/main" id="{00000000-0008-0000-0600-000034170000}"/>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152400" y="158750"/>
          <a:ext cx="984250" cy="628650"/>
        </a:xfrm>
        <a:prstGeom prst="rect">
          <a:avLst/>
        </a:prstGeom>
        <a:noFill/>
        <a:ln w="9525">
          <a:noFill/>
          <a:miter lim="800000"/>
          <a:headEnd/>
          <a:tailEnd/>
        </a:ln>
      </xdr:spPr>
    </xdr:pic>
    <xdr:clientData/>
  </xdr:twoCellAnchor>
</xdr:wsDr>
</file>

<file path=xl/drawings/drawing8.xml><?xml version="1.0" encoding="utf-8"?>
<xdr:wsDr xmlns:xdr="http://schemas.openxmlformats.org/drawingml/2006/spreadsheetDrawing" xmlns:a="http://schemas.openxmlformats.org/drawingml/2006/main">
  <xdr:twoCellAnchor>
    <xdr:from>
      <xdr:col>6</xdr:col>
      <xdr:colOff>69850</xdr:colOff>
      <xdr:row>80</xdr:row>
      <xdr:rowOff>12700</xdr:rowOff>
    </xdr:from>
    <xdr:to>
      <xdr:col>8</xdr:col>
      <xdr:colOff>0</xdr:colOff>
      <xdr:row>102</xdr:row>
      <xdr:rowOff>107950</xdr:rowOff>
    </xdr:to>
    <xdr:grpSp>
      <xdr:nvGrpSpPr>
        <xdr:cNvPr id="5501606" name="Group 232">
          <a:extLst>
            <a:ext uri="{FF2B5EF4-FFF2-40B4-BE49-F238E27FC236}">
              <a16:creationId xmlns:a16="http://schemas.microsoft.com/office/drawing/2014/main" id="{00000000-0008-0000-0700-0000A6F25300}"/>
            </a:ext>
          </a:extLst>
        </xdr:cNvPr>
        <xdr:cNvGrpSpPr>
          <a:grpSpLocks/>
        </xdr:cNvGrpSpPr>
      </xdr:nvGrpSpPr>
      <xdr:grpSpPr bwMode="auto">
        <a:xfrm>
          <a:off x="4137025" y="13214350"/>
          <a:ext cx="2159000" cy="3752850"/>
          <a:chOff x="3421" y="5379"/>
          <a:chExt cx="2289" cy="5759"/>
        </a:xfrm>
      </xdr:grpSpPr>
      <xdr:grpSp>
        <xdr:nvGrpSpPr>
          <xdr:cNvPr id="5501710" name="Group 233">
            <a:extLst>
              <a:ext uri="{FF2B5EF4-FFF2-40B4-BE49-F238E27FC236}">
                <a16:creationId xmlns:a16="http://schemas.microsoft.com/office/drawing/2014/main" id="{00000000-0008-0000-0700-00000EF35300}"/>
              </a:ext>
            </a:extLst>
          </xdr:cNvPr>
          <xdr:cNvGrpSpPr>
            <a:grpSpLocks/>
          </xdr:cNvGrpSpPr>
        </xdr:nvGrpSpPr>
        <xdr:grpSpPr bwMode="auto">
          <a:xfrm>
            <a:off x="4047" y="5379"/>
            <a:ext cx="515" cy="4096"/>
            <a:chOff x="4047" y="5379"/>
            <a:chExt cx="515" cy="4096"/>
          </a:xfrm>
        </xdr:grpSpPr>
        <xdr:sp macro="" textlink="">
          <xdr:nvSpPr>
            <xdr:cNvPr id="5501728" name="Arc 234">
              <a:extLst>
                <a:ext uri="{FF2B5EF4-FFF2-40B4-BE49-F238E27FC236}">
                  <a16:creationId xmlns:a16="http://schemas.microsoft.com/office/drawing/2014/main" id="{00000000-0008-0000-0700-000020F35300}"/>
                </a:ext>
              </a:extLst>
            </xdr:cNvPr>
            <xdr:cNvSpPr>
              <a:spLocks/>
            </xdr:cNvSpPr>
          </xdr:nvSpPr>
          <xdr:spPr bwMode="auto">
            <a:xfrm flipH="1">
              <a:off x="4201" y="5379"/>
              <a:ext cx="361" cy="964"/>
            </a:xfrm>
            <a:custGeom>
              <a:avLst/>
              <a:gdLst>
                <a:gd name="T0" fmla="*/ 0 w 21600"/>
                <a:gd name="T1" fmla="*/ 0 h 21600"/>
                <a:gd name="T2" fmla="*/ 0 w 21600"/>
                <a:gd name="T3" fmla="*/ 0 h 21600"/>
                <a:gd name="T4" fmla="*/ 0 w 21600"/>
                <a:gd name="T5" fmla="*/ 0 h 21600"/>
                <a:gd name="T6" fmla="*/ 0 60000 65536"/>
                <a:gd name="T7" fmla="*/ 0 60000 65536"/>
                <a:gd name="T8" fmla="*/ 0 60000 65536"/>
                <a:gd name="T9" fmla="*/ 0 w 21600"/>
                <a:gd name="T10" fmla="*/ 0 h 21600"/>
                <a:gd name="T11" fmla="*/ 21600 w 21600"/>
                <a:gd name="T12" fmla="*/ 21600 h 21600"/>
              </a:gdLst>
              <a:ahLst/>
              <a:cxnLst>
                <a:cxn ang="T6">
                  <a:pos x="T0" y="T1"/>
                </a:cxn>
                <a:cxn ang="T7">
                  <a:pos x="T2" y="T3"/>
                </a:cxn>
                <a:cxn ang="T8">
                  <a:pos x="T4" y="T5"/>
                </a:cxn>
              </a:cxnLst>
              <a:rect l="T9" t="T10" r="T11" b="T12"/>
              <a:pathLst>
                <a:path w="21600" h="21600" fill="none" extrusionOk="0">
                  <a:moveTo>
                    <a:pt x="-1" y="0"/>
                  </a:moveTo>
                  <a:cubicBezTo>
                    <a:pt x="11929" y="0"/>
                    <a:pt x="21600" y="9670"/>
                    <a:pt x="21600" y="21600"/>
                  </a:cubicBezTo>
                </a:path>
                <a:path w="21600" h="21600" stroke="0" extrusionOk="0">
                  <a:moveTo>
                    <a:pt x="-1" y="0"/>
                  </a:moveTo>
                  <a:cubicBezTo>
                    <a:pt x="11929" y="0"/>
                    <a:pt x="21600" y="9670"/>
                    <a:pt x="21600" y="21600"/>
                  </a:cubicBezTo>
                  <a:lnTo>
                    <a:pt x="0" y="21600"/>
                  </a:lnTo>
                  <a:lnTo>
                    <a:pt x="-1" y="0"/>
                  </a:lnTo>
                  <a:close/>
                </a:path>
              </a:pathLst>
            </a:custGeom>
            <a:noFill/>
            <a:ln w="9525">
              <a:solidFill>
                <a:srgbClr val="00B0F0"/>
              </a:solidFill>
              <a:round/>
              <a:headEnd/>
              <a:tailEnd/>
            </a:ln>
          </xdr:spPr>
        </xdr:sp>
        <xdr:grpSp>
          <xdr:nvGrpSpPr>
            <xdr:cNvPr id="5501729" name="Group 235">
              <a:extLst>
                <a:ext uri="{FF2B5EF4-FFF2-40B4-BE49-F238E27FC236}">
                  <a16:creationId xmlns:a16="http://schemas.microsoft.com/office/drawing/2014/main" id="{00000000-0008-0000-0700-000021F35300}"/>
                </a:ext>
              </a:extLst>
            </xdr:cNvPr>
            <xdr:cNvGrpSpPr>
              <a:grpSpLocks/>
            </xdr:cNvGrpSpPr>
          </xdr:nvGrpSpPr>
          <xdr:grpSpPr bwMode="auto">
            <a:xfrm>
              <a:off x="4047" y="6306"/>
              <a:ext cx="285" cy="3169"/>
              <a:chOff x="4050" y="6306"/>
              <a:chExt cx="285" cy="3169"/>
            </a:xfrm>
          </xdr:grpSpPr>
          <xdr:sp macro="" textlink="">
            <xdr:nvSpPr>
              <xdr:cNvPr id="5501730" name="Line 236">
                <a:extLst>
                  <a:ext uri="{FF2B5EF4-FFF2-40B4-BE49-F238E27FC236}">
                    <a16:creationId xmlns:a16="http://schemas.microsoft.com/office/drawing/2014/main" id="{00000000-0008-0000-0700-000022F35300}"/>
                  </a:ext>
                </a:extLst>
              </xdr:cNvPr>
              <xdr:cNvSpPr>
                <a:spLocks noChangeShapeType="1"/>
              </xdr:cNvSpPr>
            </xdr:nvSpPr>
            <xdr:spPr bwMode="auto">
              <a:xfrm flipH="1">
                <a:off x="4202" y="6306"/>
                <a:ext cx="0" cy="936"/>
              </a:xfrm>
              <a:prstGeom prst="line">
                <a:avLst/>
              </a:prstGeom>
              <a:noFill/>
              <a:ln w="9525">
                <a:solidFill>
                  <a:srgbClr val="00B0F0"/>
                </a:solidFill>
                <a:round/>
                <a:headEnd/>
                <a:tailEnd/>
              </a:ln>
            </xdr:spPr>
          </xdr:sp>
          <xdr:sp macro="" textlink="">
            <xdr:nvSpPr>
              <xdr:cNvPr id="5501731" name="Line 237">
                <a:extLst>
                  <a:ext uri="{FF2B5EF4-FFF2-40B4-BE49-F238E27FC236}">
                    <a16:creationId xmlns:a16="http://schemas.microsoft.com/office/drawing/2014/main" id="{00000000-0008-0000-0700-000023F35300}"/>
                  </a:ext>
                </a:extLst>
              </xdr:cNvPr>
              <xdr:cNvSpPr>
                <a:spLocks noChangeShapeType="1"/>
              </xdr:cNvSpPr>
            </xdr:nvSpPr>
            <xdr:spPr bwMode="auto">
              <a:xfrm flipH="1">
                <a:off x="4050" y="7242"/>
                <a:ext cx="152" cy="254"/>
              </a:xfrm>
              <a:prstGeom prst="line">
                <a:avLst/>
              </a:prstGeom>
              <a:noFill/>
              <a:ln w="9525">
                <a:solidFill>
                  <a:srgbClr val="00B0F0"/>
                </a:solidFill>
                <a:round/>
                <a:headEnd/>
                <a:tailEnd/>
              </a:ln>
            </xdr:spPr>
          </xdr:sp>
          <xdr:sp macro="" textlink="">
            <xdr:nvSpPr>
              <xdr:cNvPr id="5501732" name="Line 238">
                <a:extLst>
                  <a:ext uri="{FF2B5EF4-FFF2-40B4-BE49-F238E27FC236}">
                    <a16:creationId xmlns:a16="http://schemas.microsoft.com/office/drawing/2014/main" id="{00000000-0008-0000-0700-000024F35300}"/>
                  </a:ext>
                </a:extLst>
              </xdr:cNvPr>
              <xdr:cNvSpPr>
                <a:spLocks noChangeShapeType="1"/>
              </xdr:cNvSpPr>
            </xdr:nvSpPr>
            <xdr:spPr bwMode="auto">
              <a:xfrm>
                <a:off x="4050" y="7496"/>
                <a:ext cx="0" cy="642"/>
              </a:xfrm>
              <a:prstGeom prst="line">
                <a:avLst/>
              </a:prstGeom>
              <a:noFill/>
              <a:ln w="9525">
                <a:solidFill>
                  <a:srgbClr val="00B0F0"/>
                </a:solidFill>
                <a:round/>
                <a:headEnd/>
                <a:tailEnd/>
              </a:ln>
            </xdr:spPr>
          </xdr:sp>
          <xdr:sp macro="" textlink="">
            <xdr:nvSpPr>
              <xdr:cNvPr id="5501733" name="Line 239">
                <a:extLst>
                  <a:ext uri="{FF2B5EF4-FFF2-40B4-BE49-F238E27FC236}">
                    <a16:creationId xmlns:a16="http://schemas.microsoft.com/office/drawing/2014/main" id="{00000000-0008-0000-0700-000025F35300}"/>
                  </a:ext>
                </a:extLst>
              </xdr:cNvPr>
              <xdr:cNvSpPr>
                <a:spLocks noChangeShapeType="1"/>
              </xdr:cNvSpPr>
            </xdr:nvSpPr>
            <xdr:spPr bwMode="auto">
              <a:xfrm>
                <a:off x="4050" y="8138"/>
                <a:ext cx="285" cy="367"/>
              </a:xfrm>
              <a:prstGeom prst="line">
                <a:avLst/>
              </a:prstGeom>
              <a:noFill/>
              <a:ln w="9525">
                <a:solidFill>
                  <a:srgbClr val="00B0F0"/>
                </a:solidFill>
                <a:round/>
                <a:headEnd/>
                <a:tailEnd/>
              </a:ln>
            </xdr:spPr>
          </xdr:sp>
          <xdr:sp macro="" textlink="">
            <xdr:nvSpPr>
              <xdr:cNvPr id="5501734" name="Line 240">
                <a:extLst>
                  <a:ext uri="{FF2B5EF4-FFF2-40B4-BE49-F238E27FC236}">
                    <a16:creationId xmlns:a16="http://schemas.microsoft.com/office/drawing/2014/main" id="{00000000-0008-0000-0700-000026F35300}"/>
                  </a:ext>
                </a:extLst>
              </xdr:cNvPr>
              <xdr:cNvSpPr>
                <a:spLocks noChangeShapeType="1"/>
              </xdr:cNvSpPr>
            </xdr:nvSpPr>
            <xdr:spPr bwMode="auto">
              <a:xfrm>
                <a:off x="4335" y="8505"/>
                <a:ext cx="0" cy="970"/>
              </a:xfrm>
              <a:prstGeom prst="line">
                <a:avLst/>
              </a:prstGeom>
              <a:noFill/>
              <a:ln w="9525">
                <a:solidFill>
                  <a:srgbClr val="00B0F0"/>
                </a:solidFill>
                <a:round/>
                <a:headEnd/>
                <a:tailEnd/>
              </a:ln>
            </xdr:spPr>
          </xdr:sp>
        </xdr:grpSp>
      </xdr:grpSp>
      <xdr:grpSp>
        <xdr:nvGrpSpPr>
          <xdr:cNvPr id="5501711" name="Group 241">
            <a:extLst>
              <a:ext uri="{FF2B5EF4-FFF2-40B4-BE49-F238E27FC236}">
                <a16:creationId xmlns:a16="http://schemas.microsoft.com/office/drawing/2014/main" id="{00000000-0008-0000-0700-00000FF35300}"/>
              </a:ext>
            </a:extLst>
          </xdr:cNvPr>
          <xdr:cNvGrpSpPr>
            <a:grpSpLocks/>
          </xdr:cNvGrpSpPr>
        </xdr:nvGrpSpPr>
        <xdr:grpSpPr bwMode="auto">
          <a:xfrm flipH="1">
            <a:off x="4560" y="5379"/>
            <a:ext cx="515" cy="4096"/>
            <a:chOff x="4047" y="5379"/>
            <a:chExt cx="515" cy="4096"/>
          </a:xfrm>
        </xdr:grpSpPr>
        <xdr:sp macro="" textlink="">
          <xdr:nvSpPr>
            <xdr:cNvPr id="5501721" name="Arc 242">
              <a:extLst>
                <a:ext uri="{FF2B5EF4-FFF2-40B4-BE49-F238E27FC236}">
                  <a16:creationId xmlns:a16="http://schemas.microsoft.com/office/drawing/2014/main" id="{00000000-0008-0000-0700-000019F35300}"/>
                </a:ext>
              </a:extLst>
            </xdr:cNvPr>
            <xdr:cNvSpPr>
              <a:spLocks/>
            </xdr:cNvSpPr>
          </xdr:nvSpPr>
          <xdr:spPr bwMode="auto">
            <a:xfrm flipH="1">
              <a:off x="4201" y="5379"/>
              <a:ext cx="361" cy="964"/>
            </a:xfrm>
            <a:custGeom>
              <a:avLst/>
              <a:gdLst>
                <a:gd name="T0" fmla="*/ 0 w 21600"/>
                <a:gd name="T1" fmla="*/ 0 h 21600"/>
                <a:gd name="T2" fmla="*/ 0 w 21600"/>
                <a:gd name="T3" fmla="*/ 0 h 21600"/>
                <a:gd name="T4" fmla="*/ 0 w 21600"/>
                <a:gd name="T5" fmla="*/ 0 h 21600"/>
                <a:gd name="T6" fmla="*/ 0 60000 65536"/>
                <a:gd name="T7" fmla="*/ 0 60000 65536"/>
                <a:gd name="T8" fmla="*/ 0 60000 65536"/>
                <a:gd name="T9" fmla="*/ 0 w 21600"/>
                <a:gd name="T10" fmla="*/ 0 h 21600"/>
                <a:gd name="T11" fmla="*/ 21600 w 21600"/>
                <a:gd name="T12" fmla="*/ 21600 h 21600"/>
              </a:gdLst>
              <a:ahLst/>
              <a:cxnLst>
                <a:cxn ang="T6">
                  <a:pos x="T0" y="T1"/>
                </a:cxn>
                <a:cxn ang="T7">
                  <a:pos x="T2" y="T3"/>
                </a:cxn>
                <a:cxn ang="T8">
                  <a:pos x="T4" y="T5"/>
                </a:cxn>
              </a:cxnLst>
              <a:rect l="T9" t="T10" r="T11" b="T12"/>
              <a:pathLst>
                <a:path w="21600" h="21600" fill="none" extrusionOk="0">
                  <a:moveTo>
                    <a:pt x="-1" y="0"/>
                  </a:moveTo>
                  <a:cubicBezTo>
                    <a:pt x="11929" y="0"/>
                    <a:pt x="21600" y="9670"/>
                    <a:pt x="21600" y="21600"/>
                  </a:cubicBezTo>
                </a:path>
                <a:path w="21600" h="21600" stroke="0" extrusionOk="0">
                  <a:moveTo>
                    <a:pt x="-1" y="0"/>
                  </a:moveTo>
                  <a:cubicBezTo>
                    <a:pt x="11929" y="0"/>
                    <a:pt x="21600" y="9670"/>
                    <a:pt x="21600" y="21600"/>
                  </a:cubicBezTo>
                  <a:lnTo>
                    <a:pt x="0" y="21600"/>
                  </a:lnTo>
                  <a:lnTo>
                    <a:pt x="-1" y="0"/>
                  </a:lnTo>
                  <a:close/>
                </a:path>
              </a:pathLst>
            </a:custGeom>
            <a:noFill/>
            <a:ln w="9525">
              <a:solidFill>
                <a:srgbClr val="00B0F0"/>
              </a:solidFill>
              <a:round/>
              <a:headEnd/>
              <a:tailEnd/>
            </a:ln>
          </xdr:spPr>
        </xdr:sp>
        <xdr:grpSp>
          <xdr:nvGrpSpPr>
            <xdr:cNvPr id="5501722" name="Group 243">
              <a:extLst>
                <a:ext uri="{FF2B5EF4-FFF2-40B4-BE49-F238E27FC236}">
                  <a16:creationId xmlns:a16="http://schemas.microsoft.com/office/drawing/2014/main" id="{00000000-0008-0000-0700-00001AF35300}"/>
                </a:ext>
              </a:extLst>
            </xdr:cNvPr>
            <xdr:cNvGrpSpPr>
              <a:grpSpLocks/>
            </xdr:cNvGrpSpPr>
          </xdr:nvGrpSpPr>
          <xdr:grpSpPr bwMode="auto">
            <a:xfrm>
              <a:off x="4047" y="6306"/>
              <a:ext cx="285" cy="3169"/>
              <a:chOff x="4050" y="6306"/>
              <a:chExt cx="285" cy="3169"/>
            </a:xfrm>
          </xdr:grpSpPr>
          <xdr:sp macro="" textlink="">
            <xdr:nvSpPr>
              <xdr:cNvPr id="5501723" name="Line 244">
                <a:extLst>
                  <a:ext uri="{FF2B5EF4-FFF2-40B4-BE49-F238E27FC236}">
                    <a16:creationId xmlns:a16="http://schemas.microsoft.com/office/drawing/2014/main" id="{00000000-0008-0000-0700-00001BF35300}"/>
                  </a:ext>
                </a:extLst>
              </xdr:cNvPr>
              <xdr:cNvSpPr>
                <a:spLocks noChangeShapeType="1"/>
              </xdr:cNvSpPr>
            </xdr:nvSpPr>
            <xdr:spPr bwMode="auto">
              <a:xfrm flipH="1">
                <a:off x="4202" y="6306"/>
                <a:ext cx="0" cy="936"/>
              </a:xfrm>
              <a:prstGeom prst="line">
                <a:avLst/>
              </a:prstGeom>
              <a:noFill/>
              <a:ln w="9525">
                <a:solidFill>
                  <a:srgbClr val="00B0F0"/>
                </a:solidFill>
                <a:round/>
                <a:headEnd/>
                <a:tailEnd/>
              </a:ln>
            </xdr:spPr>
          </xdr:sp>
          <xdr:sp macro="" textlink="">
            <xdr:nvSpPr>
              <xdr:cNvPr id="5501724" name="Line 245">
                <a:extLst>
                  <a:ext uri="{FF2B5EF4-FFF2-40B4-BE49-F238E27FC236}">
                    <a16:creationId xmlns:a16="http://schemas.microsoft.com/office/drawing/2014/main" id="{00000000-0008-0000-0700-00001CF35300}"/>
                  </a:ext>
                </a:extLst>
              </xdr:cNvPr>
              <xdr:cNvSpPr>
                <a:spLocks noChangeShapeType="1"/>
              </xdr:cNvSpPr>
            </xdr:nvSpPr>
            <xdr:spPr bwMode="auto">
              <a:xfrm flipH="1">
                <a:off x="4050" y="7242"/>
                <a:ext cx="152" cy="254"/>
              </a:xfrm>
              <a:prstGeom prst="line">
                <a:avLst/>
              </a:prstGeom>
              <a:noFill/>
              <a:ln w="9525">
                <a:solidFill>
                  <a:srgbClr val="00B0F0"/>
                </a:solidFill>
                <a:round/>
                <a:headEnd/>
                <a:tailEnd/>
              </a:ln>
            </xdr:spPr>
          </xdr:sp>
          <xdr:sp macro="" textlink="">
            <xdr:nvSpPr>
              <xdr:cNvPr id="5501725" name="Line 246">
                <a:extLst>
                  <a:ext uri="{FF2B5EF4-FFF2-40B4-BE49-F238E27FC236}">
                    <a16:creationId xmlns:a16="http://schemas.microsoft.com/office/drawing/2014/main" id="{00000000-0008-0000-0700-00001DF35300}"/>
                  </a:ext>
                </a:extLst>
              </xdr:cNvPr>
              <xdr:cNvSpPr>
                <a:spLocks noChangeShapeType="1"/>
              </xdr:cNvSpPr>
            </xdr:nvSpPr>
            <xdr:spPr bwMode="auto">
              <a:xfrm>
                <a:off x="4050" y="7496"/>
                <a:ext cx="0" cy="642"/>
              </a:xfrm>
              <a:prstGeom prst="line">
                <a:avLst/>
              </a:prstGeom>
              <a:noFill/>
              <a:ln w="9525">
                <a:solidFill>
                  <a:srgbClr val="00B0F0"/>
                </a:solidFill>
                <a:round/>
                <a:headEnd/>
                <a:tailEnd/>
              </a:ln>
            </xdr:spPr>
          </xdr:sp>
          <xdr:sp macro="" textlink="">
            <xdr:nvSpPr>
              <xdr:cNvPr id="5501726" name="Line 247">
                <a:extLst>
                  <a:ext uri="{FF2B5EF4-FFF2-40B4-BE49-F238E27FC236}">
                    <a16:creationId xmlns:a16="http://schemas.microsoft.com/office/drawing/2014/main" id="{00000000-0008-0000-0700-00001EF35300}"/>
                  </a:ext>
                </a:extLst>
              </xdr:cNvPr>
              <xdr:cNvSpPr>
                <a:spLocks noChangeShapeType="1"/>
              </xdr:cNvSpPr>
            </xdr:nvSpPr>
            <xdr:spPr bwMode="auto">
              <a:xfrm>
                <a:off x="4050" y="8138"/>
                <a:ext cx="285" cy="367"/>
              </a:xfrm>
              <a:prstGeom prst="line">
                <a:avLst/>
              </a:prstGeom>
              <a:noFill/>
              <a:ln w="9525">
                <a:solidFill>
                  <a:srgbClr val="00B0F0"/>
                </a:solidFill>
                <a:round/>
                <a:headEnd/>
                <a:tailEnd/>
              </a:ln>
            </xdr:spPr>
          </xdr:sp>
          <xdr:sp macro="" textlink="">
            <xdr:nvSpPr>
              <xdr:cNvPr id="5501727" name="Line 248">
                <a:extLst>
                  <a:ext uri="{FF2B5EF4-FFF2-40B4-BE49-F238E27FC236}">
                    <a16:creationId xmlns:a16="http://schemas.microsoft.com/office/drawing/2014/main" id="{00000000-0008-0000-0700-00001FF35300}"/>
                  </a:ext>
                </a:extLst>
              </xdr:cNvPr>
              <xdr:cNvSpPr>
                <a:spLocks noChangeShapeType="1"/>
              </xdr:cNvSpPr>
            </xdr:nvSpPr>
            <xdr:spPr bwMode="auto">
              <a:xfrm>
                <a:off x="4335" y="8505"/>
                <a:ext cx="0" cy="970"/>
              </a:xfrm>
              <a:prstGeom prst="line">
                <a:avLst/>
              </a:prstGeom>
              <a:noFill/>
              <a:ln w="9525">
                <a:solidFill>
                  <a:srgbClr val="00B0F0"/>
                </a:solidFill>
                <a:round/>
                <a:headEnd/>
                <a:tailEnd/>
              </a:ln>
            </xdr:spPr>
          </xdr:sp>
        </xdr:grpSp>
      </xdr:grpSp>
      <xdr:sp macro="" textlink="">
        <xdr:nvSpPr>
          <xdr:cNvPr id="5501712" name="Line 249">
            <a:extLst>
              <a:ext uri="{FF2B5EF4-FFF2-40B4-BE49-F238E27FC236}">
                <a16:creationId xmlns:a16="http://schemas.microsoft.com/office/drawing/2014/main" id="{00000000-0008-0000-0700-000010F35300}"/>
              </a:ext>
            </a:extLst>
          </xdr:cNvPr>
          <xdr:cNvSpPr>
            <a:spLocks noChangeShapeType="1"/>
          </xdr:cNvSpPr>
        </xdr:nvSpPr>
        <xdr:spPr bwMode="auto">
          <a:xfrm>
            <a:off x="4332" y="9310"/>
            <a:ext cx="2" cy="1319"/>
          </a:xfrm>
          <a:prstGeom prst="line">
            <a:avLst/>
          </a:prstGeom>
          <a:noFill/>
          <a:ln w="9525">
            <a:solidFill>
              <a:srgbClr val="00B0F0"/>
            </a:solidFill>
            <a:round/>
            <a:headEnd/>
            <a:tailEnd/>
          </a:ln>
        </xdr:spPr>
      </xdr:sp>
      <xdr:sp macro="" textlink="">
        <xdr:nvSpPr>
          <xdr:cNvPr id="5501713" name="Line 250">
            <a:extLst>
              <a:ext uri="{FF2B5EF4-FFF2-40B4-BE49-F238E27FC236}">
                <a16:creationId xmlns:a16="http://schemas.microsoft.com/office/drawing/2014/main" id="{00000000-0008-0000-0700-000011F35300}"/>
              </a:ext>
            </a:extLst>
          </xdr:cNvPr>
          <xdr:cNvSpPr>
            <a:spLocks noChangeShapeType="1"/>
          </xdr:cNvSpPr>
        </xdr:nvSpPr>
        <xdr:spPr bwMode="auto">
          <a:xfrm>
            <a:off x="4790" y="9310"/>
            <a:ext cx="0" cy="1319"/>
          </a:xfrm>
          <a:prstGeom prst="line">
            <a:avLst/>
          </a:prstGeom>
          <a:noFill/>
          <a:ln w="9525">
            <a:solidFill>
              <a:srgbClr val="00B0F0"/>
            </a:solidFill>
            <a:round/>
            <a:headEnd/>
            <a:tailEnd/>
          </a:ln>
        </xdr:spPr>
      </xdr:sp>
      <xdr:sp macro="" textlink="">
        <xdr:nvSpPr>
          <xdr:cNvPr id="5501714" name="Line 251">
            <a:extLst>
              <a:ext uri="{FF2B5EF4-FFF2-40B4-BE49-F238E27FC236}">
                <a16:creationId xmlns:a16="http://schemas.microsoft.com/office/drawing/2014/main" id="{00000000-0008-0000-0700-000012F35300}"/>
              </a:ext>
            </a:extLst>
          </xdr:cNvPr>
          <xdr:cNvSpPr>
            <a:spLocks noChangeShapeType="1"/>
          </xdr:cNvSpPr>
        </xdr:nvSpPr>
        <xdr:spPr bwMode="auto">
          <a:xfrm>
            <a:off x="4330" y="10629"/>
            <a:ext cx="458" cy="0"/>
          </a:xfrm>
          <a:prstGeom prst="line">
            <a:avLst/>
          </a:prstGeom>
          <a:noFill/>
          <a:ln w="9525">
            <a:solidFill>
              <a:srgbClr val="00B0F0"/>
            </a:solidFill>
            <a:round/>
            <a:headEnd/>
            <a:tailEnd/>
          </a:ln>
        </xdr:spPr>
      </xdr:sp>
      <xdr:sp macro="" textlink="">
        <xdr:nvSpPr>
          <xdr:cNvPr id="5501715" name="Line 252">
            <a:extLst>
              <a:ext uri="{FF2B5EF4-FFF2-40B4-BE49-F238E27FC236}">
                <a16:creationId xmlns:a16="http://schemas.microsoft.com/office/drawing/2014/main" id="{00000000-0008-0000-0700-000013F35300}"/>
              </a:ext>
            </a:extLst>
          </xdr:cNvPr>
          <xdr:cNvSpPr>
            <a:spLocks noChangeShapeType="1"/>
          </xdr:cNvSpPr>
        </xdr:nvSpPr>
        <xdr:spPr bwMode="auto">
          <a:xfrm flipV="1">
            <a:off x="5709" y="10163"/>
            <a:ext cx="1" cy="946"/>
          </a:xfrm>
          <a:prstGeom prst="line">
            <a:avLst/>
          </a:prstGeom>
          <a:noFill/>
          <a:ln w="9525">
            <a:solidFill>
              <a:srgbClr val="00B0F0"/>
            </a:solidFill>
            <a:round/>
            <a:headEnd/>
            <a:tailEnd/>
          </a:ln>
        </xdr:spPr>
      </xdr:sp>
      <xdr:sp macro="" textlink="">
        <xdr:nvSpPr>
          <xdr:cNvPr id="5501716" name="Line 253">
            <a:extLst>
              <a:ext uri="{FF2B5EF4-FFF2-40B4-BE49-F238E27FC236}">
                <a16:creationId xmlns:a16="http://schemas.microsoft.com/office/drawing/2014/main" id="{00000000-0008-0000-0700-000014F35300}"/>
              </a:ext>
            </a:extLst>
          </xdr:cNvPr>
          <xdr:cNvSpPr>
            <a:spLocks noChangeShapeType="1"/>
          </xdr:cNvSpPr>
        </xdr:nvSpPr>
        <xdr:spPr bwMode="auto">
          <a:xfrm>
            <a:off x="4796" y="10419"/>
            <a:ext cx="909" cy="712"/>
          </a:xfrm>
          <a:prstGeom prst="line">
            <a:avLst/>
          </a:prstGeom>
          <a:noFill/>
          <a:ln w="9525">
            <a:solidFill>
              <a:srgbClr val="00B0F0"/>
            </a:solidFill>
            <a:round/>
            <a:headEnd/>
            <a:tailEnd/>
          </a:ln>
        </xdr:spPr>
      </xdr:sp>
      <xdr:sp macro="" textlink="">
        <xdr:nvSpPr>
          <xdr:cNvPr id="5501717" name="Line 254">
            <a:extLst>
              <a:ext uri="{FF2B5EF4-FFF2-40B4-BE49-F238E27FC236}">
                <a16:creationId xmlns:a16="http://schemas.microsoft.com/office/drawing/2014/main" id="{00000000-0008-0000-0700-000015F35300}"/>
              </a:ext>
            </a:extLst>
          </xdr:cNvPr>
          <xdr:cNvSpPr>
            <a:spLocks noChangeShapeType="1"/>
          </xdr:cNvSpPr>
        </xdr:nvSpPr>
        <xdr:spPr bwMode="auto">
          <a:xfrm flipH="1" flipV="1">
            <a:off x="4804" y="8797"/>
            <a:ext cx="905" cy="1372"/>
          </a:xfrm>
          <a:prstGeom prst="line">
            <a:avLst/>
          </a:prstGeom>
          <a:noFill/>
          <a:ln w="9525">
            <a:solidFill>
              <a:srgbClr val="00B0F0"/>
            </a:solidFill>
            <a:round/>
            <a:headEnd/>
            <a:tailEnd/>
          </a:ln>
        </xdr:spPr>
      </xdr:sp>
      <xdr:sp macro="" textlink="">
        <xdr:nvSpPr>
          <xdr:cNvPr id="5501718" name="Line 255">
            <a:extLst>
              <a:ext uri="{FF2B5EF4-FFF2-40B4-BE49-F238E27FC236}">
                <a16:creationId xmlns:a16="http://schemas.microsoft.com/office/drawing/2014/main" id="{00000000-0008-0000-0700-000016F35300}"/>
              </a:ext>
            </a:extLst>
          </xdr:cNvPr>
          <xdr:cNvSpPr>
            <a:spLocks noChangeShapeType="1"/>
          </xdr:cNvSpPr>
        </xdr:nvSpPr>
        <xdr:spPr bwMode="auto">
          <a:xfrm flipH="1" flipV="1">
            <a:off x="3421" y="10178"/>
            <a:ext cx="1" cy="946"/>
          </a:xfrm>
          <a:prstGeom prst="line">
            <a:avLst/>
          </a:prstGeom>
          <a:noFill/>
          <a:ln w="9525">
            <a:solidFill>
              <a:srgbClr val="00B0F0"/>
            </a:solidFill>
            <a:round/>
            <a:headEnd/>
            <a:tailEnd/>
          </a:ln>
        </xdr:spPr>
      </xdr:sp>
      <xdr:sp macro="" textlink="">
        <xdr:nvSpPr>
          <xdr:cNvPr id="5501719" name="Line 256">
            <a:extLst>
              <a:ext uri="{FF2B5EF4-FFF2-40B4-BE49-F238E27FC236}">
                <a16:creationId xmlns:a16="http://schemas.microsoft.com/office/drawing/2014/main" id="{00000000-0008-0000-0700-000017F35300}"/>
              </a:ext>
            </a:extLst>
          </xdr:cNvPr>
          <xdr:cNvSpPr>
            <a:spLocks noChangeShapeType="1"/>
          </xdr:cNvSpPr>
        </xdr:nvSpPr>
        <xdr:spPr bwMode="auto">
          <a:xfrm flipH="1">
            <a:off x="3421" y="10426"/>
            <a:ext cx="909" cy="712"/>
          </a:xfrm>
          <a:prstGeom prst="line">
            <a:avLst/>
          </a:prstGeom>
          <a:noFill/>
          <a:ln w="9525">
            <a:solidFill>
              <a:srgbClr val="00B0F0"/>
            </a:solidFill>
            <a:round/>
            <a:headEnd/>
            <a:tailEnd/>
          </a:ln>
        </xdr:spPr>
      </xdr:sp>
      <xdr:sp macro="" textlink="">
        <xdr:nvSpPr>
          <xdr:cNvPr id="5501720" name="Line 257">
            <a:extLst>
              <a:ext uri="{FF2B5EF4-FFF2-40B4-BE49-F238E27FC236}">
                <a16:creationId xmlns:a16="http://schemas.microsoft.com/office/drawing/2014/main" id="{00000000-0008-0000-0700-000018F35300}"/>
              </a:ext>
            </a:extLst>
          </xdr:cNvPr>
          <xdr:cNvSpPr>
            <a:spLocks noChangeShapeType="1"/>
          </xdr:cNvSpPr>
        </xdr:nvSpPr>
        <xdr:spPr bwMode="auto">
          <a:xfrm flipV="1">
            <a:off x="3429" y="8804"/>
            <a:ext cx="905" cy="1372"/>
          </a:xfrm>
          <a:prstGeom prst="line">
            <a:avLst/>
          </a:prstGeom>
          <a:noFill/>
          <a:ln w="9525">
            <a:solidFill>
              <a:srgbClr val="00B0F0"/>
            </a:solidFill>
            <a:round/>
            <a:headEnd/>
            <a:tailEnd/>
          </a:ln>
        </xdr:spPr>
      </xdr:sp>
    </xdr:grpSp>
    <xdr:clientData/>
  </xdr:twoCellAnchor>
  <xdr:twoCellAnchor>
    <xdr:from>
      <xdr:col>6</xdr:col>
      <xdr:colOff>825500</xdr:colOff>
      <xdr:row>84</xdr:row>
      <xdr:rowOff>101600</xdr:rowOff>
    </xdr:from>
    <xdr:to>
      <xdr:col>6</xdr:col>
      <xdr:colOff>1543050</xdr:colOff>
      <xdr:row>84</xdr:row>
      <xdr:rowOff>101600</xdr:rowOff>
    </xdr:to>
    <xdr:sp macro="" textlink="">
      <xdr:nvSpPr>
        <xdr:cNvPr id="5501607" name="Line 268">
          <a:extLst>
            <a:ext uri="{FF2B5EF4-FFF2-40B4-BE49-F238E27FC236}">
              <a16:creationId xmlns:a16="http://schemas.microsoft.com/office/drawing/2014/main" id="{00000000-0008-0000-0700-0000A7F25300}"/>
            </a:ext>
          </a:extLst>
        </xdr:cNvPr>
        <xdr:cNvSpPr>
          <a:spLocks noChangeShapeType="1"/>
        </xdr:cNvSpPr>
      </xdr:nvSpPr>
      <xdr:spPr bwMode="auto">
        <a:xfrm flipV="1">
          <a:off x="5105400" y="14128750"/>
          <a:ext cx="717550" cy="0"/>
        </a:xfrm>
        <a:prstGeom prst="line">
          <a:avLst/>
        </a:prstGeom>
        <a:noFill/>
        <a:ln w="6350">
          <a:solidFill>
            <a:srgbClr val="000000"/>
          </a:solidFill>
          <a:round/>
          <a:headEnd type="triangle" w="sm" len="lg"/>
          <a:tailEnd type="triangle" w="sm" len="lg"/>
        </a:ln>
      </xdr:spPr>
    </xdr:sp>
    <xdr:clientData/>
  </xdr:twoCellAnchor>
  <xdr:twoCellAnchor>
    <xdr:from>
      <xdr:col>6</xdr:col>
      <xdr:colOff>152400</xdr:colOff>
      <xdr:row>80</xdr:row>
      <xdr:rowOff>0</xdr:rowOff>
    </xdr:from>
    <xdr:to>
      <xdr:col>8</xdr:col>
      <xdr:colOff>654050</xdr:colOff>
      <xdr:row>80</xdr:row>
      <xdr:rowOff>0</xdr:rowOff>
    </xdr:to>
    <xdr:sp macro="" textlink="">
      <xdr:nvSpPr>
        <xdr:cNvPr id="5501608" name="Line 269">
          <a:extLst>
            <a:ext uri="{FF2B5EF4-FFF2-40B4-BE49-F238E27FC236}">
              <a16:creationId xmlns:a16="http://schemas.microsoft.com/office/drawing/2014/main" id="{00000000-0008-0000-0700-0000A8F25300}"/>
            </a:ext>
          </a:extLst>
        </xdr:cNvPr>
        <xdr:cNvSpPr>
          <a:spLocks noChangeShapeType="1"/>
        </xdr:cNvSpPr>
      </xdr:nvSpPr>
      <xdr:spPr bwMode="auto">
        <a:xfrm flipV="1">
          <a:off x="4432300" y="13354050"/>
          <a:ext cx="2647950" cy="0"/>
        </a:xfrm>
        <a:prstGeom prst="line">
          <a:avLst/>
        </a:prstGeom>
        <a:noFill/>
        <a:ln w="6350">
          <a:solidFill>
            <a:srgbClr val="000000"/>
          </a:solidFill>
          <a:round/>
          <a:headEnd/>
          <a:tailEnd/>
        </a:ln>
      </xdr:spPr>
    </xdr:sp>
    <xdr:clientData/>
  </xdr:twoCellAnchor>
  <xdr:twoCellAnchor>
    <xdr:from>
      <xdr:col>8</xdr:col>
      <xdr:colOff>228600</xdr:colOff>
      <xdr:row>80</xdr:row>
      <xdr:rowOff>12700</xdr:rowOff>
    </xdr:from>
    <xdr:to>
      <xdr:col>8</xdr:col>
      <xdr:colOff>228600</xdr:colOff>
      <xdr:row>93</xdr:row>
      <xdr:rowOff>82550</xdr:rowOff>
    </xdr:to>
    <xdr:sp macro="" textlink="">
      <xdr:nvSpPr>
        <xdr:cNvPr id="5501609" name="Line 270">
          <a:extLst>
            <a:ext uri="{FF2B5EF4-FFF2-40B4-BE49-F238E27FC236}">
              <a16:creationId xmlns:a16="http://schemas.microsoft.com/office/drawing/2014/main" id="{00000000-0008-0000-0700-0000A9F25300}"/>
            </a:ext>
          </a:extLst>
        </xdr:cNvPr>
        <xdr:cNvSpPr>
          <a:spLocks noChangeShapeType="1"/>
        </xdr:cNvSpPr>
      </xdr:nvSpPr>
      <xdr:spPr bwMode="auto">
        <a:xfrm>
          <a:off x="6838950" y="13366750"/>
          <a:ext cx="0" cy="2209800"/>
        </a:xfrm>
        <a:prstGeom prst="line">
          <a:avLst/>
        </a:prstGeom>
        <a:noFill/>
        <a:ln w="6350">
          <a:solidFill>
            <a:srgbClr val="000000"/>
          </a:solidFill>
          <a:round/>
          <a:headEnd type="triangle" w="sm" len="lg"/>
          <a:tailEnd type="triangle" w="sm" len="lg"/>
        </a:ln>
      </xdr:spPr>
    </xdr:sp>
    <xdr:clientData/>
  </xdr:twoCellAnchor>
  <xdr:twoCellAnchor>
    <xdr:from>
      <xdr:col>6</xdr:col>
      <xdr:colOff>139700</xdr:colOff>
      <xdr:row>83</xdr:row>
      <xdr:rowOff>50800</xdr:rowOff>
    </xdr:from>
    <xdr:to>
      <xdr:col>6</xdr:col>
      <xdr:colOff>838200</xdr:colOff>
      <xdr:row>83</xdr:row>
      <xdr:rowOff>50800</xdr:rowOff>
    </xdr:to>
    <xdr:sp macro="" textlink="">
      <xdr:nvSpPr>
        <xdr:cNvPr id="5501610" name="Line 271">
          <a:extLst>
            <a:ext uri="{FF2B5EF4-FFF2-40B4-BE49-F238E27FC236}">
              <a16:creationId xmlns:a16="http://schemas.microsoft.com/office/drawing/2014/main" id="{00000000-0008-0000-0700-0000AAF25300}"/>
            </a:ext>
          </a:extLst>
        </xdr:cNvPr>
        <xdr:cNvSpPr>
          <a:spLocks noChangeShapeType="1"/>
        </xdr:cNvSpPr>
      </xdr:nvSpPr>
      <xdr:spPr bwMode="auto">
        <a:xfrm>
          <a:off x="4419600" y="13912850"/>
          <a:ext cx="698500" cy="0"/>
        </a:xfrm>
        <a:prstGeom prst="line">
          <a:avLst/>
        </a:prstGeom>
        <a:noFill/>
        <a:ln w="6350">
          <a:solidFill>
            <a:srgbClr val="000000"/>
          </a:solidFill>
          <a:round/>
          <a:headEnd/>
          <a:tailEnd/>
        </a:ln>
      </xdr:spPr>
    </xdr:sp>
    <xdr:clientData/>
  </xdr:twoCellAnchor>
  <xdr:twoCellAnchor>
    <xdr:from>
      <xdr:col>6</xdr:col>
      <xdr:colOff>152400</xdr:colOff>
      <xdr:row>80</xdr:row>
      <xdr:rowOff>0</xdr:rowOff>
    </xdr:from>
    <xdr:to>
      <xdr:col>6</xdr:col>
      <xdr:colOff>152400</xdr:colOff>
      <xdr:row>83</xdr:row>
      <xdr:rowOff>50800</xdr:rowOff>
    </xdr:to>
    <xdr:sp macro="" textlink="">
      <xdr:nvSpPr>
        <xdr:cNvPr id="5501611" name="Line 272">
          <a:extLst>
            <a:ext uri="{FF2B5EF4-FFF2-40B4-BE49-F238E27FC236}">
              <a16:creationId xmlns:a16="http://schemas.microsoft.com/office/drawing/2014/main" id="{00000000-0008-0000-0700-0000ABF25300}"/>
            </a:ext>
          </a:extLst>
        </xdr:cNvPr>
        <xdr:cNvSpPr>
          <a:spLocks noChangeShapeType="1"/>
        </xdr:cNvSpPr>
      </xdr:nvSpPr>
      <xdr:spPr bwMode="auto">
        <a:xfrm>
          <a:off x="4432300" y="13354050"/>
          <a:ext cx="0" cy="558800"/>
        </a:xfrm>
        <a:prstGeom prst="line">
          <a:avLst/>
        </a:prstGeom>
        <a:noFill/>
        <a:ln w="6350">
          <a:solidFill>
            <a:srgbClr val="000000"/>
          </a:solidFill>
          <a:round/>
          <a:headEnd type="triangle" w="sm" len="lg"/>
          <a:tailEnd type="triangle" w="sm" len="lg"/>
        </a:ln>
      </xdr:spPr>
    </xdr:sp>
    <xdr:clientData/>
  </xdr:twoCellAnchor>
  <xdr:twoCellAnchor>
    <xdr:from>
      <xdr:col>7</xdr:col>
      <xdr:colOff>787400</xdr:colOff>
      <xdr:row>102</xdr:row>
      <xdr:rowOff>95250</xdr:rowOff>
    </xdr:from>
    <xdr:to>
      <xdr:col>8</xdr:col>
      <xdr:colOff>552450</xdr:colOff>
      <xdr:row>102</xdr:row>
      <xdr:rowOff>95250</xdr:rowOff>
    </xdr:to>
    <xdr:sp macro="" textlink="">
      <xdr:nvSpPr>
        <xdr:cNvPr id="5501612" name="Line 277">
          <a:extLst>
            <a:ext uri="{FF2B5EF4-FFF2-40B4-BE49-F238E27FC236}">
              <a16:creationId xmlns:a16="http://schemas.microsoft.com/office/drawing/2014/main" id="{00000000-0008-0000-0700-0000ACF25300}"/>
            </a:ext>
          </a:extLst>
        </xdr:cNvPr>
        <xdr:cNvSpPr>
          <a:spLocks noChangeShapeType="1"/>
        </xdr:cNvSpPr>
      </xdr:nvSpPr>
      <xdr:spPr bwMode="auto">
        <a:xfrm>
          <a:off x="6610350" y="17068800"/>
          <a:ext cx="469900" cy="0"/>
        </a:xfrm>
        <a:prstGeom prst="line">
          <a:avLst/>
        </a:prstGeom>
        <a:noFill/>
        <a:ln w="6350">
          <a:solidFill>
            <a:srgbClr val="000000"/>
          </a:solidFill>
          <a:round/>
          <a:headEnd/>
          <a:tailEnd/>
        </a:ln>
      </xdr:spPr>
    </xdr:sp>
    <xdr:clientData/>
  </xdr:twoCellAnchor>
  <xdr:twoCellAnchor>
    <xdr:from>
      <xdr:col>8</xdr:col>
      <xdr:colOff>12700</xdr:colOff>
      <xdr:row>98</xdr:row>
      <xdr:rowOff>133350</xdr:rowOff>
    </xdr:from>
    <xdr:to>
      <xdr:col>8</xdr:col>
      <xdr:colOff>469900</xdr:colOff>
      <xdr:row>98</xdr:row>
      <xdr:rowOff>133350</xdr:rowOff>
    </xdr:to>
    <xdr:sp macro="" textlink="">
      <xdr:nvSpPr>
        <xdr:cNvPr id="5501613" name="Line 278">
          <a:extLst>
            <a:ext uri="{FF2B5EF4-FFF2-40B4-BE49-F238E27FC236}">
              <a16:creationId xmlns:a16="http://schemas.microsoft.com/office/drawing/2014/main" id="{00000000-0008-0000-0700-0000ADF25300}"/>
            </a:ext>
          </a:extLst>
        </xdr:cNvPr>
        <xdr:cNvSpPr>
          <a:spLocks noChangeShapeType="1"/>
        </xdr:cNvSpPr>
      </xdr:nvSpPr>
      <xdr:spPr bwMode="auto">
        <a:xfrm>
          <a:off x="6623050" y="16440150"/>
          <a:ext cx="457200" cy="0"/>
        </a:xfrm>
        <a:prstGeom prst="line">
          <a:avLst/>
        </a:prstGeom>
        <a:noFill/>
        <a:ln w="6350">
          <a:solidFill>
            <a:srgbClr val="000000"/>
          </a:solidFill>
          <a:round/>
          <a:headEnd/>
          <a:tailEnd/>
        </a:ln>
      </xdr:spPr>
    </xdr:sp>
    <xdr:clientData/>
  </xdr:twoCellAnchor>
  <xdr:twoCellAnchor>
    <xdr:from>
      <xdr:col>6</xdr:col>
      <xdr:colOff>476250</xdr:colOff>
      <xdr:row>93</xdr:row>
      <xdr:rowOff>76200</xdr:rowOff>
    </xdr:from>
    <xdr:to>
      <xdr:col>8</xdr:col>
      <xdr:colOff>552450</xdr:colOff>
      <xdr:row>93</xdr:row>
      <xdr:rowOff>76200</xdr:rowOff>
    </xdr:to>
    <xdr:sp macro="" textlink="">
      <xdr:nvSpPr>
        <xdr:cNvPr id="5501614" name="Line 279">
          <a:extLst>
            <a:ext uri="{FF2B5EF4-FFF2-40B4-BE49-F238E27FC236}">
              <a16:creationId xmlns:a16="http://schemas.microsoft.com/office/drawing/2014/main" id="{00000000-0008-0000-0700-0000AEF25300}"/>
            </a:ext>
          </a:extLst>
        </xdr:cNvPr>
        <xdr:cNvSpPr>
          <a:spLocks noChangeShapeType="1"/>
        </xdr:cNvSpPr>
      </xdr:nvSpPr>
      <xdr:spPr bwMode="auto">
        <a:xfrm flipV="1">
          <a:off x="4756150" y="15570200"/>
          <a:ext cx="2324100" cy="0"/>
        </a:xfrm>
        <a:prstGeom prst="line">
          <a:avLst/>
        </a:prstGeom>
        <a:noFill/>
        <a:ln w="6350">
          <a:solidFill>
            <a:srgbClr val="000000"/>
          </a:solidFill>
          <a:round/>
          <a:headEnd/>
          <a:tailEnd/>
        </a:ln>
      </xdr:spPr>
    </xdr:sp>
    <xdr:clientData/>
  </xdr:twoCellAnchor>
  <xdr:twoCellAnchor>
    <xdr:from>
      <xdr:col>6</xdr:col>
      <xdr:colOff>476250</xdr:colOff>
      <xdr:row>99</xdr:row>
      <xdr:rowOff>152400</xdr:rowOff>
    </xdr:from>
    <xdr:to>
      <xdr:col>6</xdr:col>
      <xdr:colOff>1428750</xdr:colOff>
      <xdr:row>99</xdr:row>
      <xdr:rowOff>152400</xdr:rowOff>
    </xdr:to>
    <xdr:sp macro="" textlink="">
      <xdr:nvSpPr>
        <xdr:cNvPr id="5501615" name="Line 280">
          <a:extLst>
            <a:ext uri="{FF2B5EF4-FFF2-40B4-BE49-F238E27FC236}">
              <a16:creationId xmlns:a16="http://schemas.microsoft.com/office/drawing/2014/main" id="{00000000-0008-0000-0700-0000AFF25300}"/>
            </a:ext>
          </a:extLst>
        </xdr:cNvPr>
        <xdr:cNvSpPr>
          <a:spLocks noChangeShapeType="1"/>
        </xdr:cNvSpPr>
      </xdr:nvSpPr>
      <xdr:spPr bwMode="auto">
        <a:xfrm flipV="1">
          <a:off x="4756150" y="16617950"/>
          <a:ext cx="952500" cy="0"/>
        </a:xfrm>
        <a:prstGeom prst="line">
          <a:avLst/>
        </a:prstGeom>
        <a:noFill/>
        <a:ln w="6350">
          <a:solidFill>
            <a:srgbClr val="000000"/>
          </a:solidFill>
          <a:round/>
          <a:headEnd/>
          <a:tailEnd/>
        </a:ln>
      </xdr:spPr>
    </xdr:sp>
    <xdr:clientData/>
  </xdr:twoCellAnchor>
  <xdr:twoCellAnchor>
    <xdr:from>
      <xdr:col>6</xdr:col>
      <xdr:colOff>476250</xdr:colOff>
      <xdr:row>93</xdr:row>
      <xdr:rowOff>76200</xdr:rowOff>
    </xdr:from>
    <xdr:to>
      <xdr:col>6</xdr:col>
      <xdr:colOff>476250</xdr:colOff>
      <xdr:row>100</xdr:row>
      <xdr:rowOff>0</xdr:rowOff>
    </xdr:to>
    <xdr:sp macro="" textlink="">
      <xdr:nvSpPr>
        <xdr:cNvPr id="5501616" name="Line 281">
          <a:extLst>
            <a:ext uri="{FF2B5EF4-FFF2-40B4-BE49-F238E27FC236}">
              <a16:creationId xmlns:a16="http://schemas.microsoft.com/office/drawing/2014/main" id="{00000000-0008-0000-0700-0000B0F25300}"/>
            </a:ext>
          </a:extLst>
        </xdr:cNvPr>
        <xdr:cNvSpPr>
          <a:spLocks noChangeShapeType="1"/>
        </xdr:cNvSpPr>
      </xdr:nvSpPr>
      <xdr:spPr bwMode="auto">
        <a:xfrm>
          <a:off x="4756150" y="15570200"/>
          <a:ext cx="0" cy="1066800"/>
        </a:xfrm>
        <a:prstGeom prst="line">
          <a:avLst/>
        </a:prstGeom>
        <a:noFill/>
        <a:ln w="6350">
          <a:solidFill>
            <a:srgbClr val="000000"/>
          </a:solidFill>
          <a:round/>
          <a:headEnd type="triangle" w="sm" len="lg"/>
          <a:tailEnd type="triangle" w="sm" len="lg"/>
        </a:ln>
      </xdr:spPr>
    </xdr:sp>
    <xdr:clientData/>
  </xdr:twoCellAnchor>
  <xdr:twoCellAnchor>
    <xdr:from>
      <xdr:col>8</xdr:col>
      <xdr:colOff>488950</xdr:colOff>
      <xdr:row>98</xdr:row>
      <xdr:rowOff>133350</xdr:rowOff>
    </xdr:from>
    <xdr:to>
      <xdr:col>8</xdr:col>
      <xdr:colOff>488950</xdr:colOff>
      <xdr:row>102</xdr:row>
      <xdr:rowOff>95250</xdr:rowOff>
    </xdr:to>
    <xdr:sp macro="" textlink="">
      <xdr:nvSpPr>
        <xdr:cNvPr id="5501617" name="Line 282">
          <a:extLst>
            <a:ext uri="{FF2B5EF4-FFF2-40B4-BE49-F238E27FC236}">
              <a16:creationId xmlns:a16="http://schemas.microsoft.com/office/drawing/2014/main" id="{00000000-0008-0000-0700-0000B1F25300}"/>
            </a:ext>
          </a:extLst>
        </xdr:cNvPr>
        <xdr:cNvSpPr>
          <a:spLocks noChangeShapeType="1"/>
        </xdr:cNvSpPr>
      </xdr:nvSpPr>
      <xdr:spPr bwMode="auto">
        <a:xfrm>
          <a:off x="7080250" y="16440150"/>
          <a:ext cx="0" cy="628650"/>
        </a:xfrm>
        <a:prstGeom prst="line">
          <a:avLst/>
        </a:prstGeom>
        <a:noFill/>
        <a:ln w="6350">
          <a:solidFill>
            <a:srgbClr val="000000"/>
          </a:solidFill>
          <a:round/>
          <a:headEnd type="triangle" w="sm" len="lg"/>
          <a:tailEnd type="triangle" w="sm" len="lg"/>
        </a:ln>
      </xdr:spPr>
    </xdr:sp>
    <xdr:clientData/>
  </xdr:twoCellAnchor>
  <xdr:twoCellAnchor>
    <xdr:from>
      <xdr:col>8</xdr:col>
      <xdr:colOff>488950</xdr:colOff>
      <xdr:row>93</xdr:row>
      <xdr:rowOff>63500</xdr:rowOff>
    </xdr:from>
    <xdr:to>
      <xdr:col>8</xdr:col>
      <xdr:colOff>488950</xdr:colOff>
      <xdr:row>98</xdr:row>
      <xdr:rowOff>133350</xdr:rowOff>
    </xdr:to>
    <xdr:sp macro="" textlink="">
      <xdr:nvSpPr>
        <xdr:cNvPr id="5501618" name="Line 283">
          <a:extLst>
            <a:ext uri="{FF2B5EF4-FFF2-40B4-BE49-F238E27FC236}">
              <a16:creationId xmlns:a16="http://schemas.microsoft.com/office/drawing/2014/main" id="{00000000-0008-0000-0700-0000B2F25300}"/>
            </a:ext>
          </a:extLst>
        </xdr:cNvPr>
        <xdr:cNvSpPr>
          <a:spLocks noChangeShapeType="1"/>
        </xdr:cNvSpPr>
      </xdr:nvSpPr>
      <xdr:spPr bwMode="auto">
        <a:xfrm>
          <a:off x="7080250" y="15557500"/>
          <a:ext cx="0" cy="882650"/>
        </a:xfrm>
        <a:prstGeom prst="line">
          <a:avLst/>
        </a:prstGeom>
        <a:noFill/>
        <a:ln w="6350">
          <a:solidFill>
            <a:srgbClr val="000000"/>
          </a:solidFill>
          <a:round/>
          <a:headEnd type="triangle" w="sm" len="lg"/>
          <a:tailEnd type="triangle" w="sm" len="lg"/>
        </a:ln>
      </xdr:spPr>
    </xdr:sp>
    <xdr:clientData/>
  </xdr:twoCellAnchor>
  <xdr:twoCellAnchor>
    <xdr:from>
      <xdr:col>8</xdr:col>
      <xdr:colOff>0</xdr:colOff>
      <xdr:row>102</xdr:row>
      <xdr:rowOff>95250</xdr:rowOff>
    </xdr:from>
    <xdr:to>
      <xdr:col>8</xdr:col>
      <xdr:colOff>0</xdr:colOff>
      <xdr:row>103</xdr:row>
      <xdr:rowOff>0</xdr:rowOff>
    </xdr:to>
    <xdr:sp macro="" textlink="">
      <xdr:nvSpPr>
        <xdr:cNvPr id="5501619" name="Line 284">
          <a:extLst>
            <a:ext uri="{FF2B5EF4-FFF2-40B4-BE49-F238E27FC236}">
              <a16:creationId xmlns:a16="http://schemas.microsoft.com/office/drawing/2014/main" id="{00000000-0008-0000-0700-0000B3F25300}"/>
            </a:ext>
          </a:extLst>
        </xdr:cNvPr>
        <xdr:cNvSpPr>
          <a:spLocks noChangeShapeType="1"/>
        </xdr:cNvSpPr>
      </xdr:nvSpPr>
      <xdr:spPr bwMode="auto">
        <a:xfrm flipV="1">
          <a:off x="6610350" y="17068800"/>
          <a:ext cx="0" cy="69850"/>
        </a:xfrm>
        <a:prstGeom prst="line">
          <a:avLst/>
        </a:prstGeom>
        <a:noFill/>
        <a:ln w="6350">
          <a:solidFill>
            <a:srgbClr val="000000"/>
          </a:solidFill>
          <a:round/>
          <a:headEnd/>
          <a:tailEnd/>
        </a:ln>
      </xdr:spPr>
    </xdr:sp>
    <xdr:clientData/>
  </xdr:twoCellAnchor>
  <xdr:twoCellAnchor>
    <xdr:from>
      <xdr:col>6</xdr:col>
      <xdr:colOff>1428750</xdr:colOff>
      <xdr:row>99</xdr:row>
      <xdr:rowOff>139700</xdr:rowOff>
    </xdr:from>
    <xdr:to>
      <xdr:col>6</xdr:col>
      <xdr:colOff>1428750</xdr:colOff>
      <xdr:row>103</xdr:row>
      <xdr:rowOff>0</xdr:rowOff>
    </xdr:to>
    <xdr:sp macro="" textlink="">
      <xdr:nvSpPr>
        <xdr:cNvPr id="5501620" name="Line 285">
          <a:extLst>
            <a:ext uri="{FF2B5EF4-FFF2-40B4-BE49-F238E27FC236}">
              <a16:creationId xmlns:a16="http://schemas.microsoft.com/office/drawing/2014/main" id="{00000000-0008-0000-0700-0000B4F25300}"/>
            </a:ext>
          </a:extLst>
        </xdr:cNvPr>
        <xdr:cNvSpPr>
          <a:spLocks noChangeShapeType="1"/>
        </xdr:cNvSpPr>
      </xdr:nvSpPr>
      <xdr:spPr bwMode="auto">
        <a:xfrm flipH="1" flipV="1">
          <a:off x="5708650" y="16605250"/>
          <a:ext cx="0" cy="533400"/>
        </a:xfrm>
        <a:prstGeom prst="line">
          <a:avLst/>
        </a:prstGeom>
        <a:noFill/>
        <a:ln w="6350">
          <a:solidFill>
            <a:srgbClr val="000000"/>
          </a:solidFill>
          <a:round/>
          <a:headEnd/>
          <a:tailEnd/>
        </a:ln>
      </xdr:spPr>
    </xdr:sp>
    <xdr:clientData/>
  </xdr:twoCellAnchor>
  <xdr:twoCellAnchor>
    <xdr:from>
      <xdr:col>6</xdr:col>
      <xdr:colOff>1422400</xdr:colOff>
      <xdr:row>103</xdr:row>
      <xdr:rowOff>0</xdr:rowOff>
    </xdr:from>
    <xdr:to>
      <xdr:col>8</xdr:col>
      <xdr:colOff>0</xdr:colOff>
      <xdr:row>103</xdr:row>
      <xdr:rowOff>0</xdr:rowOff>
    </xdr:to>
    <xdr:sp macro="" textlink="">
      <xdr:nvSpPr>
        <xdr:cNvPr id="5501621" name="Line 286">
          <a:extLst>
            <a:ext uri="{FF2B5EF4-FFF2-40B4-BE49-F238E27FC236}">
              <a16:creationId xmlns:a16="http://schemas.microsoft.com/office/drawing/2014/main" id="{00000000-0008-0000-0700-0000B5F25300}"/>
            </a:ext>
          </a:extLst>
        </xdr:cNvPr>
        <xdr:cNvSpPr>
          <a:spLocks noChangeShapeType="1"/>
        </xdr:cNvSpPr>
      </xdr:nvSpPr>
      <xdr:spPr bwMode="auto">
        <a:xfrm>
          <a:off x="5702300" y="17138650"/>
          <a:ext cx="908050" cy="0"/>
        </a:xfrm>
        <a:prstGeom prst="line">
          <a:avLst/>
        </a:prstGeom>
        <a:noFill/>
        <a:ln w="6350">
          <a:solidFill>
            <a:srgbClr val="000000"/>
          </a:solidFill>
          <a:round/>
          <a:headEnd type="triangle" w="sm" len="lg"/>
          <a:tailEnd type="triangle" w="sm" len="lg"/>
        </a:ln>
      </xdr:spPr>
    </xdr:sp>
    <xdr:clientData/>
  </xdr:twoCellAnchor>
  <xdr:twoCellAnchor>
    <xdr:from>
      <xdr:col>6</xdr:col>
      <xdr:colOff>685800</xdr:colOff>
      <xdr:row>89</xdr:row>
      <xdr:rowOff>69850</xdr:rowOff>
    </xdr:from>
    <xdr:to>
      <xdr:col>6</xdr:col>
      <xdr:colOff>1695450</xdr:colOff>
      <xdr:row>89</xdr:row>
      <xdr:rowOff>69850</xdr:rowOff>
    </xdr:to>
    <xdr:sp macro="" textlink="">
      <xdr:nvSpPr>
        <xdr:cNvPr id="5501622" name="Line 287">
          <a:extLst>
            <a:ext uri="{FF2B5EF4-FFF2-40B4-BE49-F238E27FC236}">
              <a16:creationId xmlns:a16="http://schemas.microsoft.com/office/drawing/2014/main" id="{00000000-0008-0000-0700-0000B6F25300}"/>
            </a:ext>
          </a:extLst>
        </xdr:cNvPr>
        <xdr:cNvSpPr>
          <a:spLocks noChangeShapeType="1"/>
        </xdr:cNvSpPr>
      </xdr:nvSpPr>
      <xdr:spPr bwMode="auto">
        <a:xfrm>
          <a:off x="4965700" y="14916150"/>
          <a:ext cx="1009650" cy="0"/>
        </a:xfrm>
        <a:prstGeom prst="line">
          <a:avLst/>
        </a:prstGeom>
        <a:noFill/>
        <a:ln w="3175">
          <a:solidFill>
            <a:srgbClr val="92D050"/>
          </a:solidFill>
          <a:prstDash val="sysDot"/>
          <a:round/>
          <a:headEnd type="triangle" w="sm" len="sm"/>
          <a:tailEnd type="triangle" w="sm" len="sm"/>
        </a:ln>
      </xdr:spPr>
    </xdr:sp>
    <xdr:clientData/>
  </xdr:twoCellAnchor>
  <xdr:twoCellAnchor>
    <xdr:from>
      <xdr:col>6</xdr:col>
      <xdr:colOff>990600</xdr:colOff>
      <xdr:row>93</xdr:row>
      <xdr:rowOff>25400</xdr:rowOff>
    </xdr:from>
    <xdr:to>
      <xdr:col>6</xdr:col>
      <xdr:colOff>1397000</xdr:colOff>
      <xdr:row>93</xdr:row>
      <xdr:rowOff>25400</xdr:rowOff>
    </xdr:to>
    <xdr:sp macro="" textlink="">
      <xdr:nvSpPr>
        <xdr:cNvPr id="5501623" name="Line 288">
          <a:extLst>
            <a:ext uri="{FF2B5EF4-FFF2-40B4-BE49-F238E27FC236}">
              <a16:creationId xmlns:a16="http://schemas.microsoft.com/office/drawing/2014/main" id="{00000000-0008-0000-0700-0000B7F25300}"/>
            </a:ext>
          </a:extLst>
        </xdr:cNvPr>
        <xdr:cNvSpPr>
          <a:spLocks noChangeShapeType="1"/>
        </xdr:cNvSpPr>
      </xdr:nvSpPr>
      <xdr:spPr bwMode="auto">
        <a:xfrm>
          <a:off x="5270500" y="15519400"/>
          <a:ext cx="406400" cy="0"/>
        </a:xfrm>
        <a:prstGeom prst="line">
          <a:avLst/>
        </a:prstGeom>
        <a:noFill/>
        <a:ln w="3175">
          <a:solidFill>
            <a:srgbClr val="92D050"/>
          </a:solidFill>
          <a:prstDash val="sysDot"/>
          <a:round/>
          <a:headEnd type="triangle" w="sm" len="sm"/>
          <a:tailEnd type="triangle" w="sm" len="sm"/>
        </a:ln>
      </xdr:spPr>
    </xdr:sp>
    <xdr:clientData/>
  </xdr:twoCellAnchor>
  <xdr:twoCellAnchor>
    <xdr:from>
      <xdr:col>6</xdr:col>
      <xdr:colOff>850900</xdr:colOff>
      <xdr:row>87</xdr:row>
      <xdr:rowOff>57150</xdr:rowOff>
    </xdr:from>
    <xdr:to>
      <xdr:col>8</xdr:col>
      <xdr:colOff>44450</xdr:colOff>
      <xdr:row>87</xdr:row>
      <xdr:rowOff>57150</xdr:rowOff>
    </xdr:to>
    <xdr:sp macro="" textlink="">
      <xdr:nvSpPr>
        <xdr:cNvPr id="5501624" name="Line 289">
          <a:extLst>
            <a:ext uri="{FF2B5EF4-FFF2-40B4-BE49-F238E27FC236}">
              <a16:creationId xmlns:a16="http://schemas.microsoft.com/office/drawing/2014/main" id="{00000000-0008-0000-0700-0000B8F25300}"/>
            </a:ext>
          </a:extLst>
        </xdr:cNvPr>
        <xdr:cNvSpPr>
          <a:spLocks noChangeShapeType="1"/>
        </xdr:cNvSpPr>
      </xdr:nvSpPr>
      <xdr:spPr bwMode="auto">
        <a:xfrm>
          <a:off x="5130800" y="14579600"/>
          <a:ext cx="1524000" cy="0"/>
        </a:xfrm>
        <a:prstGeom prst="line">
          <a:avLst/>
        </a:prstGeom>
        <a:noFill/>
        <a:ln w="6350">
          <a:solidFill>
            <a:srgbClr val="92D050"/>
          </a:solidFill>
          <a:round/>
          <a:headEnd/>
          <a:tailEnd/>
        </a:ln>
      </xdr:spPr>
    </xdr:sp>
    <xdr:clientData/>
  </xdr:twoCellAnchor>
  <xdr:twoCellAnchor>
    <xdr:from>
      <xdr:col>6</xdr:col>
      <xdr:colOff>698500</xdr:colOff>
      <xdr:row>88</xdr:row>
      <xdr:rowOff>57150</xdr:rowOff>
    </xdr:from>
    <xdr:to>
      <xdr:col>8</xdr:col>
      <xdr:colOff>57150</xdr:colOff>
      <xdr:row>88</xdr:row>
      <xdr:rowOff>57150</xdr:rowOff>
    </xdr:to>
    <xdr:sp macro="" textlink="">
      <xdr:nvSpPr>
        <xdr:cNvPr id="5501625" name="Line 290">
          <a:extLst>
            <a:ext uri="{FF2B5EF4-FFF2-40B4-BE49-F238E27FC236}">
              <a16:creationId xmlns:a16="http://schemas.microsoft.com/office/drawing/2014/main" id="{00000000-0008-0000-0700-0000B9F25300}"/>
            </a:ext>
          </a:extLst>
        </xdr:cNvPr>
        <xdr:cNvSpPr>
          <a:spLocks noChangeShapeType="1"/>
        </xdr:cNvSpPr>
      </xdr:nvSpPr>
      <xdr:spPr bwMode="auto">
        <a:xfrm>
          <a:off x="4978400" y="14738350"/>
          <a:ext cx="1689100" cy="0"/>
        </a:xfrm>
        <a:prstGeom prst="line">
          <a:avLst/>
        </a:prstGeom>
        <a:noFill/>
        <a:ln w="6350">
          <a:solidFill>
            <a:srgbClr val="92D050"/>
          </a:solidFill>
          <a:round/>
          <a:headEnd/>
          <a:tailEnd/>
        </a:ln>
      </xdr:spPr>
    </xdr:sp>
    <xdr:clientData/>
  </xdr:twoCellAnchor>
  <xdr:twoCellAnchor>
    <xdr:from>
      <xdr:col>6</xdr:col>
      <xdr:colOff>698500</xdr:colOff>
      <xdr:row>90</xdr:row>
      <xdr:rowOff>139700</xdr:rowOff>
    </xdr:from>
    <xdr:to>
      <xdr:col>8</xdr:col>
      <xdr:colOff>69850</xdr:colOff>
      <xdr:row>90</xdr:row>
      <xdr:rowOff>139700</xdr:rowOff>
    </xdr:to>
    <xdr:sp macro="" textlink="">
      <xdr:nvSpPr>
        <xdr:cNvPr id="5501626" name="Line 291">
          <a:extLst>
            <a:ext uri="{FF2B5EF4-FFF2-40B4-BE49-F238E27FC236}">
              <a16:creationId xmlns:a16="http://schemas.microsoft.com/office/drawing/2014/main" id="{00000000-0008-0000-0700-0000BAF25300}"/>
            </a:ext>
          </a:extLst>
        </xdr:cNvPr>
        <xdr:cNvSpPr>
          <a:spLocks noChangeShapeType="1"/>
        </xdr:cNvSpPr>
      </xdr:nvSpPr>
      <xdr:spPr bwMode="auto">
        <a:xfrm>
          <a:off x="4978400" y="15157450"/>
          <a:ext cx="1701800" cy="0"/>
        </a:xfrm>
        <a:prstGeom prst="line">
          <a:avLst/>
        </a:prstGeom>
        <a:noFill/>
        <a:ln w="6350">
          <a:solidFill>
            <a:srgbClr val="92D050"/>
          </a:solidFill>
          <a:round/>
          <a:headEnd/>
          <a:tailEnd/>
        </a:ln>
      </xdr:spPr>
    </xdr:sp>
    <xdr:clientData/>
  </xdr:twoCellAnchor>
  <xdr:twoCellAnchor>
    <xdr:from>
      <xdr:col>6</xdr:col>
      <xdr:colOff>977900</xdr:colOff>
      <xdr:row>92</xdr:row>
      <xdr:rowOff>44450</xdr:rowOff>
    </xdr:from>
    <xdr:to>
      <xdr:col>8</xdr:col>
      <xdr:colOff>44450</xdr:colOff>
      <xdr:row>92</xdr:row>
      <xdr:rowOff>44450</xdr:rowOff>
    </xdr:to>
    <xdr:sp macro="" textlink="">
      <xdr:nvSpPr>
        <xdr:cNvPr id="5501627" name="Line 292">
          <a:extLst>
            <a:ext uri="{FF2B5EF4-FFF2-40B4-BE49-F238E27FC236}">
              <a16:creationId xmlns:a16="http://schemas.microsoft.com/office/drawing/2014/main" id="{00000000-0008-0000-0700-0000BBF25300}"/>
            </a:ext>
          </a:extLst>
        </xdr:cNvPr>
        <xdr:cNvSpPr>
          <a:spLocks noChangeShapeType="1"/>
        </xdr:cNvSpPr>
      </xdr:nvSpPr>
      <xdr:spPr bwMode="auto">
        <a:xfrm>
          <a:off x="5257800" y="15379700"/>
          <a:ext cx="1397000" cy="0"/>
        </a:xfrm>
        <a:prstGeom prst="line">
          <a:avLst/>
        </a:prstGeom>
        <a:noFill/>
        <a:ln w="6350">
          <a:solidFill>
            <a:srgbClr val="92D050"/>
          </a:solidFill>
          <a:round/>
          <a:headEnd/>
          <a:tailEnd/>
        </a:ln>
      </xdr:spPr>
    </xdr:sp>
    <xdr:clientData/>
  </xdr:twoCellAnchor>
  <xdr:twoCellAnchor>
    <xdr:from>
      <xdr:col>6</xdr:col>
      <xdr:colOff>1790700</xdr:colOff>
      <xdr:row>80</xdr:row>
      <xdr:rowOff>0</xdr:rowOff>
    </xdr:from>
    <xdr:to>
      <xdr:col>6</xdr:col>
      <xdr:colOff>1790700</xdr:colOff>
      <xdr:row>87</xdr:row>
      <xdr:rowOff>63500</xdr:rowOff>
    </xdr:to>
    <xdr:sp macro="" textlink="">
      <xdr:nvSpPr>
        <xdr:cNvPr id="5501628" name="Line 293">
          <a:extLst>
            <a:ext uri="{FF2B5EF4-FFF2-40B4-BE49-F238E27FC236}">
              <a16:creationId xmlns:a16="http://schemas.microsoft.com/office/drawing/2014/main" id="{00000000-0008-0000-0700-0000BCF25300}"/>
            </a:ext>
          </a:extLst>
        </xdr:cNvPr>
        <xdr:cNvSpPr>
          <a:spLocks noChangeShapeType="1"/>
        </xdr:cNvSpPr>
      </xdr:nvSpPr>
      <xdr:spPr bwMode="auto">
        <a:xfrm>
          <a:off x="6070600" y="13354050"/>
          <a:ext cx="0" cy="1231900"/>
        </a:xfrm>
        <a:prstGeom prst="line">
          <a:avLst/>
        </a:prstGeom>
        <a:noFill/>
        <a:ln w="9525">
          <a:solidFill>
            <a:srgbClr val="92D050"/>
          </a:solidFill>
          <a:prstDash val="sysDot"/>
          <a:round/>
          <a:headEnd type="triangle" w="sm" len="sm"/>
          <a:tailEnd type="triangle" w="sm" len="sm"/>
        </a:ln>
      </xdr:spPr>
    </xdr:sp>
    <xdr:clientData/>
  </xdr:twoCellAnchor>
  <xdr:twoCellAnchor>
    <xdr:from>
      <xdr:col>7</xdr:col>
      <xdr:colOff>190500</xdr:colOff>
      <xdr:row>80</xdr:row>
      <xdr:rowOff>0</xdr:rowOff>
    </xdr:from>
    <xdr:to>
      <xdr:col>7</xdr:col>
      <xdr:colOff>190500</xdr:colOff>
      <xdr:row>90</xdr:row>
      <xdr:rowOff>133350</xdr:rowOff>
    </xdr:to>
    <xdr:sp macro="" textlink="">
      <xdr:nvSpPr>
        <xdr:cNvPr id="5501629" name="Line 294">
          <a:extLst>
            <a:ext uri="{FF2B5EF4-FFF2-40B4-BE49-F238E27FC236}">
              <a16:creationId xmlns:a16="http://schemas.microsoft.com/office/drawing/2014/main" id="{00000000-0008-0000-0700-0000BDF25300}"/>
            </a:ext>
          </a:extLst>
        </xdr:cNvPr>
        <xdr:cNvSpPr>
          <a:spLocks noChangeShapeType="1"/>
        </xdr:cNvSpPr>
      </xdr:nvSpPr>
      <xdr:spPr bwMode="auto">
        <a:xfrm>
          <a:off x="6330950" y="13354050"/>
          <a:ext cx="0" cy="1797050"/>
        </a:xfrm>
        <a:prstGeom prst="line">
          <a:avLst/>
        </a:prstGeom>
        <a:noFill/>
        <a:ln w="9525">
          <a:solidFill>
            <a:srgbClr val="92D050"/>
          </a:solidFill>
          <a:prstDash val="sysDot"/>
          <a:round/>
          <a:headEnd type="triangle" w="sm" len="sm"/>
          <a:tailEnd type="triangle" w="sm" len="sm"/>
        </a:ln>
      </xdr:spPr>
    </xdr:sp>
    <xdr:clientData/>
  </xdr:twoCellAnchor>
  <xdr:twoCellAnchor>
    <xdr:from>
      <xdr:col>8</xdr:col>
      <xdr:colOff>44450</xdr:colOff>
      <xdr:row>87</xdr:row>
      <xdr:rowOff>57150</xdr:rowOff>
    </xdr:from>
    <xdr:to>
      <xdr:col>8</xdr:col>
      <xdr:colOff>44450</xdr:colOff>
      <xdr:row>88</xdr:row>
      <xdr:rowOff>57150</xdr:rowOff>
    </xdr:to>
    <xdr:sp macro="" textlink="">
      <xdr:nvSpPr>
        <xdr:cNvPr id="5501630" name="Line 295">
          <a:extLst>
            <a:ext uri="{FF2B5EF4-FFF2-40B4-BE49-F238E27FC236}">
              <a16:creationId xmlns:a16="http://schemas.microsoft.com/office/drawing/2014/main" id="{00000000-0008-0000-0700-0000BEF25300}"/>
            </a:ext>
          </a:extLst>
        </xdr:cNvPr>
        <xdr:cNvSpPr>
          <a:spLocks noChangeShapeType="1"/>
        </xdr:cNvSpPr>
      </xdr:nvSpPr>
      <xdr:spPr bwMode="auto">
        <a:xfrm>
          <a:off x="6654800" y="14579600"/>
          <a:ext cx="0" cy="158750"/>
        </a:xfrm>
        <a:prstGeom prst="line">
          <a:avLst/>
        </a:prstGeom>
        <a:noFill/>
        <a:ln w="3175">
          <a:solidFill>
            <a:srgbClr val="92D050"/>
          </a:solidFill>
          <a:prstDash val="sysDot"/>
          <a:round/>
          <a:headEnd type="triangle" w="sm" len="sm"/>
          <a:tailEnd type="triangle" w="sm" len="sm"/>
        </a:ln>
      </xdr:spPr>
    </xdr:sp>
    <xdr:clientData/>
  </xdr:twoCellAnchor>
  <xdr:twoCellAnchor>
    <xdr:from>
      <xdr:col>8</xdr:col>
      <xdr:colOff>44450</xdr:colOff>
      <xdr:row>90</xdr:row>
      <xdr:rowOff>139700</xdr:rowOff>
    </xdr:from>
    <xdr:to>
      <xdr:col>8</xdr:col>
      <xdr:colOff>44450</xdr:colOff>
      <xdr:row>92</xdr:row>
      <xdr:rowOff>44450</xdr:rowOff>
    </xdr:to>
    <xdr:sp macro="" textlink="">
      <xdr:nvSpPr>
        <xdr:cNvPr id="5501631" name="Line 296">
          <a:extLst>
            <a:ext uri="{FF2B5EF4-FFF2-40B4-BE49-F238E27FC236}">
              <a16:creationId xmlns:a16="http://schemas.microsoft.com/office/drawing/2014/main" id="{00000000-0008-0000-0700-0000BFF25300}"/>
            </a:ext>
          </a:extLst>
        </xdr:cNvPr>
        <xdr:cNvSpPr>
          <a:spLocks noChangeShapeType="1"/>
        </xdr:cNvSpPr>
      </xdr:nvSpPr>
      <xdr:spPr bwMode="auto">
        <a:xfrm>
          <a:off x="6654800" y="15157450"/>
          <a:ext cx="0" cy="222250"/>
        </a:xfrm>
        <a:prstGeom prst="line">
          <a:avLst/>
        </a:prstGeom>
        <a:noFill/>
        <a:ln w="9525">
          <a:solidFill>
            <a:srgbClr val="92D050"/>
          </a:solidFill>
          <a:prstDash val="sysDot"/>
          <a:round/>
          <a:headEnd type="triangle" w="sm" len="sm"/>
          <a:tailEnd type="triangle" w="sm" len="sm"/>
        </a:ln>
      </xdr:spPr>
    </xdr:sp>
    <xdr:clientData/>
  </xdr:twoCellAnchor>
  <xdr:twoCellAnchor>
    <xdr:from>
      <xdr:col>6</xdr:col>
      <xdr:colOff>0</xdr:colOff>
      <xdr:row>84</xdr:row>
      <xdr:rowOff>101600</xdr:rowOff>
    </xdr:from>
    <xdr:to>
      <xdr:col>6</xdr:col>
      <xdr:colOff>838200</xdr:colOff>
      <xdr:row>84</xdr:row>
      <xdr:rowOff>101600</xdr:rowOff>
    </xdr:to>
    <xdr:sp macro="" textlink="">
      <xdr:nvSpPr>
        <xdr:cNvPr id="5501632" name="Line 297">
          <a:extLst>
            <a:ext uri="{FF2B5EF4-FFF2-40B4-BE49-F238E27FC236}">
              <a16:creationId xmlns:a16="http://schemas.microsoft.com/office/drawing/2014/main" id="{00000000-0008-0000-0700-0000C0F25300}"/>
            </a:ext>
          </a:extLst>
        </xdr:cNvPr>
        <xdr:cNvSpPr>
          <a:spLocks noChangeShapeType="1"/>
        </xdr:cNvSpPr>
      </xdr:nvSpPr>
      <xdr:spPr bwMode="auto">
        <a:xfrm>
          <a:off x="4279900" y="14128750"/>
          <a:ext cx="838200" cy="0"/>
        </a:xfrm>
        <a:prstGeom prst="line">
          <a:avLst/>
        </a:prstGeom>
        <a:noFill/>
        <a:ln w="9525">
          <a:solidFill>
            <a:srgbClr val="000000"/>
          </a:solidFill>
          <a:round/>
          <a:headEnd/>
          <a:tailEnd/>
        </a:ln>
      </xdr:spPr>
    </xdr:sp>
    <xdr:clientData/>
  </xdr:twoCellAnchor>
  <xdr:twoCellAnchor>
    <xdr:from>
      <xdr:col>6</xdr:col>
      <xdr:colOff>0</xdr:colOff>
      <xdr:row>89</xdr:row>
      <xdr:rowOff>69850</xdr:rowOff>
    </xdr:from>
    <xdr:to>
      <xdr:col>6</xdr:col>
      <xdr:colOff>685800</xdr:colOff>
      <xdr:row>89</xdr:row>
      <xdr:rowOff>69850</xdr:rowOff>
    </xdr:to>
    <xdr:sp macro="" textlink="">
      <xdr:nvSpPr>
        <xdr:cNvPr id="5501633" name="Line 298">
          <a:extLst>
            <a:ext uri="{FF2B5EF4-FFF2-40B4-BE49-F238E27FC236}">
              <a16:creationId xmlns:a16="http://schemas.microsoft.com/office/drawing/2014/main" id="{00000000-0008-0000-0700-0000C1F25300}"/>
            </a:ext>
          </a:extLst>
        </xdr:cNvPr>
        <xdr:cNvSpPr>
          <a:spLocks noChangeShapeType="1"/>
        </xdr:cNvSpPr>
      </xdr:nvSpPr>
      <xdr:spPr bwMode="auto">
        <a:xfrm>
          <a:off x="4279900" y="14916150"/>
          <a:ext cx="685800" cy="0"/>
        </a:xfrm>
        <a:prstGeom prst="line">
          <a:avLst/>
        </a:prstGeom>
        <a:noFill/>
        <a:ln w="9525">
          <a:solidFill>
            <a:srgbClr val="92D050"/>
          </a:solidFill>
          <a:round/>
          <a:headEnd/>
          <a:tailEnd/>
        </a:ln>
      </xdr:spPr>
    </xdr:sp>
    <xdr:clientData/>
  </xdr:twoCellAnchor>
  <xdr:twoCellAnchor>
    <xdr:from>
      <xdr:col>6</xdr:col>
      <xdr:colOff>0</xdr:colOff>
      <xdr:row>93</xdr:row>
      <xdr:rowOff>25400</xdr:rowOff>
    </xdr:from>
    <xdr:to>
      <xdr:col>6</xdr:col>
      <xdr:colOff>971550</xdr:colOff>
      <xdr:row>93</xdr:row>
      <xdr:rowOff>25400</xdr:rowOff>
    </xdr:to>
    <xdr:sp macro="" textlink="">
      <xdr:nvSpPr>
        <xdr:cNvPr id="5501634" name="Line 299">
          <a:extLst>
            <a:ext uri="{FF2B5EF4-FFF2-40B4-BE49-F238E27FC236}">
              <a16:creationId xmlns:a16="http://schemas.microsoft.com/office/drawing/2014/main" id="{00000000-0008-0000-0700-0000C2F25300}"/>
            </a:ext>
          </a:extLst>
        </xdr:cNvPr>
        <xdr:cNvSpPr>
          <a:spLocks noChangeShapeType="1"/>
        </xdr:cNvSpPr>
      </xdr:nvSpPr>
      <xdr:spPr bwMode="auto">
        <a:xfrm>
          <a:off x="4279900" y="15519400"/>
          <a:ext cx="971550" cy="0"/>
        </a:xfrm>
        <a:prstGeom prst="line">
          <a:avLst/>
        </a:prstGeom>
        <a:noFill/>
        <a:ln w="9525">
          <a:solidFill>
            <a:srgbClr val="92D050"/>
          </a:solidFill>
          <a:round/>
          <a:headEnd/>
          <a:tailEnd/>
        </a:ln>
      </xdr:spPr>
    </xdr:sp>
    <xdr:clientData/>
  </xdr:twoCellAnchor>
  <xdr:twoCellAnchor>
    <xdr:from>
      <xdr:col>6</xdr:col>
      <xdr:colOff>0</xdr:colOff>
      <xdr:row>96</xdr:row>
      <xdr:rowOff>76200</xdr:rowOff>
    </xdr:from>
    <xdr:to>
      <xdr:col>6</xdr:col>
      <xdr:colOff>476250</xdr:colOff>
      <xdr:row>96</xdr:row>
      <xdr:rowOff>76200</xdr:rowOff>
    </xdr:to>
    <xdr:sp macro="" textlink="">
      <xdr:nvSpPr>
        <xdr:cNvPr id="5501635" name="Line 300">
          <a:extLst>
            <a:ext uri="{FF2B5EF4-FFF2-40B4-BE49-F238E27FC236}">
              <a16:creationId xmlns:a16="http://schemas.microsoft.com/office/drawing/2014/main" id="{00000000-0008-0000-0700-0000C3F25300}"/>
            </a:ext>
          </a:extLst>
        </xdr:cNvPr>
        <xdr:cNvSpPr>
          <a:spLocks noChangeShapeType="1"/>
        </xdr:cNvSpPr>
      </xdr:nvSpPr>
      <xdr:spPr bwMode="auto">
        <a:xfrm>
          <a:off x="4279900" y="16052800"/>
          <a:ext cx="476250" cy="0"/>
        </a:xfrm>
        <a:prstGeom prst="line">
          <a:avLst/>
        </a:prstGeom>
        <a:noFill/>
        <a:ln w="9525">
          <a:solidFill>
            <a:srgbClr val="000000"/>
          </a:solidFill>
          <a:round/>
          <a:headEnd/>
          <a:tailEnd/>
        </a:ln>
      </xdr:spPr>
    </xdr:sp>
    <xdr:clientData/>
  </xdr:twoCellAnchor>
  <xdr:twoCellAnchor>
    <xdr:from>
      <xdr:col>7</xdr:col>
      <xdr:colOff>152400</xdr:colOff>
      <xdr:row>103</xdr:row>
      <xdr:rowOff>0</xdr:rowOff>
    </xdr:from>
    <xdr:to>
      <xdr:col>7</xdr:col>
      <xdr:colOff>152400</xdr:colOff>
      <xdr:row>104</xdr:row>
      <xdr:rowOff>12700</xdr:rowOff>
    </xdr:to>
    <xdr:sp macro="" textlink="">
      <xdr:nvSpPr>
        <xdr:cNvPr id="5501636" name="Line 301">
          <a:extLst>
            <a:ext uri="{FF2B5EF4-FFF2-40B4-BE49-F238E27FC236}">
              <a16:creationId xmlns:a16="http://schemas.microsoft.com/office/drawing/2014/main" id="{00000000-0008-0000-0700-0000C4F25300}"/>
            </a:ext>
          </a:extLst>
        </xdr:cNvPr>
        <xdr:cNvSpPr>
          <a:spLocks noChangeShapeType="1"/>
        </xdr:cNvSpPr>
      </xdr:nvSpPr>
      <xdr:spPr bwMode="auto">
        <a:xfrm>
          <a:off x="6292850" y="17138650"/>
          <a:ext cx="0" cy="184150"/>
        </a:xfrm>
        <a:prstGeom prst="line">
          <a:avLst/>
        </a:prstGeom>
        <a:noFill/>
        <a:ln w="9525">
          <a:solidFill>
            <a:srgbClr val="000000"/>
          </a:solidFill>
          <a:round/>
          <a:headEnd/>
          <a:tailEnd/>
        </a:ln>
      </xdr:spPr>
    </xdr:sp>
    <xdr:clientData/>
  </xdr:twoCellAnchor>
  <xdr:twoCellAnchor>
    <xdr:from>
      <xdr:col>6</xdr:col>
      <xdr:colOff>0</xdr:colOff>
      <xdr:row>81</xdr:row>
      <xdr:rowOff>76200</xdr:rowOff>
    </xdr:from>
    <xdr:to>
      <xdr:col>6</xdr:col>
      <xdr:colOff>152400</xdr:colOff>
      <xdr:row>81</xdr:row>
      <xdr:rowOff>76200</xdr:rowOff>
    </xdr:to>
    <xdr:sp macro="" textlink="">
      <xdr:nvSpPr>
        <xdr:cNvPr id="5501637" name="Line 302">
          <a:extLst>
            <a:ext uri="{FF2B5EF4-FFF2-40B4-BE49-F238E27FC236}">
              <a16:creationId xmlns:a16="http://schemas.microsoft.com/office/drawing/2014/main" id="{00000000-0008-0000-0700-0000C5F25300}"/>
            </a:ext>
          </a:extLst>
        </xdr:cNvPr>
        <xdr:cNvSpPr>
          <a:spLocks noChangeShapeType="1"/>
        </xdr:cNvSpPr>
      </xdr:nvSpPr>
      <xdr:spPr bwMode="auto">
        <a:xfrm>
          <a:off x="4279900" y="13601700"/>
          <a:ext cx="152400" cy="0"/>
        </a:xfrm>
        <a:prstGeom prst="line">
          <a:avLst/>
        </a:prstGeom>
        <a:noFill/>
        <a:ln w="9525">
          <a:solidFill>
            <a:srgbClr val="000000"/>
          </a:solidFill>
          <a:round/>
          <a:headEnd/>
          <a:tailEnd/>
        </a:ln>
      </xdr:spPr>
    </xdr:sp>
    <xdr:clientData/>
  </xdr:twoCellAnchor>
  <xdr:twoCellAnchor>
    <xdr:from>
      <xdr:col>6</xdr:col>
      <xdr:colOff>1778000</xdr:colOff>
      <xdr:row>83</xdr:row>
      <xdr:rowOff>82550</xdr:rowOff>
    </xdr:from>
    <xdr:to>
      <xdr:col>9</xdr:col>
      <xdr:colOff>0</xdr:colOff>
      <xdr:row>83</xdr:row>
      <xdr:rowOff>82550</xdr:rowOff>
    </xdr:to>
    <xdr:sp macro="" textlink="">
      <xdr:nvSpPr>
        <xdr:cNvPr id="5501638" name="Line 303">
          <a:extLst>
            <a:ext uri="{FF2B5EF4-FFF2-40B4-BE49-F238E27FC236}">
              <a16:creationId xmlns:a16="http://schemas.microsoft.com/office/drawing/2014/main" id="{00000000-0008-0000-0700-0000C6F25300}"/>
            </a:ext>
          </a:extLst>
        </xdr:cNvPr>
        <xdr:cNvSpPr>
          <a:spLocks noChangeShapeType="1"/>
        </xdr:cNvSpPr>
      </xdr:nvSpPr>
      <xdr:spPr bwMode="auto">
        <a:xfrm flipV="1">
          <a:off x="6057900" y="13944600"/>
          <a:ext cx="1022350" cy="0"/>
        </a:xfrm>
        <a:prstGeom prst="line">
          <a:avLst/>
        </a:prstGeom>
        <a:noFill/>
        <a:ln w="9525">
          <a:solidFill>
            <a:srgbClr val="92D050"/>
          </a:solidFill>
          <a:prstDash val="sysDot"/>
          <a:round/>
          <a:headEnd/>
          <a:tailEnd/>
        </a:ln>
      </xdr:spPr>
    </xdr:sp>
    <xdr:clientData/>
  </xdr:twoCellAnchor>
  <xdr:twoCellAnchor>
    <xdr:from>
      <xdr:col>7</xdr:col>
      <xdr:colOff>190500</xdr:colOff>
      <xdr:row>85</xdr:row>
      <xdr:rowOff>76200</xdr:rowOff>
    </xdr:from>
    <xdr:to>
      <xdr:col>9</xdr:col>
      <xdr:colOff>0</xdr:colOff>
      <xdr:row>85</xdr:row>
      <xdr:rowOff>76200</xdr:rowOff>
    </xdr:to>
    <xdr:sp macro="" textlink="">
      <xdr:nvSpPr>
        <xdr:cNvPr id="5501639" name="Line 304">
          <a:extLst>
            <a:ext uri="{FF2B5EF4-FFF2-40B4-BE49-F238E27FC236}">
              <a16:creationId xmlns:a16="http://schemas.microsoft.com/office/drawing/2014/main" id="{00000000-0008-0000-0700-0000C7F25300}"/>
            </a:ext>
          </a:extLst>
        </xdr:cNvPr>
        <xdr:cNvSpPr>
          <a:spLocks noChangeShapeType="1"/>
        </xdr:cNvSpPr>
      </xdr:nvSpPr>
      <xdr:spPr bwMode="auto">
        <a:xfrm flipV="1">
          <a:off x="6330950" y="14274800"/>
          <a:ext cx="749300" cy="0"/>
        </a:xfrm>
        <a:prstGeom prst="line">
          <a:avLst/>
        </a:prstGeom>
        <a:noFill/>
        <a:ln w="9525">
          <a:solidFill>
            <a:srgbClr val="92D050"/>
          </a:solidFill>
          <a:prstDash val="sysDot"/>
          <a:round/>
          <a:headEnd/>
          <a:tailEnd/>
        </a:ln>
      </xdr:spPr>
    </xdr:sp>
    <xdr:clientData/>
  </xdr:twoCellAnchor>
  <xdr:twoCellAnchor>
    <xdr:from>
      <xdr:col>8</xdr:col>
      <xdr:colOff>44450</xdr:colOff>
      <xdr:row>87</xdr:row>
      <xdr:rowOff>133350</xdr:rowOff>
    </xdr:from>
    <xdr:to>
      <xdr:col>9</xdr:col>
      <xdr:colOff>0</xdr:colOff>
      <xdr:row>87</xdr:row>
      <xdr:rowOff>133350</xdr:rowOff>
    </xdr:to>
    <xdr:sp macro="" textlink="">
      <xdr:nvSpPr>
        <xdr:cNvPr id="5501640" name="Line 305">
          <a:extLst>
            <a:ext uri="{FF2B5EF4-FFF2-40B4-BE49-F238E27FC236}">
              <a16:creationId xmlns:a16="http://schemas.microsoft.com/office/drawing/2014/main" id="{00000000-0008-0000-0700-0000C8F25300}"/>
            </a:ext>
          </a:extLst>
        </xdr:cNvPr>
        <xdr:cNvSpPr>
          <a:spLocks noChangeShapeType="1"/>
        </xdr:cNvSpPr>
      </xdr:nvSpPr>
      <xdr:spPr bwMode="auto">
        <a:xfrm flipV="1">
          <a:off x="6654800" y="14655800"/>
          <a:ext cx="425450" cy="0"/>
        </a:xfrm>
        <a:prstGeom prst="line">
          <a:avLst/>
        </a:prstGeom>
        <a:noFill/>
        <a:ln w="9525">
          <a:solidFill>
            <a:srgbClr val="92D050"/>
          </a:solidFill>
          <a:prstDash val="sysDot"/>
          <a:round/>
          <a:headEnd/>
          <a:tailEnd/>
        </a:ln>
      </xdr:spPr>
    </xdr:sp>
    <xdr:clientData/>
  </xdr:twoCellAnchor>
  <xdr:twoCellAnchor>
    <xdr:from>
      <xdr:col>8</xdr:col>
      <xdr:colOff>488950</xdr:colOff>
      <xdr:row>89</xdr:row>
      <xdr:rowOff>88900</xdr:rowOff>
    </xdr:from>
    <xdr:to>
      <xdr:col>9</xdr:col>
      <xdr:colOff>0</xdr:colOff>
      <xdr:row>89</xdr:row>
      <xdr:rowOff>88900</xdr:rowOff>
    </xdr:to>
    <xdr:sp macro="" textlink="">
      <xdr:nvSpPr>
        <xdr:cNvPr id="5501641" name="Line 307">
          <a:extLst>
            <a:ext uri="{FF2B5EF4-FFF2-40B4-BE49-F238E27FC236}">
              <a16:creationId xmlns:a16="http://schemas.microsoft.com/office/drawing/2014/main" id="{00000000-0008-0000-0700-0000C9F25300}"/>
            </a:ext>
          </a:extLst>
        </xdr:cNvPr>
        <xdr:cNvSpPr>
          <a:spLocks noChangeShapeType="1"/>
        </xdr:cNvSpPr>
      </xdr:nvSpPr>
      <xdr:spPr bwMode="auto">
        <a:xfrm flipV="1">
          <a:off x="7080250" y="14935200"/>
          <a:ext cx="0" cy="0"/>
        </a:xfrm>
        <a:prstGeom prst="line">
          <a:avLst/>
        </a:prstGeom>
        <a:noFill/>
        <a:ln w="9525">
          <a:solidFill>
            <a:srgbClr val="000000"/>
          </a:solidFill>
          <a:round/>
          <a:headEnd/>
          <a:tailEnd/>
        </a:ln>
      </xdr:spPr>
    </xdr:sp>
    <xdr:clientData/>
  </xdr:twoCellAnchor>
  <xdr:twoCellAnchor>
    <xdr:from>
      <xdr:col>8</xdr:col>
      <xdr:colOff>44450</xdr:colOff>
      <xdr:row>91</xdr:row>
      <xdr:rowOff>76200</xdr:rowOff>
    </xdr:from>
    <xdr:to>
      <xdr:col>9</xdr:col>
      <xdr:colOff>12700</xdr:colOff>
      <xdr:row>91</xdr:row>
      <xdr:rowOff>76200</xdr:rowOff>
    </xdr:to>
    <xdr:sp macro="" textlink="">
      <xdr:nvSpPr>
        <xdr:cNvPr id="5501642" name="Line 308">
          <a:extLst>
            <a:ext uri="{FF2B5EF4-FFF2-40B4-BE49-F238E27FC236}">
              <a16:creationId xmlns:a16="http://schemas.microsoft.com/office/drawing/2014/main" id="{00000000-0008-0000-0700-0000CAF25300}"/>
            </a:ext>
          </a:extLst>
        </xdr:cNvPr>
        <xdr:cNvSpPr>
          <a:spLocks noChangeShapeType="1"/>
        </xdr:cNvSpPr>
      </xdr:nvSpPr>
      <xdr:spPr bwMode="auto">
        <a:xfrm flipH="1" flipV="1">
          <a:off x="6654800" y="15252700"/>
          <a:ext cx="438150" cy="0"/>
        </a:xfrm>
        <a:prstGeom prst="line">
          <a:avLst/>
        </a:prstGeom>
        <a:noFill/>
        <a:ln w="9525">
          <a:solidFill>
            <a:srgbClr val="92D050"/>
          </a:solidFill>
          <a:prstDash val="sysDot"/>
          <a:round/>
          <a:headEnd type="none" w="sm" len="sm"/>
          <a:tailEnd type="none" w="sm" len="sm"/>
        </a:ln>
      </xdr:spPr>
    </xdr:sp>
    <xdr:clientData/>
  </xdr:twoCellAnchor>
  <xdr:twoCellAnchor>
    <xdr:from>
      <xdr:col>8</xdr:col>
      <xdr:colOff>488950</xdr:colOff>
      <xdr:row>96</xdr:row>
      <xdr:rowOff>76200</xdr:rowOff>
    </xdr:from>
    <xdr:to>
      <xdr:col>9</xdr:col>
      <xdr:colOff>0</xdr:colOff>
      <xdr:row>96</xdr:row>
      <xdr:rowOff>76200</xdr:rowOff>
    </xdr:to>
    <xdr:sp macro="" textlink="">
      <xdr:nvSpPr>
        <xdr:cNvPr id="5501643" name="Line 309">
          <a:extLst>
            <a:ext uri="{FF2B5EF4-FFF2-40B4-BE49-F238E27FC236}">
              <a16:creationId xmlns:a16="http://schemas.microsoft.com/office/drawing/2014/main" id="{00000000-0008-0000-0700-0000CBF25300}"/>
            </a:ext>
          </a:extLst>
        </xdr:cNvPr>
        <xdr:cNvSpPr>
          <a:spLocks noChangeShapeType="1"/>
        </xdr:cNvSpPr>
      </xdr:nvSpPr>
      <xdr:spPr bwMode="auto">
        <a:xfrm>
          <a:off x="7080250" y="16052800"/>
          <a:ext cx="0" cy="0"/>
        </a:xfrm>
        <a:prstGeom prst="line">
          <a:avLst/>
        </a:prstGeom>
        <a:noFill/>
        <a:ln w="9525">
          <a:solidFill>
            <a:srgbClr val="000000"/>
          </a:solidFill>
          <a:round/>
          <a:headEnd/>
          <a:tailEnd/>
        </a:ln>
      </xdr:spPr>
    </xdr:sp>
    <xdr:clientData/>
  </xdr:twoCellAnchor>
  <xdr:twoCellAnchor>
    <xdr:from>
      <xdr:col>8</xdr:col>
      <xdr:colOff>488950</xdr:colOff>
      <xdr:row>100</xdr:row>
      <xdr:rowOff>88900</xdr:rowOff>
    </xdr:from>
    <xdr:to>
      <xdr:col>9</xdr:col>
      <xdr:colOff>0</xdr:colOff>
      <xdr:row>100</xdr:row>
      <xdr:rowOff>88900</xdr:rowOff>
    </xdr:to>
    <xdr:sp macro="" textlink="">
      <xdr:nvSpPr>
        <xdr:cNvPr id="5501644" name="Line 310">
          <a:extLst>
            <a:ext uri="{FF2B5EF4-FFF2-40B4-BE49-F238E27FC236}">
              <a16:creationId xmlns:a16="http://schemas.microsoft.com/office/drawing/2014/main" id="{00000000-0008-0000-0700-0000CCF25300}"/>
            </a:ext>
          </a:extLst>
        </xdr:cNvPr>
        <xdr:cNvSpPr>
          <a:spLocks noChangeShapeType="1"/>
        </xdr:cNvSpPr>
      </xdr:nvSpPr>
      <xdr:spPr bwMode="auto">
        <a:xfrm>
          <a:off x="7080250" y="16725900"/>
          <a:ext cx="0" cy="0"/>
        </a:xfrm>
        <a:prstGeom prst="line">
          <a:avLst/>
        </a:prstGeom>
        <a:noFill/>
        <a:ln w="9525">
          <a:solidFill>
            <a:srgbClr val="000000"/>
          </a:solidFill>
          <a:round/>
          <a:headEnd/>
          <a:tailEnd/>
        </a:ln>
      </xdr:spPr>
    </xdr:sp>
    <xdr:clientData/>
  </xdr:twoCellAnchor>
  <xdr:twoCellAnchor>
    <xdr:from>
      <xdr:col>8</xdr:col>
      <xdr:colOff>222250</xdr:colOff>
      <xdr:row>89</xdr:row>
      <xdr:rowOff>88900</xdr:rowOff>
    </xdr:from>
    <xdr:to>
      <xdr:col>8</xdr:col>
      <xdr:colOff>463550</xdr:colOff>
      <xdr:row>89</xdr:row>
      <xdr:rowOff>88900</xdr:rowOff>
    </xdr:to>
    <xdr:sp macro="" textlink="">
      <xdr:nvSpPr>
        <xdr:cNvPr id="5501645" name="Line 278">
          <a:extLst>
            <a:ext uri="{FF2B5EF4-FFF2-40B4-BE49-F238E27FC236}">
              <a16:creationId xmlns:a16="http://schemas.microsoft.com/office/drawing/2014/main" id="{00000000-0008-0000-0700-0000CDF25300}"/>
            </a:ext>
          </a:extLst>
        </xdr:cNvPr>
        <xdr:cNvSpPr>
          <a:spLocks noChangeShapeType="1"/>
        </xdr:cNvSpPr>
      </xdr:nvSpPr>
      <xdr:spPr bwMode="auto">
        <a:xfrm>
          <a:off x="6832600" y="14935200"/>
          <a:ext cx="241300" cy="0"/>
        </a:xfrm>
        <a:prstGeom prst="line">
          <a:avLst/>
        </a:prstGeom>
        <a:noFill/>
        <a:ln w="6350">
          <a:solidFill>
            <a:srgbClr val="000000"/>
          </a:solidFill>
          <a:round/>
          <a:headEnd/>
          <a:tailEnd/>
        </a:ln>
      </xdr:spPr>
    </xdr:sp>
    <xdr:clientData/>
  </xdr:twoCellAnchor>
  <xdr:twoCellAnchor>
    <xdr:from>
      <xdr:col>17</xdr:col>
      <xdr:colOff>69850</xdr:colOff>
      <xdr:row>1</xdr:row>
      <xdr:rowOff>12700</xdr:rowOff>
    </xdr:from>
    <xdr:to>
      <xdr:col>19</xdr:col>
      <xdr:colOff>0</xdr:colOff>
      <xdr:row>31</xdr:row>
      <xdr:rowOff>101600</xdr:rowOff>
    </xdr:to>
    <xdr:grpSp>
      <xdr:nvGrpSpPr>
        <xdr:cNvPr id="5501646" name="Group 232">
          <a:extLst>
            <a:ext uri="{FF2B5EF4-FFF2-40B4-BE49-F238E27FC236}">
              <a16:creationId xmlns:a16="http://schemas.microsoft.com/office/drawing/2014/main" id="{00000000-0008-0000-0700-0000CEF25300}"/>
            </a:ext>
          </a:extLst>
        </xdr:cNvPr>
        <xdr:cNvGrpSpPr>
          <a:grpSpLocks/>
        </xdr:cNvGrpSpPr>
      </xdr:nvGrpSpPr>
      <xdr:grpSpPr bwMode="auto">
        <a:xfrm>
          <a:off x="12995275" y="184150"/>
          <a:ext cx="2082800" cy="5127625"/>
          <a:chOff x="3421" y="5379"/>
          <a:chExt cx="2289" cy="5759"/>
        </a:xfrm>
      </xdr:grpSpPr>
      <xdr:grpSp>
        <xdr:nvGrpSpPr>
          <xdr:cNvPr id="5501685" name="Group 233">
            <a:extLst>
              <a:ext uri="{FF2B5EF4-FFF2-40B4-BE49-F238E27FC236}">
                <a16:creationId xmlns:a16="http://schemas.microsoft.com/office/drawing/2014/main" id="{00000000-0008-0000-0700-0000F5F25300}"/>
              </a:ext>
            </a:extLst>
          </xdr:cNvPr>
          <xdr:cNvGrpSpPr>
            <a:grpSpLocks/>
          </xdr:cNvGrpSpPr>
        </xdr:nvGrpSpPr>
        <xdr:grpSpPr bwMode="auto">
          <a:xfrm>
            <a:off x="4047" y="5379"/>
            <a:ext cx="515" cy="4096"/>
            <a:chOff x="4047" y="5379"/>
            <a:chExt cx="515" cy="4096"/>
          </a:xfrm>
        </xdr:grpSpPr>
        <xdr:sp macro="" textlink="">
          <xdr:nvSpPr>
            <xdr:cNvPr id="5501703" name="Arc 234">
              <a:extLst>
                <a:ext uri="{FF2B5EF4-FFF2-40B4-BE49-F238E27FC236}">
                  <a16:creationId xmlns:a16="http://schemas.microsoft.com/office/drawing/2014/main" id="{00000000-0008-0000-0700-000007F35300}"/>
                </a:ext>
              </a:extLst>
            </xdr:cNvPr>
            <xdr:cNvSpPr>
              <a:spLocks/>
            </xdr:cNvSpPr>
          </xdr:nvSpPr>
          <xdr:spPr bwMode="auto">
            <a:xfrm flipH="1">
              <a:off x="4201" y="5379"/>
              <a:ext cx="361" cy="964"/>
            </a:xfrm>
            <a:custGeom>
              <a:avLst/>
              <a:gdLst>
                <a:gd name="T0" fmla="*/ 0 w 21600"/>
                <a:gd name="T1" fmla="*/ 0 h 21600"/>
                <a:gd name="T2" fmla="*/ 0 w 21600"/>
                <a:gd name="T3" fmla="*/ 0 h 21600"/>
                <a:gd name="T4" fmla="*/ 0 w 21600"/>
                <a:gd name="T5" fmla="*/ 0 h 21600"/>
                <a:gd name="T6" fmla="*/ 0 60000 65536"/>
                <a:gd name="T7" fmla="*/ 0 60000 65536"/>
                <a:gd name="T8" fmla="*/ 0 60000 65536"/>
                <a:gd name="T9" fmla="*/ 0 w 21600"/>
                <a:gd name="T10" fmla="*/ 0 h 21600"/>
                <a:gd name="T11" fmla="*/ 21600 w 21600"/>
                <a:gd name="T12" fmla="*/ 21600 h 21600"/>
              </a:gdLst>
              <a:ahLst/>
              <a:cxnLst>
                <a:cxn ang="T6">
                  <a:pos x="T0" y="T1"/>
                </a:cxn>
                <a:cxn ang="T7">
                  <a:pos x="T2" y="T3"/>
                </a:cxn>
                <a:cxn ang="T8">
                  <a:pos x="T4" y="T5"/>
                </a:cxn>
              </a:cxnLst>
              <a:rect l="T9" t="T10" r="T11" b="T12"/>
              <a:pathLst>
                <a:path w="21600" h="21600" fill="none" extrusionOk="0">
                  <a:moveTo>
                    <a:pt x="-1" y="0"/>
                  </a:moveTo>
                  <a:cubicBezTo>
                    <a:pt x="11929" y="0"/>
                    <a:pt x="21600" y="9670"/>
                    <a:pt x="21600" y="21600"/>
                  </a:cubicBezTo>
                </a:path>
                <a:path w="21600" h="21600" stroke="0" extrusionOk="0">
                  <a:moveTo>
                    <a:pt x="-1" y="0"/>
                  </a:moveTo>
                  <a:cubicBezTo>
                    <a:pt x="11929" y="0"/>
                    <a:pt x="21600" y="9670"/>
                    <a:pt x="21600" y="21600"/>
                  </a:cubicBezTo>
                  <a:lnTo>
                    <a:pt x="0" y="21600"/>
                  </a:lnTo>
                  <a:lnTo>
                    <a:pt x="-1" y="0"/>
                  </a:lnTo>
                  <a:close/>
                </a:path>
              </a:pathLst>
            </a:custGeom>
            <a:noFill/>
            <a:ln w="9525">
              <a:solidFill>
                <a:srgbClr val="00B0F0"/>
              </a:solidFill>
              <a:round/>
              <a:headEnd/>
              <a:tailEnd/>
            </a:ln>
          </xdr:spPr>
        </xdr:sp>
        <xdr:grpSp>
          <xdr:nvGrpSpPr>
            <xdr:cNvPr id="5501704" name="Group 235">
              <a:extLst>
                <a:ext uri="{FF2B5EF4-FFF2-40B4-BE49-F238E27FC236}">
                  <a16:creationId xmlns:a16="http://schemas.microsoft.com/office/drawing/2014/main" id="{00000000-0008-0000-0700-000008F35300}"/>
                </a:ext>
              </a:extLst>
            </xdr:cNvPr>
            <xdr:cNvGrpSpPr>
              <a:grpSpLocks/>
            </xdr:cNvGrpSpPr>
          </xdr:nvGrpSpPr>
          <xdr:grpSpPr bwMode="auto">
            <a:xfrm>
              <a:off x="4047" y="6306"/>
              <a:ext cx="285" cy="3169"/>
              <a:chOff x="4050" y="6306"/>
              <a:chExt cx="285" cy="3169"/>
            </a:xfrm>
          </xdr:grpSpPr>
          <xdr:sp macro="" textlink="">
            <xdr:nvSpPr>
              <xdr:cNvPr id="5501705" name="Line 236">
                <a:extLst>
                  <a:ext uri="{FF2B5EF4-FFF2-40B4-BE49-F238E27FC236}">
                    <a16:creationId xmlns:a16="http://schemas.microsoft.com/office/drawing/2014/main" id="{00000000-0008-0000-0700-000009F35300}"/>
                  </a:ext>
                </a:extLst>
              </xdr:cNvPr>
              <xdr:cNvSpPr>
                <a:spLocks noChangeShapeType="1"/>
              </xdr:cNvSpPr>
            </xdr:nvSpPr>
            <xdr:spPr bwMode="auto">
              <a:xfrm flipH="1">
                <a:off x="4202" y="6306"/>
                <a:ext cx="0" cy="936"/>
              </a:xfrm>
              <a:prstGeom prst="line">
                <a:avLst/>
              </a:prstGeom>
              <a:noFill/>
              <a:ln w="9525">
                <a:solidFill>
                  <a:srgbClr val="00B0F0"/>
                </a:solidFill>
                <a:round/>
                <a:headEnd/>
                <a:tailEnd/>
              </a:ln>
            </xdr:spPr>
          </xdr:sp>
          <xdr:sp macro="" textlink="">
            <xdr:nvSpPr>
              <xdr:cNvPr id="5501706" name="Line 237">
                <a:extLst>
                  <a:ext uri="{FF2B5EF4-FFF2-40B4-BE49-F238E27FC236}">
                    <a16:creationId xmlns:a16="http://schemas.microsoft.com/office/drawing/2014/main" id="{00000000-0008-0000-0700-00000AF35300}"/>
                  </a:ext>
                </a:extLst>
              </xdr:cNvPr>
              <xdr:cNvSpPr>
                <a:spLocks noChangeShapeType="1"/>
              </xdr:cNvSpPr>
            </xdr:nvSpPr>
            <xdr:spPr bwMode="auto">
              <a:xfrm flipH="1">
                <a:off x="4050" y="7242"/>
                <a:ext cx="152" cy="254"/>
              </a:xfrm>
              <a:prstGeom prst="line">
                <a:avLst/>
              </a:prstGeom>
              <a:noFill/>
              <a:ln w="9525">
                <a:solidFill>
                  <a:srgbClr val="00B0F0"/>
                </a:solidFill>
                <a:round/>
                <a:headEnd/>
                <a:tailEnd/>
              </a:ln>
            </xdr:spPr>
          </xdr:sp>
          <xdr:sp macro="" textlink="">
            <xdr:nvSpPr>
              <xdr:cNvPr id="5501707" name="Line 238">
                <a:extLst>
                  <a:ext uri="{FF2B5EF4-FFF2-40B4-BE49-F238E27FC236}">
                    <a16:creationId xmlns:a16="http://schemas.microsoft.com/office/drawing/2014/main" id="{00000000-0008-0000-0700-00000BF35300}"/>
                  </a:ext>
                </a:extLst>
              </xdr:cNvPr>
              <xdr:cNvSpPr>
                <a:spLocks noChangeShapeType="1"/>
              </xdr:cNvSpPr>
            </xdr:nvSpPr>
            <xdr:spPr bwMode="auto">
              <a:xfrm>
                <a:off x="4050" y="7496"/>
                <a:ext cx="0" cy="642"/>
              </a:xfrm>
              <a:prstGeom prst="line">
                <a:avLst/>
              </a:prstGeom>
              <a:noFill/>
              <a:ln w="9525">
                <a:solidFill>
                  <a:srgbClr val="00B0F0"/>
                </a:solidFill>
                <a:round/>
                <a:headEnd/>
                <a:tailEnd/>
              </a:ln>
            </xdr:spPr>
          </xdr:sp>
          <xdr:sp macro="" textlink="">
            <xdr:nvSpPr>
              <xdr:cNvPr id="5501708" name="Line 239">
                <a:extLst>
                  <a:ext uri="{FF2B5EF4-FFF2-40B4-BE49-F238E27FC236}">
                    <a16:creationId xmlns:a16="http://schemas.microsoft.com/office/drawing/2014/main" id="{00000000-0008-0000-0700-00000CF35300}"/>
                  </a:ext>
                </a:extLst>
              </xdr:cNvPr>
              <xdr:cNvSpPr>
                <a:spLocks noChangeShapeType="1"/>
              </xdr:cNvSpPr>
            </xdr:nvSpPr>
            <xdr:spPr bwMode="auto">
              <a:xfrm>
                <a:off x="4050" y="8138"/>
                <a:ext cx="285" cy="367"/>
              </a:xfrm>
              <a:prstGeom prst="line">
                <a:avLst/>
              </a:prstGeom>
              <a:noFill/>
              <a:ln w="9525">
                <a:solidFill>
                  <a:srgbClr val="00B0F0"/>
                </a:solidFill>
                <a:round/>
                <a:headEnd/>
                <a:tailEnd/>
              </a:ln>
            </xdr:spPr>
          </xdr:sp>
          <xdr:sp macro="" textlink="">
            <xdr:nvSpPr>
              <xdr:cNvPr id="5501709" name="Line 240">
                <a:extLst>
                  <a:ext uri="{FF2B5EF4-FFF2-40B4-BE49-F238E27FC236}">
                    <a16:creationId xmlns:a16="http://schemas.microsoft.com/office/drawing/2014/main" id="{00000000-0008-0000-0700-00000DF35300}"/>
                  </a:ext>
                </a:extLst>
              </xdr:cNvPr>
              <xdr:cNvSpPr>
                <a:spLocks noChangeShapeType="1"/>
              </xdr:cNvSpPr>
            </xdr:nvSpPr>
            <xdr:spPr bwMode="auto">
              <a:xfrm>
                <a:off x="4335" y="8505"/>
                <a:ext cx="0" cy="970"/>
              </a:xfrm>
              <a:prstGeom prst="line">
                <a:avLst/>
              </a:prstGeom>
              <a:noFill/>
              <a:ln w="9525">
                <a:solidFill>
                  <a:srgbClr val="00B0F0"/>
                </a:solidFill>
                <a:round/>
                <a:headEnd/>
                <a:tailEnd/>
              </a:ln>
            </xdr:spPr>
          </xdr:sp>
        </xdr:grpSp>
      </xdr:grpSp>
      <xdr:grpSp>
        <xdr:nvGrpSpPr>
          <xdr:cNvPr id="5501686" name="Group 241">
            <a:extLst>
              <a:ext uri="{FF2B5EF4-FFF2-40B4-BE49-F238E27FC236}">
                <a16:creationId xmlns:a16="http://schemas.microsoft.com/office/drawing/2014/main" id="{00000000-0008-0000-0700-0000F6F25300}"/>
              </a:ext>
            </a:extLst>
          </xdr:cNvPr>
          <xdr:cNvGrpSpPr>
            <a:grpSpLocks/>
          </xdr:cNvGrpSpPr>
        </xdr:nvGrpSpPr>
        <xdr:grpSpPr bwMode="auto">
          <a:xfrm flipH="1">
            <a:off x="4560" y="5379"/>
            <a:ext cx="515" cy="4096"/>
            <a:chOff x="4047" y="5379"/>
            <a:chExt cx="515" cy="4096"/>
          </a:xfrm>
        </xdr:grpSpPr>
        <xdr:sp macro="" textlink="">
          <xdr:nvSpPr>
            <xdr:cNvPr id="5501696" name="Arc 242">
              <a:extLst>
                <a:ext uri="{FF2B5EF4-FFF2-40B4-BE49-F238E27FC236}">
                  <a16:creationId xmlns:a16="http://schemas.microsoft.com/office/drawing/2014/main" id="{00000000-0008-0000-0700-000000F35300}"/>
                </a:ext>
              </a:extLst>
            </xdr:cNvPr>
            <xdr:cNvSpPr>
              <a:spLocks/>
            </xdr:cNvSpPr>
          </xdr:nvSpPr>
          <xdr:spPr bwMode="auto">
            <a:xfrm flipH="1">
              <a:off x="4201" y="5379"/>
              <a:ext cx="361" cy="964"/>
            </a:xfrm>
            <a:custGeom>
              <a:avLst/>
              <a:gdLst>
                <a:gd name="T0" fmla="*/ 0 w 21600"/>
                <a:gd name="T1" fmla="*/ 0 h 21600"/>
                <a:gd name="T2" fmla="*/ 0 w 21600"/>
                <a:gd name="T3" fmla="*/ 0 h 21600"/>
                <a:gd name="T4" fmla="*/ 0 w 21600"/>
                <a:gd name="T5" fmla="*/ 0 h 21600"/>
                <a:gd name="T6" fmla="*/ 0 60000 65536"/>
                <a:gd name="T7" fmla="*/ 0 60000 65536"/>
                <a:gd name="T8" fmla="*/ 0 60000 65536"/>
                <a:gd name="T9" fmla="*/ 0 w 21600"/>
                <a:gd name="T10" fmla="*/ 0 h 21600"/>
                <a:gd name="T11" fmla="*/ 21600 w 21600"/>
                <a:gd name="T12" fmla="*/ 21600 h 21600"/>
              </a:gdLst>
              <a:ahLst/>
              <a:cxnLst>
                <a:cxn ang="T6">
                  <a:pos x="T0" y="T1"/>
                </a:cxn>
                <a:cxn ang="T7">
                  <a:pos x="T2" y="T3"/>
                </a:cxn>
                <a:cxn ang="T8">
                  <a:pos x="T4" y="T5"/>
                </a:cxn>
              </a:cxnLst>
              <a:rect l="T9" t="T10" r="T11" b="T12"/>
              <a:pathLst>
                <a:path w="21600" h="21600" fill="none" extrusionOk="0">
                  <a:moveTo>
                    <a:pt x="-1" y="0"/>
                  </a:moveTo>
                  <a:cubicBezTo>
                    <a:pt x="11929" y="0"/>
                    <a:pt x="21600" y="9670"/>
                    <a:pt x="21600" y="21600"/>
                  </a:cubicBezTo>
                </a:path>
                <a:path w="21600" h="21600" stroke="0" extrusionOk="0">
                  <a:moveTo>
                    <a:pt x="-1" y="0"/>
                  </a:moveTo>
                  <a:cubicBezTo>
                    <a:pt x="11929" y="0"/>
                    <a:pt x="21600" y="9670"/>
                    <a:pt x="21600" y="21600"/>
                  </a:cubicBezTo>
                  <a:lnTo>
                    <a:pt x="0" y="21600"/>
                  </a:lnTo>
                  <a:lnTo>
                    <a:pt x="-1" y="0"/>
                  </a:lnTo>
                  <a:close/>
                </a:path>
              </a:pathLst>
            </a:custGeom>
            <a:noFill/>
            <a:ln w="9525">
              <a:solidFill>
                <a:srgbClr val="00B0F0"/>
              </a:solidFill>
              <a:round/>
              <a:headEnd/>
              <a:tailEnd/>
            </a:ln>
          </xdr:spPr>
        </xdr:sp>
        <xdr:grpSp>
          <xdr:nvGrpSpPr>
            <xdr:cNvPr id="5501697" name="Group 243">
              <a:extLst>
                <a:ext uri="{FF2B5EF4-FFF2-40B4-BE49-F238E27FC236}">
                  <a16:creationId xmlns:a16="http://schemas.microsoft.com/office/drawing/2014/main" id="{00000000-0008-0000-0700-000001F35300}"/>
                </a:ext>
              </a:extLst>
            </xdr:cNvPr>
            <xdr:cNvGrpSpPr>
              <a:grpSpLocks/>
            </xdr:cNvGrpSpPr>
          </xdr:nvGrpSpPr>
          <xdr:grpSpPr bwMode="auto">
            <a:xfrm>
              <a:off x="4047" y="6306"/>
              <a:ext cx="285" cy="3169"/>
              <a:chOff x="4050" y="6306"/>
              <a:chExt cx="285" cy="3169"/>
            </a:xfrm>
          </xdr:grpSpPr>
          <xdr:sp macro="" textlink="">
            <xdr:nvSpPr>
              <xdr:cNvPr id="5501698" name="Line 244">
                <a:extLst>
                  <a:ext uri="{FF2B5EF4-FFF2-40B4-BE49-F238E27FC236}">
                    <a16:creationId xmlns:a16="http://schemas.microsoft.com/office/drawing/2014/main" id="{00000000-0008-0000-0700-000002F35300}"/>
                  </a:ext>
                </a:extLst>
              </xdr:cNvPr>
              <xdr:cNvSpPr>
                <a:spLocks noChangeShapeType="1"/>
              </xdr:cNvSpPr>
            </xdr:nvSpPr>
            <xdr:spPr bwMode="auto">
              <a:xfrm flipH="1">
                <a:off x="4202" y="6306"/>
                <a:ext cx="0" cy="936"/>
              </a:xfrm>
              <a:prstGeom prst="line">
                <a:avLst/>
              </a:prstGeom>
              <a:noFill/>
              <a:ln w="9525">
                <a:solidFill>
                  <a:srgbClr val="00B0F0"/>
                </a:solidFill>
                <a:round/>
                <a:headEnd/>
                <a:tailEnd/>
              </a:ln>
            </xdr:spPr>
          </xdr:sp>
          <xdr:sp macro="" textlink="">
            <xdr:nvSpPr>
              <xdr:cNvPr id="5501699" name="Line 245">
                <a:extLst>
                  <a:ext uri="{FF2B5EF4-FFF2-40B4-BE49-F238E27FC236}">
                    <a16:creationId xmlns:a16="http://schemas.microsoft.com/office/drawing/2014/main" id="{00000000-0008-0000-0700-000003F35300}"/>
                  </a:ext>
                </a:extLst>
              </xdr:cNvPr>
              <xdr:cNvSpPr>
                <a:spLocks noChangeShapeType="1"/>
              </xdr:cNvSpPr>
            </xdr:nvSpPr>
            <xdr:spPr bwMode="auto">
              <a:xfrm flipH="1">
                <a:off x="4050" y="7242"/>
                <a:ext cx="152" cy="254"/>
              </a:xfrm>
              <a:prstGeom prst="line">
                <a:avLst/>
              </a:prstGeom>
              <a:noFill/>
              <a:ln w="9525">
                <a:solidFill>
                  <a:srgbClr val="00B0F0"/>
                </a:solidFill>
                <a:round/>
                <a:headEnd/>
                <a:tailEnd/>
              </a:ln>
            </xdr:spPr>
          </xdr:sp>
          <xdr:sp macro="" textlink="">
            <xdr:nvSpPr>
              <xdr:cNvPr id="5501700" name="Line 246">
                <a:extLst>
                  <a:ext uri="{FF2B5EF4-FFF2-40B4-BE49-F238E27FC236}">
                    <a16:creationId xmlns:a16="http://schemas.microsoft.com/office/drawing/2014/main" id="{00000000-0008-0000-0700-000004F35300}"/>
                  </a:ext>
                </a:extLst>
              </xdr:cNvPr>
              <xdr:cNvSpPr>
                <a:spLocks noChangeShapeType="1"/>
              </xdr:cNvSpPr>
            </xdr:nvSpPr>
            <xdr:spPr bwMode="auto">
              <a:xfrm>
                <a:off x="4050" y="7496"/>
                <a:ext cx="0" cy="642"/>
              </a:xfrm>
              <a:prstGeom prst="line">
                <a:avLst/>
              </a:prstGeom>
              <a:noFill/>
              <a:ln w="9525">
                <a:solidFill>
                  <a:srgbClr val="00B0F0"/>
                </a:solidFill>
                <a:round/>
                <a:headEnd/>
                <a:tailEnd/>
              </a:ln>
            </xdr:spPr>
          </xdr:sp>
          <xdr:sp macro="" textlink="">
            <xdr:nvSpPr>
              <xdr:cNvPr id="5501701" name="Line 247">
                <a:extLst>
                  <a:ext uri="{FF2B5EF4-FFF2-40B4-BE49-F238E27FC236}">
                    <a16:creationId xmlns:a16="http://schemas.microsoft.com/office/drawing/2014/main" id="{00000000-0008-0000-0700-000005F35300}"/>
                  </a:ext>
                </a:extLst>
              </xdr:cNvPr>
              <xdr:cNvSpPr>
                <a:spLocks noChangeShapeType="1"/>
              </xdr:cNvSpPr>
            </xdr:nvSpPr>
            <xdr:spPr bwMode="auto">
              <a:xfrm>
                <a:off x="4050" y="8138"/>
                <a:ext cx="285" cy="367"/>
              </a:xfrm>
              <a:prstGeom prst="line">
                <a:avLst/>
              </a:prstGeom>
              <a:noFill/>
              <a:ln w="9525">
                <a:solidFill>
                  <a:srgbClr val="00B0F0"/>
                </a:solidFill>
                <a:round/>
                <a:headEnd/>
                <a:tailEnd/>
              </a:ln>
            </xdr:spPr>
          </xdr:sp>
          <xdr:sp macro="" textlink="">
            <xdr:nvSpPr>
              <xdr:cNvPr id="5501702" name="Line 248">
                <a:extLst>
                  <a:ext uri="{FF2B5EF4-FFF2-40B4-BE49-F238E27FC236}">
                    <a16:creationId xmlns:a16="http://schemas.microsoft.com/office/drawing/2014/main" id="{00000000-0008-0000-0700-000006F35300}"/>
                  </a:ext>
                </a:extLst>
              </xdr:cNvPr>
              <xdr:cNvSpPr>
                <a:spLocks noChangeShapeType="1"/>
              </xdr:cNvSpPr>
            </xdr:nvSpPr>
            <xdr:spPr bwMode="auto">
              <a:xfrm>
                <a:off x="4335" y="8505"/>
                <a:ext cx="0" cy="970"/>
              </a:xfrm>
              <a:prstGeom prst="line">
                <a:avLst/>
              </a:prstGeom>
              <a:noFill/>
              <a:ln w="9525">
                <a:solidFill>
                  <a:srgbClr val="00B0F0"/>
                </a:solidFill>
                <a:round/>
                <a:headEnd/>
                <a:tailEnd/>
              </a:ln>
            </xdr:spPr>
          </xdr:sp>
        </xdr:grpSp>
      </xdr:grpSp>
      <xdr:sp macro="" textlink="">
        <xdr:nvSpPr>
          <xdr:cNvPr id="5501687" name="Line 249">
            <a:extLst>
              <a:ext uri="{FF2B5EF4-FFF2-40B4-BE49-F238E27FC236}">
                <a16:creationId xmlns:a16="http://schemas.microsoft.com/office/drawing/2014/main" id="{00000000-0008-0000-0700-0000F7F25300}"/>
              </a:ext>
            </a:extLst>
          </xdr:cNvPr>
          <xdr:cNvSpPr>
            <a:spLocks noChangeShapeType="1"/>
          </xdr:cNvSpPr>
        </xdr:nvSpPr>
        <xdr:spPr bwMode="auto">
          <a:xfrm>
            <a:off x="4332" y="9310"/>
            <a:ext cx="2" cy="1319"/>
          </a:xfrm>
          <a:prstGeom prst="line">
            <a:avLst/>
          </a:prstGeom>
          <a:noFill/>
          <a:ln w="9525">
            <a:solidFill>
              <a:srgbClr val="00B0F0"/>
            </a:solidFill>
            <a:round/>
            <a:headEnd/>
            <a:tailEnd/>
          </a:ln>
        </xdr:spPr>
      </xdr:sp>
      <xdr:sp macro="" textlink="">
        <xdr:nvSpPr>
          <xdr:cNvPr id="5501688" name="Line 250">
            <a:extLst>
              <a:ext uri="{FF2B5EF4-FFF2-40B4-BE49-F238E27FC236}">
                <a16:creationId xmlns:a16="http://schemas.microsoft.com/office/drawing/2014/main" id="{00000000-0008-0000-0700-0000F8F25300}"/>
              </a:ext>
            </a:extLst>
          </xdr:cNvPr>
          <xdr:cNvSpPr>
            <a:spLocks noChangeShapeType="1"/>
          </xdr:cNvSpPr>
        </xdr:nvSpPr>
        <xdr:spPr bwMode="auto">
          <a:xfrm>
            <a:off x="4790" y="9310"/>
            <a:ext cx="0" cy="1319"/>
          </a:xfrm>
          <a:prstGeom prst="line">
            <a:avLst/>
          </a:prstGeom>
          <a:noFill/>
          <a:ln w="9525">
            <a:solidFill>
              <a:srgbClr val="00B0F0"/>
            </a:solidFill>
            <a:round/>
            <a:headEnd/>
            <a:tailEnd/>
          </a:ln>
        </xdr:spPr>
      </xdr:sp>
      <xdr:sp macro="" textlink="">
        <xdr:nvSpPr>
          <xdr:cNvPr id="5501689" name="Line 251">
            <a:extLst>
              <a:ext uri="{FF2B5EF4-FFF2-40B4-BE49-F238E27FC236}">
                <a16:creationId xmlns:a16="http://schemas.microsoft.com/office/drawing/2014/main" id="{00000000-0008-0000-0700-0000F9F25300}"/>
              </a:ext>
            </a:extLst>
          </xdr:cNvPr>
          <xdr:cNvSpPr>
            <a:spLocks noChangeShapeType="1"/>
          </xdr:cNvSpPr>
        </xdr:nvSpPr>
        <xdr:spPr bwMode="auto">
          <a:xfrm>
            <a:off x="4330" y="10629"/>
            <a:ext cx="458" cy="0"/>
          </a:xfrm>
          <a:prstGeom prst="line">
            <a:avLst/>
          </a:prstGeom>
          <a:noFill/>
          <a:ln w="9525">
            <a:solidFill>
              <a:srgbClr val="00B0F0"/>
            </a:solidFill>
            <a:round/>
            <a:headEnd/>
            <a:tailEnd/>
          </a:ln>
        </xdr:spPr>
      </xdr:sp>
      <xdr:sp macro="" textlink="">
        <xdr:nvSpPr>
          <xdr:cNvPr id="5501690" name="Line 252">
            <a:extLst>
              <a:ext uri="{FF2B5EF4-FFF2-40B4-BE49-F238E27FC236}">
                <a16:creationId xmlns:a16="http://schemas.microsoft.com/office/drawing/2014/main" id="{00000000-0008-0000-0700-0000FAF25300}"/>
              </a:ext>
            </a:extLst>
          </xdr:cNvPr>
          <xdr:cNvSpPr>
            <a:spLocks noChangeShapeType="1"/>
          </xdr:cNvSpPr>
        </xdr:nvSpPr>
        <xdr:spPr bwMode="auto">
          <a:xfrm flipV="1">
            <a:off x="5709" y="10163"/>
            <a:ext cx="1" cy="946"/>
          </a:xfrm>
          <a:prstGeom prst="line">
            <a:avLst/>
          </a:prstGeom>
          <a:noFill/>
          <a:ln w="9525">
            <a:solidFill>
              <a:srgbClr val="00B0F0"/>
            </a:solidFill>
            <a:round/>
            <a:headEnd/>
            <a:tailEnd/>
          </a:ln>
        </xdr:spPr>
      </xdr:sp>
      <xdr:sp macro="" textlink="">
        <xdr:nvSpPr>
          <xdr:cNvPr id="5501691" name="Line 253">
            <a:extLst>
              <a:ext uri="{FF2B5EF4-FFF2-40B4-BE49-F238E27FC236}">
                <a16:creationId xmlns:a16="http://schemas.microsoft.com/office/drawing/2014/main" id="{00000000-0008-0000-0700-0000FBF25300}"/>
              </a:ext>
            </a:extLst>
          </xdr:cNvPr>
          <xdr:cNvSpPr>
            <a:spLocks noChangeShapeType="1"/>
          </xdr:cNvSpPr>
        </xdr:nvSpPr>
        <xdr:spPr bwMode="auto">
          <a:xfrm>
            <a:off x="4796" y="10419"/>
            <a:ext cx="909" cy="712"/>
          </a:xfrm>
          <a:prstGeom prst="line">
            <a:avLst/>
          </a:prstGeom>
          <a:noFill/>
          <a:ln w="9525">
            <a:solidFill>
              <a:srgbClr val="00B0F0"/>
            </a:solidFill>
            <a:round/>
            <a:headEnd/>
            <a:tailEnd/>
          </a:ln>
        </xdr:spPr>
      </xdr:sp>
      <xdr:sp macro="" textlink="">
        <xdr:nvSpPr>
          <xdr:cNvPr id="5501692" name="Line 254">
            <a:extLst>
              <a:ext uri="{FF2B5EF4-FFF2-40B4-BE49-F238E27FC236}">
                <a16:creationId xmlns:a16="http://schemas.microsoft.com/office/drawing/2014/main" id="{00000000-0008-0000-0700-0000FCF25300}"/>
              </a:ext>
            </a:extLst>
          </xdr:cNvPr>
          <xdr:cNvSpPr>
            <a:spLocks noChangeShapeType="1"/>
          </xdr:cNvSpPr>
        </xdr:nvSpPr>
        <xdr:spPr bwMode="auto">
          <a:xfrm flipH="1" flipV="1">
            <a:off x="4804" y="8797"/>
            <a:ext cx="905" cy="1372"/>
          </a:xfrm>
          <a:prstGeom prst="line">
            <a:avLst/>
          </a:prstGeom>
          <a:noFill/>
          <a:ln w="9525">
            <a:solidFill>
              <a:srgbClr val="00B0F0"/>
            </a:solidFill>
            <a:round/>
            <a:headEnd/>
            <a:tailEnd/>
          </a:ln>
        </xdr:spPr>
      </xdr:sp>
      <xdr:sp macro="" textlink="">
        <xdr:nvSpPr>
          <xdr:cNvPr id="5501693" name="Line 255">
            <a:extLst>
              <a:ext uri="{FF2B5EF4-FFF2-40B4-BE49-F238E27FC236}">
                <a16:creationId xmlns:a16="http://schemas.microsoft.com/office/drawing/2014/main" id="{00000000-0008-0000-0700-0000FDF25300}"/>
              </a:ext>
            </a:extLst>
          </xdr:cNvPr>
          <xdr:cNvSpPr>
            <a:spLocks noChangeShapeType="1"/>
          </xdr:cNvSpPr>
        </xdr:nvSpPr>
        <xdr:spPr bwMode="auto">
          <a:xfrm flipH="1" flipV="1">
            <a:off x="3421" y="10178"/>
            <a:ext cx="1" cy="946"/>
          </a:xfrm>
          <a:prstGeom prst="line">
            <a:avLst/>
          </a:prstGeom>
          <a:noFill/>
          <a:ln w="9525">
            <a:solidFill>
              <a:srgbClr val="00B0F0"/>
            </a:solidFill>
            <a:round/>
            <a:headEnd/>
            <a:tailEnd/>
          </a:ln>
        </xdr:spPr>
      </xdr:sp>
      <xdr:sp macro="" textlink="">
        <xdr:nvSpPr>
          <xdr:cNvPr id="5501694" name="Line 256">
            <a:extLst>
              <a:ext uri="{FF2B5EF4-FFF2-40B4-BE49-F238E27FC236}">
                <a16:creationId xmlns:a16="http://schemas.microsoft.com/office/drawing/2014/main" id="{00000000-0008-0000-0700-0000FEF25300}"/>
              </a:ext>
            </a:extLst>
          </xdr:cNvPr>
          <xdr:cNvSpPr>
            <a:spLocks noChangeShapeType="1"/>
          </xdr:cNvSpPr>
        </xdr:nvSpPr>
        <xdr:spPr bwMode="auto">
          <a:xfrm flipH="1">
            <a:off x="3421" y="10426"/>
            <a:ext cx="909" cy="712"/>
          </a:xfrm>
          <a:prstGeom prst="line">
            <a:avLst/>
          </a:prstGeom>
          <a:noFill/>
          <a:ln w="9525">
            <a:solidFill>
              <a:srgbClr val="00B0F0"/>
            </a:solidFill>
            <a:round/>
            <a:headEnd/>
            <a:tailEnd/>
          </a:ln>
        </xdr:spPr>
      </xdr:sp>
      <xdr:sp macro="" textlink="">
        <xdr:nvSpPr>
          <xdr:cNvPr id="5501695" name="Line 257">
            <a:extLst>
              <a:ext uri="{FF2B5EF4-FFF2-40B4-BE49-F238E27FC236}">
                <a16:creationId xmlns:a16="http://schemas.microsoft.com/office/drawing/2014/main" id="{00000000-0008-0000-0700-0000FFF25300}"/>
              </a:ext>
            </a:extLst>
          </xdr:cNvPr>
          <xdr:cNvSpPr>
            <a:spLocks noChangeShapeType="1"/>
          </xdr:cNvSpPr>
        </xdr:nvSpPr>
        <xdr:spPr bwMode="auto">
          <a:xfrm flipV="1">
            <a:off x="3429" y="8804"/>
            <a:ext cx="905" cy="1372"/>
          </a:xfrm>
          <a:prstGeom prst="line">
            <a:avLst/>
          </a:prstGeom>
          <a:noFill/>
          <a:ln w="9525">
            <a:solidFill>
              <a:srgbClr val="00B0F0"/>
            </a:solidFill>
            <a:round/>
            <a:headEnd/>
            <a:tailEnd/>
          </a:ln>
        </xdr:spPr>
      </xdr:sp>
    </xdr:grpSp>
    <xdr:clientData/>
  </xdr:twoCellAnchor>
  <xdr:twoCellAnchor>
    <xdr:from>
      <xdr:col>17</xdr:col>
      <xdr:colOff>831850</xdr:colOff>
      <xdr:row>11</xdr:row>
      <xdr:rowOff>101600</xdr:rowOff>
    </xdr:from>
    <xdr:to>
      <xdr:col>18</xdr:col>
      <xdr:colOff>368300</xdr:colOff>
      <xdr:row>11</xdr:row>
      <xdr:rowOff>101600</xdr:rowOff>
    </xdr:to>
    <xdr:sp macro="" textlink="">
      <xdr:nvSpPr>
        <xdr:cNvPr id="5501647" name="Line 268">
          <a:extLst>
            <a:ext uri="{FF2B5EF4-FFF2-40B4-BE49-F238E27FC236}">
              <a16:creationId xmlns:a16="http://schemas.microsoft.com/office/drawing/2014/main" id="{00000000-0008-0000-0700-0000CFF25300}"/>
            </a:ext>
          </a:extLst>
        </xdr:cNvPr>
        <xdr:cNvSpPr>
          <a:spLocks noChangeShapeType="1"/>
        </xdr:cNvSpPr>
      </xdr:nvSpPr>
      <xdr:spPr bwMode="auto">
        <a:xfrm flipV="1">
          <a:off x="14408150" y="2032000"/>
          <a:ext cx="673100" cy="0"/>
        </a:xfrm>
        <a:prstGeom prst="line">
          <a:avLst/>
        </a:prstGeom>
        <a:noFill/>
        <a:ln w="6350">
          <a:solidFill>
            <a:srgbClr val="000000"/>
          </a:solidFill>
          <a:round/>
          <a:headEnd type="triangle" w="sm" len="lg"/>
          <a:tailEnd type="triangle" w="sm" len="lg"/>
        </a:ln>
      </xdr:spPr>
    </xdr:sp>
    <xdr:clientData/>
  </xdr:twoCellAnchor>
  <xdr:twoCellAnchor>
    <xdr:from>
      <xdr:col>17</xdr:col>
      <xdr:colOff>88900</xdr:colOff>
      <xdr:row>1</xdr:row>
      <xdr:rowOff>12700</xdr:rowOff>
    </xdr:from>
    <xdr:to>
      <xdr:col>19</xdr:col>
      <xdr:colOff>336550</xdr:colOff>
      <xdr:row>1</xdr:row>
      <xdr:rowOff>12700</xdr:rowOff>
    </xdr:to>
    <xdr:sp macro="" textlink="">
      <xdr:nvSpPr>
        <xdr:cNvPr id="5501648" name="Line 269">
          <a:extLst>
            <a:ext uri="{FF2B5EF4-FFF2-40B4-BE49-F238E27FC236}">
              <a16:creationId xmlns:a16="http://schemas.microsoft.com/office/drawing/2014/main" id="{00000000-0008-0000-0700-0000D0F25300}"/>
            </a:ext>
          </a:extLst>
        </xdr:cNvPr>
        <xdr:cNvSpPr>
          <a:spLocks noChangeShapeType="1"/>
        </xdr:cNvSpPr>
      </xdr:nvSpPr>
      <xdr:spPr bwMode="auto">
        <a:xfrm flipV="1">
          <a:off x="13665200" y="184150"/>
          <a:ext cx="2520950" cy="0"/>
        </a:xfrm>
        <a:prstGeom prst="line">
          <a:avLst/>
        </a:prstGeom>
        <a:noFill/>
        <a:ln w="6350">
          <a:solidFill>
            <a:srgbClr val="000000"/>
          </a:solidFill>
          <a:round/>
          <a:headEnd/>
          <a:tailEnd/>
        </a:ln>
      </xdr:spPr>
    </xdr:sp>
    <xdr:clientData/>
  </xdr:twoCellAnchor>
  <xdr:twoCellAnchor>
    <xdr:from>
      <xdr:col>18</xdr:col>
      <xdr:colOff>1054100</xdr:colOff>
      <xdr:row>1</xdr:row>
      <xdr:rowOff>12700</xdr:rowOff>
    </xdr:from>
    <xdr:to>
      <xdr:col>18</xdr:col>
      <xdr:colOff>1054100</xdr:colOff>
      <xdr:row>28</xdr:row>
      <xdr:rowOff>139700</xdr:rowOff>
    </xdr:to>
    <xdr:sp macro="" textlink="">
      <xdr:nvSpPr>
        <xdr:cNvPr id="5501649" name="Line 270">
          <a:extLst>
            <a:ext uri="{FF2B5EF4-FFF2-40B4-BE49-F238E27FC236}">
              <a16:creationId xmlns:a16="http://schemas.microsoft.com/office/drawing/2014/main" id="{00000000-0008-0000-0700-0000D1F25300}"/>
            </a:ext>
          </a:extLst>
        </xdr:cNvPr>
        <xdr:cNvSpPr>
          <a:spLocks noChangeShapeType="1"/>
        </xdr:cNvSpPr>
      </xdr:nvSpPr>
      <xdr:spPr bwMode="auto">
        <a:xfrm>
          <a:off x="15767050" y="184150"/>
          <a:ext cx="0" cy="4705350"/>
        </a:xfrm>
        <a:prstGeom prst="line">
          <a:avLst/>
        </a:prstGeom>
        <a:noFill/>
        <a:ln w="6350">
          <a:solidFill>
            <a:srgbClr val="000000"/>
          </a:solidFill>
          <a:round/>
          <a:headEnd type="triangle" w="sm" len="lg"/>
          <a:tailEnd type="triangle" w="sm" len="lg"/>
        </a:ln>
      </xdr:spPr>
    </xdr:sp>
    <xdr:clientData/>
  </xdr:twoCellAnchor>
  <xdr:twoCellAnchor>
    <xdr:from>
      <xdr:col>17</xdr:col>
      <xdr:colOff>120650</xdr:colOff>
      <xdr:row>10</xdr:row>
      <xdr:rowOff>152400</xdr:rowOff>
    </xdr:from>
    <xdr:to>
      <xdr:col>18</xdr:col>
      <xdr:colOff>412750</xdr:colOff>
      <xdr:row>10</xdr:row>
      <xdr:rowOff>152400</xdr:rowOff>
    </xdr:to>
    <xdr:sp macro="" textlink="">
      <xdr:nvSpPr>
        <xdr:cNvPr id="5501650" name="Line 271">
          <a:extLst>
            <a:ext uri="{FF2B5EF4-FFF2-40B4-BE49-F238E27FC236}">
              <a16:creationId xmlns:a16="http://schemas.microsoft.com/office/drawing/2014/main" id="{00000000-0008-0000-0700-0000D2F25300}"/>
            </a:ext>
          </a:extLst>
        </xdr:cNvPr>
        <xdr:cNvSpPr>
          <a:spLocks noChangeShapeType="1"/>
        </xdr:cNvSpPr>
      </xdr:nvSpPr>
      <xdr:spPr bwMode="auto">
        <a:xfrm>
          <a:off x="13696950" y="1911350"/>
          <a:ext cx="1428750" cy="0"/>
        </a:xfrm>
        <a:prstGeom prst="line">
          <a:avLst/>
        </a:prstGeom>
        <a:noFill/>
        <a:ln w="6350">
          <a:solidFill>
            <a:srgbClr val="000000"/>
          </a:solidFill>
          <a:round/>
          <a:headEnd/>
          <a:tailEnd/>
        </a:ln>
      </xdr:spPr>
    </xdr:sp>
    <xdr:clientData/>
  </xdr:twoCellAnchor>
  <xdr:twoCellAnchor>
    <xdr:from>
      <xdr:col>17</xdr:col>
      <xdr:colOff>152400</xdr:colOff>
      <xdr:row>0</xdr:row>
      <xdr:rowOff>158750</xdr:rowOff>
    </xdr:from>
    <xdr:to>
      <xdr:col>17</xdr:col>
      <xdr:colOff>152400</xdr:colOff>
      <xdr:row>10</xdr:row>
      <xdr:rowOff>139700</xdr:rowOff>
    </xdr:to>
    <xdr:sp macro="" textlink="">
      <xdr:nvSpPr>
        <xdr:cNvPr id="5501651" name="Line 272">
          <a:extLst>
            <a:ext uri="{FF2B5EF4-FFF2-40B4-BE49-F238E27FC236}">
              <a16:creationId xmlns:a16="http://schemas.microsoft.com/office/drawing/2014/main" id="{00000000-0008-0000-0700-0000D3F25300}"/>
            </a:ext>
          </a:extLst>
        </xdr:cNvPr>
        <xdr:cNvSpPr>
          <a:spLocks noChangeShapeType="1"/>
        </xdr:cNvSpPr>
      </xdr:nvSpPr>
      <xdr:spPr bwMode="auto">
        <a:xfrm flipH="1">
          <a:off x="13728700" y="158750"/>
          <a:ext cx="0" cy="1739900"/>
        </a:xfrm>
        <a:prstGeom prst="line">
          <a:avLst/>
        </a:prstGeom>
        <a:noFill/>
        <a:ln w="6350">
          <a:solidFill>
            <a:srgbClr val="000000"/>
          </a:solidFill>
          <a:round/>
          <a:headEnd type="triangle" w="sm" len="lg"/>
          <a:tailEnd type="triangle" w="sm" len="lg"/>
        </a:ln>
      </xdr:spPr>
    </xdr:sp>
    <xdr:clientData/>
  </xdr:twoCellAnchor>
  <xdr:twoCellAnchor>
    <xdr:from>
      <xdr:col>16</xdr:col>
      <xdr:colOff>234950</xdr:colOff>
      <xdr:row>31</xdr:row>
      <xdr:rowOff>95250</xdr:rowOff>
    </xdr:from>
    <xdr:to>
      <xdr:col>17</xdr:col>
      <xdr:colOff>82550</xdr:colOff>
      <xdr:row>31</xdr:row>
      <xdr:rowOff>95250</xdr:rowOff>
    </xdr:to>
    <xdr:sp macro="" textlink="">
      <xdr:nvSpPr>
        <xdr:cNvPr id="5501652" name="Line 277">
          <a:extLst>
            <a:ext uri="{FF2B5EF4-FFF2-40B4-BE49-F238E27FC236}">
              <a16:creationId xmlns:a16="http://schemas.microsoft.com/office/drawing/2014/main" id="{00000000-0008-0000-0700-0000D4F25300}"/>
            </a:ext>
          </a:extLst>
        </xdr:cNvPr>
        <xdr:cNvSpPr>
          <a:spLocks noChangeShapeType="1"/>
        </xdr:cNvSpPr>
      </xdr:nvSpPr>
      <xdr:spPr bwMode="auto">
        <a:xfrm>
          <a:off x="12998450" y="5359400"/>
          <a:ext cx="660400" cy="0"/>
        </a:xfrm>
        <a:prstGeom prst="line">
          <a:avLst/>
        </a:prstGeom>
        <a:noFill/>
        <a:ln w="6350">
          <a:solidFill>
            <a:srgbClr val="000000"/>
          </a:solidFill>
          <a:round/>
          <a:headEnd/>
          <a:tailEnd/>
        </a:ln>
      </xdr:spPr>
    </xdr:sp>
    <xdr:clientData/>
  </xdr:twoCellAnchor>
  <xdr:twoCellAnchor>
    <xdr:from>
      <xdr:col>18</xdr:col>
      <xdr:colOff>196850</xdr:colOff>
      <xdr:row>29</xdr:row>
      <xdr:rowOff>88900</xdr:rowOff>
    </xdr:from>
    <xdr:to>
      <xdr:col>18</xdr:col>
      <xdr:colOff>1035050</xdr:colOff>
      <xdr:row>29</xdr:row>
      <xdr:rowOff>88900</xdr:rowOff>
    </xdr:to>
    <xdr:sp macro="" textlink="">
      <xdr:nvSpPr>
        <xdr:cNvPr id="5501653" name="Line 280">
          <a:extLst>
            <a:ext uri="{FF2B5EF4-FFF2-40B4-BE49-F238E27FC236}">
              <a16:creationId xmlns:a16="http://schemas.microsoft.com/office/drawing/2014/main" id="{00000000-0008-0000-0700-0000D5F25300}"/>
            </a:ext>
          </a:extLst>
        </xdr:cNvPr>
        <xdr:cNvSpPr>
          <a:spLocks noChangeShapeType="1"/>
        </xdr:cNvSpPr>
      </xdr:nvSpPr>
      <xdr:spPr bwMode="auto">
        <a:xfrm>
          <a:off x="14909800" y="5010150"/>
          <a:ext cx="838200" cy="0"/>
        </a:xfrm>
        <a:prstGeom prst="line">
          <a:avLst/>
        </a:prstGeom>
        <a:noFill/>
        <a:ln w="6350">
          <a:solidFill>
            <a:srgbClr val="000000"/>
          </a:solidFill>
          <a:round/>
          <a:headEnd/>
          <a:tailEnd/>
        </a:ln>
      </xdr:spPr>
    </xdr:sp>
    <xdr:clientData/>
  </xdr:twoCellAnchor>
  <xdr:twoCellAnchor>
    <xdr:from>
      <xdr:col>17</xdr:col>
      <xdr:colOff>508000</xdr:colOff>
      <xdr:row>20</xdr:row>
      <xdr:rowOff>0</xdr:rowOff>
    </xdr:from>
    <xdr:to>
      <xdr:col>17</xdr:col>
      <xdr:colOff>508000</xdr:colOff>
      <xdr:row>28</xdr:row>
      <xdr:rowOff>127000</xdr:rowOff>
    </xdr:to>
    <xdr:sp macro="" textlink="">
      <xdr:nvSpPr>
        <xdr:cNvPr id="5501654" name="Line 281">
          <a:extLst>
            <a:ext uri="{FF2B5EF4-FFF2-40B4-BE49-F238E27FC236}">
              <a16:creationId xmlns:a16="http://schemas.microsoft.com/office/drawing/2014/main" id="{00000000-0008-0000-0700-0000D6F25300}"/>
            </a:ext>
          </a:extLst>
        </xdr:cNvPr>
        <xdr:cNvSpPr>
          <a:spLocks noChangeShapeType="1"/>
        </xdr:cNvSpPr>
      </xdr:nvSpPr>
      <xdr:spPr bwMode="auto">
        <a:xfrm flipH="1">
          <a:off x="14084300" y="3422650"/>
          <a:ext cx="0" cy="1454150"/>
        </a:xfrm>
        <a:prstGeom prst="line">
          <a:avLst/>
        </a:prstGeom>
        <a:noFill/>
        <a:ln w="6350">
          <a:solidFill>
            <a:srgbClr val="000000"/>
          </a:solidFill>
          <a:round/>
          <a:headEnd type="triangle" w="sm" len="lg"/>
          <a:tailEnd type="triangle" w="sm" len="lg"/>
        </a:ln>
      </xdr:spPr>
    </xdr:sp>
    <xdr:clientData/>
  </xdr:twoCellAnchor>
  <xdr:twoCellAnchor>
    <xdr:from>
      <xdr:col>16</xdr:col>
      <xdr:colOff>311150</xdr:colOff>
      <xdr:row>27</xdr:row>
      <xdr:rowOff>133350</xdr:rowOff>
    </xdr:from>
    <xdr:to>
      <xdr:col>16</xdr:col>
      <xdr:colOff>323850</xdr:colOff>
      <xdr:row>31</xdr:row>
      <xdr:rowOff>95250</xdr:rowOff>
    </xdr:to>
    <xdr:sp macro="" textlink="">
      <xdr:nvSpPr>
        <xdr:cNvPr id="5501655" name="Line 282">
          <a:extLst>
            <a:ext uri="{FF2B5EF4-FFF2-40B4-BE49-F238E27FC236}">
              <a16:creationId xmlns:a16="http://schemas.microsoft.com/office/drawing/2014/main" id="{00000000-0008-0000-0700-0000D7F25300}"/>
            </a:ext>
          </a:extLst>
        </xdr:cNvPr>
        <xdr:cNvSpPr>
          <a:spLocks noChangeShapeType="1"/>
        </xdr:cNvSpPr>
      </xdr:nvSpPr>
      <xdr:spPr bwMode="auto">
        <a:xfrm flipH="1">
          <a:off x="13074650" y="4711700"/>
          <a:ext cx="12700" cy="647700"/>
        </a:xfrm>
        <a:prstGeom prst="line">
          <a:avLst/>
        </a:prstGeom>
        <a:noFill/>
        <a:ln w="6350">
          <a:solidFill>
            <a:srgbClr val="000000"/>
          </a:solidFill>
          <a:round/>
          <a:headEnd type="triangle" w="sm" len="lg"/>
          <a:tailEnd type="triangle" w="sm" len="lg"/>
        </a:ln>
      </xdr:spPr>
    </xdr:sp>
    <xdr:clientData/>
  </xdr:twoCellAnchor>
  <xdr:twoCellAnchor>
    <xdr:from>
      <xdr:col>16</xdr:col>
      <xdr:colOff>730250</xdr:colOff>
      <xdr:row>20</xdr:row>
      <xdr:rowOff>0</xdr:rowOff>
    </xdr:from>
    <xdr:to>
      <xdr:col>16</xdr:col>
      <xdr:colOff>730250</xdr:colOff>
      <xdr:row>27</xdr:row>
      <xdr:rowOff>133350</xdr:rowOff>
    </xdr:to>
    <xdr:sp macro="" textlink="">
      <xdr:nvSpPr>
        <xdr:cNvPr id="5501656" name="Line 283">
          <a:extLst>
            <a:ext uri="{FF2B5EF4-FFF2-40B4-BE49-F238E27FC236}">
              <a16:creationId xmlns:a16="http://schemas.microsoft.com/office/drawing/2014/main" id="{00000000-0008-0000-0700-0000D8F25300}"/>
            </a:ext>
          </a:extLst>
        </xdr:cNvPr>
        <xdr:cNvSpPr>
          <a:spLocks noChangeShapeType="1"/>
        </xdr:cNvSpPr>
      </xdr:nvSpPr>
      <xdr:spPr bwMode="auto">
        <a:xfrm>
          <a:off x="13493750" y="3422650"/>
          <a:ext cx="0" cy="1289050"/>
        </a:xfrm>
        <a:prstGeom prst="line">
          <a:avLst/>
        </a:prstGeom>
        <a:noFill/>
        <a:ln w="6350">
          <a:solidFill>
            <a:srgbClr val="000000"/>
          </a:solidFill>
          <a:round/>
          <a:headEnd type="triangle" w="sm" len="lg"/>
          <a:tailEnd type="triangle" w="sm" len="lg"/>
        </a:ln>
      </xdr:spPr>
    </xdr:sp>
    <xdr:clientData/>
  </xdr:twoCellAnchor>
  <xdr:twoCellAnchor>
    <xdr:from>
      <xdr:col>17</xdr:col>
      <xdr:colOff>69850</xdr:colOff>
      <xdr:row>31</xdr:row>
      <xdr:rowOff>95250</xdr:rowOff>
    </xdr:from>
    <xdr:to>
      <xdr:col>17</xdr:col>
      <xdr:colOff>69850</xdr:colOff>
      <xdr:row>32</xdr:row>
      <xdr:rowOff>0</xdr:rowOff>
    </xdr:to>
    <xdr:sp macro="" textlink="">
      <xdr:nvSpPr>
        <xdr:cNvPr id="5501657" name="Line 284">
          <a:extLst>
            <a:ext uri="{FF2B5EF4-FFF2-40B4-BE49-F238E27FC236}">
              <a16:creationId xmlns:a16="http://schemas.microsoft.com/office/drawing/2014/main" id="{00000000-0008-0000-0700-0000D9F25300}"/>
            </a:ext>
          </a:extLst>
        </xdr:cNvPr>
        <xdr:cNvSpPr>
          <a:spLocks noChangeShapeType="1"/>
        </xdr:cNvSpPr>
      </xdr:nvSpPr>
      <xdr:spPr bwMode="auto">
        <a:xfrm flipV="1">
          <a:off x="13646150" y="5359400"/>
          <a:ext cx="0" cy="76200"/>
        </a:xfrm>
        <a:prstGeom prst="line">
          <a:avLst/>
        </a:prstGeom>
        <a:noFill/>
        <a:ln w="6350">
          <a:solidFill>
            <a:srgbClr val="000000"/>
          </a:solidFill>
          <a:round/>
          <a:headEnd/>
          <a:tailEnd/>
        </a:ln>
      </xdr:spPr>
    </xdr:sp>
    <xdr:clientData/>
  </xdr:twoCellAnchor>
  <xdr:twoCellAnchor>
    <xdr:from>
      <xdr:col>17</xdr:col>
      <xdr:colOff>946150</xdr:colOff>
      <xdr:row>29</xdr:row>
      <xdr:rowOff>88900</xdr:rowOff>
    </xdr:from>
    <xdr:to>
      <xdr:col>17</xdr:col>
      <xdr:colOff>946150</xdr:colOff>
      <xdr:row>31</xdr:row>
      <xdr:rowOff>158750</xdr:rowOff>
    </xdr:to>
    <xdr:sp macro="" textlink="">
      <xdr:nvSpPr>
        <xdr:cNvPr id="5501658" name="Line 285">
          <a:extLst>
            <a:ext uri="{FF2B5EF4-FFF2-40B4-BE49-F238E27FC236}">
              <a16:creationId xmlns:a16="http://schemas.microsoft.com/office/drawing/2014/main" id="{00000000-0008-0000-0700-0000DAF25300}"/>
            </a:ext>
          </a:extLst>
        </xdr:cNvPr>
        <xdr:cNvSpPr>
          <a:spLocks noChangeShapeType="1"/>
        </xdr:cNvSpPr>
      </xdr:nvSpPr>
      <xdr:spPr bwMode="auto">
        <a:xfrm flipH="1" flipV="1">
          <a:off x="14522450" y="5010150"/>
          <a:ext cx="0" cy="412750"/>
        </a:xfrm>
        <a:prstGeom prst="line">
          <a:avLst/>
        </a:prstGeom>
        <a:noFill/>
        <a:ln w="6350">
          <a:solidFill>
            <a:srgbClr val="000000"/>
          </a:solidFill>
          <a:round/>
          <a:headEnd/>
          <a:tailEnd/>
        </a:ln>
      </xdr:spPr>
    </xdr:sp>
    <xdr:clientData/>
  </xdr:twoCellAnchor>
  <xdr:twoCellAnchor>
    <xdr:from>
      <xdr:col>17</xdr:col>
      <xdr:colOff>88900</xdr:colOff>
      <xdr:row>31</xdr:row>
      <xdr:rowOff>127000</xdr:rowOff>
    </xdr:from>
    <xdr:to>
      <xdr:col>17</xdr:col>
      <xdr:colOff>958850</xdr:colOff>
      <xdr:row>31</xdr:row>
      <xdr:rowOff>127000</xdr:rowOff>
    </xdr:to>
    <xdr:sp macro="" textlink="">
      <xdr:nvSpPr>
        <xdr:cNvPr id="5501659" name="Line 286">
          <a:extLst>
            <a:ext uri="{FF2B5EF4-FFF2-40B4-BE49-F238E27FC236}">
              <a16:creationId xmlns:a16="http://schemas.microsoft.com/office/drawing/2014/main" id="{00000000-0008-0000-0700-0000DBF25300}"/>
            </a:ext>
          </a:extLst>
        </xdr:cNvPr>
        <xdr:cNvSpPr>
          <a:spLocks noChangeShapeType="1"/>
        </xdr:cNvSpPr>
      </xdr:nvSpPr>
      <xdr:spPr bwMode="auto">
        <a:xfrm flipV="1">
          <a:off x="13665200" y="5391150"/>
          <a:ext cx="869950" cy="0"/>
        </a:xfrm>
        <a:prstGeom prst="line">
          <a:avLst/>
        </a:prstGeom>
        <a:noFill/>
        <a:ln w="6350">
          <a:solidFill>
            <a:srgbClr val="000000"/>
          </a:solidFill>
          <a:round/>
          <a:headEnd type="triangle" w="sm" len="lg"/>
          <a:tailEnd type="triangle" w="sm" len="lg"/>
        </a:ln>
      </xdr:spPr>
    </xdr:sp>
    <xdr:clientData/>
  </xdr:twoCellAnchor>
  <xdr:twoCellAnchor>
    <xdr:from>
      <xdr:col>17</xdr:col>
      <xdr:colOff>666750</xdr:colOff>
      <xdr:row>16</xdr:row>
      <xdr:rowOff>57150</xdr:rowOff>
    </xdr:from>
    <xdr:to>
      <xdr:col>18</xdr:col>
      <xdr:colOff>514350</xdr:colOff>
      <xdr:row>16</xdr:row>
      <xdr:rowOff>57150</xdr:rowOff>
    </xdr:to>
    <xdr:sp macro="" textlink="">
      <xdr:nvSpPr>
        <xdr:cNvPr id="5501660" name="Line 287">
          <a:extLst>
            <a:ext uri="{FF2B5EF4-FFF2-40B4-BE49-F238E27FC236}">
              <a16:creationId xmlns:a16="http://schemas.microsoft.com/office/drawing/2014/main" id="{00000000-0008-0000-0700-0000DCF25300}"/>
            </a:ext>
          </a:extLst>
        </xdr:cNvPr>
        <xdr:cNvSpPr>
          <a:spLocks noChangeShapeType="1"/>
        </xdr:cNvSpPr>
      </xdr:nvSpPr>
      <xdr:spPr bwMode="auto">
        <a:xfrm flipV="1">
          <a:off x="14243050" y="2819400"/>
          <a:ext cx="984250" cy="0"/>
        </a:xfrm>
        <a:prstGeom prst="line">
          <a:avLst/>
        </a:prstGeom>
        <a:noFill/>
        <a:ln w="3175">
          <a:solidFill>
            <a:srgbClr val="92D050"/>
          </a:solidFill>
          <a:prstDash val="sysDot"/>
          <a:round/>
          <a:headEnd type="triangle" w="sm" len="sm"/>
          <a:tailEnd type="triangle" w="sm" len="sm"/>
        </a:ln>
      </xdr:spPr>
    </xdr:sp>
    <xdr:clientData/>
  </xdr:twoCellAnchor>
  <xdr:twoCellAnchor>
    <xdr:from>
      <xdr:col>17</xdr:col>
      <xdr:colOff>831850</xdr:colOff>
      <xdr:row>14</xdr:row>
      <xdr:rowOff>127000</xdr:rowOff>
    </xdr:from>
    <xdr:to>
      <xdr:col>19</xdr:col>
      <xdr:colOff>19050</xdr:colOff>
      <xdr:row>14</xdr:row>
      <xdr:rowOff>127000</xdr:rowOff>
    </xdr:to>
    <xdr:sp macro="" textlink="">
      <xdr:nvSpPr>
        <xdr:cNvPr id="5501661" name="Line 289">
          <a:extLst>
            <a:ext uri="{FF2B5EF4-FFF2-40B4-BE49-F238E27FC236}">
              <a16:creationId xmlns:a16="http://schemas.microsoft.com/office/drawing/2014/main" id="{00000000-0008-0000-0700-0000DDF25300}"/>
            </a:ext>
          </a:extLst>
        </xdr:cNvPr>
        <xdr:cNvSpPr>
          <a:spLocks noChangeShapeType="1"/>
        </xdr:cNvSpPr>
      </xdr:nvSpPr>
      <xdr:spPr bwMode="auto">
        <a:xfrm>
          <a:off x="14408150" y="2559050"/>
          <a:ext cx="1460500" cy="0"/>
        </a:xfrm>
        <a:prstGeom prst="line">
          <a:avLst/>
        </a:prstGeom>
        <a:noFill/>
        <a:ln w="6350">
          <a:solidFill>
            <a:srgbClr val="92D050"/>
          </a:solidFill>
          <a:round/>
          <a:headEnd/>
          <a:tailEnd/>
        </a:ln>
      </xdr:spPr>
    </xdr:sp>
    <xdr:clientData/>
  </xdr:twoCellAnchor>
  <xdr:twoCellAnchor>
    <xdr:from>
      <xdr:col>17</xdr:col>
      <xdr:colOff>679450</xdr:colOff>
      <xdr:row>15</xdr:row>
      <xdr:rowOff>127000</xdr:rowOff>
    </xdr:from>
    <xdr:to>
      <xdr:col>19</xdr:col>
      <xdr:colOff>44450</xdr:colOff>
      <xdr:row>15</xdr:row>
      <xdr:rowOff>127000</xdr:rowOff>
    </xdr:to>
    <xdr:sp macro="" textlink="">
      <xdr:nvSpPr>
        <xdr:cNvPr id="5501662" name="Line 290">
          <a:extLst>
            <a:ext uri="{FF2B5EF4-FFF2-40B4-BE49-F238E27FC236}">
              <a16:creationId xmlns:a16="http://schemas.microsoft.com/office/drawing/2014/main" id="{00000000-0008-0000-0700-0000DEF25300}"/>
            </a:ext>
          </a:extLst>
        </xdr:cNvPr>
        <xdr:cNvSpPr>
          <a:spLocks noChangeShapeType="1"/>
        </xdr:cNvSpPr>
      </xdr:nvSpPr>
      <xdr:spPr bwMode="auto">
        <a:xfrm>
          <a:off x="14255750" y="2724150"/>
          <a:ext cx="1638300" cy="0"/>
        </a:xfrm>
        <a:prstGeom prst="line">
          <a:avLst/>
        </a:prstGeom>
        <a:noFill/>
        <a:ln w="6350">
          <a:solidFill>
            <a:srgbClr val="92D050"/>
          </a:solidFill>
          <a:round/>
          <a:headEnd/>
          <a:tailEnd/>
        </a:ln>
      </xdr:spPr>
    </xdr:sp>
    <xdr:clientData/>
  </xdr:twoCellAnchor>
  <xdr:twoCellAnchor>
    <xdr:from>
      <xdr:col>17</xdr:col>
      <xdr:colOff>666750</xdr:colOff>
      <xdr:row>18</xdr:row>
      <xdr:rowOff>69850</xdr:rowOff>
    </xdr:from>
    <xdr:to>
      <xdr:col>19</xdr:col>
      <xdr:colOff>44450</xdr:colOff>
      <xdr:row>18</xdr:row>
      <xdr:rowOff>69850</xdr:rowOff>
    </xdr:to>
    <xdr:sp macro="" textlink="">
      <xdr:nvSpPr>
        <xdr:cNvPr id="5501663" name="Line 291">
          <a:extLst>
            <a:ext uri="{FF2B5EF4-FFF2-40B4-BE49-F238E27FC236}">
              <a16:creationId xmlns:a16="http://schemas.microsoft.com/office/drawing/2014/main" id="{00000000-0008-0000-0700-0000DFF25300}"/>
            </a:ext>
          </a:extLst>
        </xdr:cNvPr>
        <xdr:cNvSpPr>
          <a:spLocks noChangeShapeType="1"/>
        </xdr:cNvSpPr>
      </xdr:nvSpPr>
      <xdr:spPr bwMode="auto">
        <a:xfrm>
          <a:off x="14243050" y="3162300"/>
          <a:ext cx="1651000" cy="0"/>
        </a:xfrm>
        <a:prstGeom prst="line">
          <a:avLst/>
        </a:prstGeom>
        <a:noFill/>
        <a:ln w="6350">
          <a:solidFill>
            <a:srgbClr val="92D050"/>
          </a:solidFill>
          <a:round/>
          <a:headEnd/>
          <a:tailEnd/>
        </a:ln>
      </xdr:spPr>
    </xdr:sp>
    <xdr:clientData/>
  </xdr:twoCellAnchor>
  <xdr:twoCellAnchor>
    <xdr:from>
      <xdr:col>17</xdr:col>
      <xdr:colOff>946150</xdr:colOff>
      <xdr:row>19</xdr:row>
      <xdr:rowOff>139700</xdr:rowOff>
    </xdr:from>
    <xdr:to>
      <xdr:col>19</xdr:col>
      <xdr:colOff>12700</xdr:colOff>
      <xdr:row>19</xdr:row>
      <xdr:rowOff>139700</xdr:rowOff>
    </xdr:to>
    <xdr:sp macro="" textlink="">
      <xdr:nvSpPr>
        <xdr:cNvPr id="5501664" name="Line 292">
          <a:extLst>
            <a:ext uri="{FF2B5EF4-FFF2-40B4-BE49-F238E27FC236}">
              <a16:creationId xmlns:a16="http://schemas.microsoft.com/office/drawing/2014/main" id="{00000000-0008-0000-0700-0000E0F25300}"/>
            </a:ext>
          </a:extLst>
        </xdr:cNvPr>
        <xdr:cNvSpPr>
          <a:spLocks noChangeShapeType="1"/>
        </xdr:cNvSpPr>
      </xdr:nvSpPr>
      <xdr:spPr bwMode="auto">
        <a:xfrm>
          <a:off x="14522450" y="3397250"/>
          <a:ext cx="1339850" cy="0"/>
        </a:xfrm>
        <a:prstGeom prst="line">
          <a:avLst/>
        </a:prstGeom>
        <a:noFill/>
        <a:ln w="6350">
          <a:solidFill>
            <a:srgbClr val="92D050"/>
          </a:solidFill>
          <a:round/>
          <a:headEnd/>
          <a:tailEnd/>
        </a:ln>
      </xdr:spPr>
    </xdr:sp>
    <xdr:clientData/>
  </xdr:twoCellAnchor>
  <xdr:twoCellAnchor>
    <xdr:from>
      <xdr:col>17</xdr:col>
      <xdr:colOff>1136650</xdr:colOff>
      <xdr:row>1</xdr:row>
      <xdr:rowOff>0</xdr:rowOff>
    </xdr:from>
    <xdr:to>
      <xdr:col>18</xdr:col>
      <xdr:colOff>0</xdr:colOff>
      <xdr:row>14</xdr:row>
      <xdr:rowOff>127000</xdr:rowOff>
    </xdr:to>
    <xdr:sp macro="" textlink="">
      <xdr:nvSpPr>
        <xdr:cNvPr id="5501665" name="Line 293">
          <a:extLst>
            <a:ext uri="{FF2B5EF4-FFF2-40B4-BE49-F238E27FC236}">
              <a16:creationId xmlns:a16="http://schemas.microsoft.com/office/drawing/2014/main" id="{00000000-0008-0000-0700-0000E1F25300}"/>
            </a:ext>
          </a:extLst>
        </xdr:cNvPr>
        <xdr:cNvSpPr>
          <a:spLocks noChangeShapeType="1"/>
        </xdr:cNvSpPr>
      </xdr:nvSpPr>
      <xdr:spPr bwMode="auto">
        <a:xfrm flipH="1">
          <a:off x="14712950" y="171450"/>
          <a:ext cx="0" cy="2387600"/>
        </a:xfrm>
        <a:prstGeom prst="line">
          <a:avLst/>
        </a:prstGeom>
        <a:noFill/>
        <a:ln w="9525">
          <a:solidFill>
            <a:srgbClr val="92D050"/>
          </a:solidFill>
          <a:prstDash val="sysDot"/>
          <a:round/>
          <a:headEnd type="triangle" w="sm" len="sm"/>
          <a:tailEnd type="triangle" w="sm" len="sm"/>
        </a:ln>
      </xdr:spPr>
    </xdr:sp>
    <xdr:clientData/>
  </xdr:twoCellAnchor>
  <xdr:twoCellAnchor>
    <xdr:from>
      <xdr:col>18</xdr:col>
      <xdr:colOff>190500</xdr:colOff>
      <xdr:row>1</xdr:row>
      <xdr:rowOff>0</xdr:rowOff>
    </xdr:from>
    <xdr:to>
      <xdr:col>18</xdr:col>
      <xdr:colOff>190500</xdr:colOff>
      <xdr:row>18</xdr:row>
      <xdr:rowOff>69850</xdr:rowOff>
    </xdr:to>
    <xdr:sp macro="" textlink="">
      <xdr:nvSpPr>
        <xdr:cNvPr id="5501666" name="Line 294">
          <a:extLst>
            <a:ext uri="{FF2B5EF4-FFF2-40B4-BE49-F238E27FC236}">
              <a16:creationId xmlns:a16="http://schemas.microsoft.com/office/drawing/2014/main" id="{00000000-0008-0000-0700-0000E2F25300}"/>
            </a:ext>
          </a:extLst>
        </xdr:cNvPr>
        <xdr:cNvSpPr>
          <a:spLocks noChangeShapeType="1"/>
        </xdr:cNvSpPr>
      </xdr:nvSpPr>
      <xdr:spPr bwMode="auto">
        <a:xfrm>
          <a:off x="14903450" y="171450"/>
          <a:ext cx="0" cy="2990850"/>
        </a:xfrm>
        <a:prstGeom prst="line">
          <a:avLst/>
        </a:prstGeom>
        <a:noFill/>
        <a:ln w="9525">
          <a:solidFill>
            <a:srgbClr val="92D050"/>
          </a:solidFill>
          <a:prstDash val="sysDot"/>
          <a:round/>
          <a:headEnd type="triangle" w="sm" len="sm"/>
          <a:tailEnd type="triangle" w="sm" len="sm"/>
        </a:ln>
      </xdr:spPr>
    </xdr:sp>
    <xdr:clientData/>
  </xdr:twoCellAnchor>
  <xdr:twoCellAnchor>
    <xdr:from>
      <xdr:col>19</xdr:col>
      <xdr:colOff>19050</xdr:colOff>
      <xdr:row>14</xdr:row>
      <xdr:rowOff>127000</xdr:rowOff>
    </xdr:from>
    <xdr:to>
      <xdr:col>19</xdr:col>
      <xdr:colOff>19050</xdr:colOff>
      <xdr:row>15</xdr:row>
      <xdr:rowOff>127000</xdr:rowOff>
    </xdr:to>
    <xdr:sp macro="" textlink="">
      <xdr:nvSpPr>
        <xdr:cNvPr id="5501667" name="Line 295">
          <a:extLst>
            <a:ext uri="{FF2B5EF4-FFF2-40B4-BE49-F238E27FC236}">
              <a16:creationId xmlns:a16="http://schemas.microsoft.com/office/drawing/2014/main" id="{00000000-0008-0000-0700-0000E3F25300}"/>
            </a:ext>
          </a:extLst>
        </xdr:cNvPr>
        <xdr:cNvSpPr>
          <a:spLocks noChangeShapeType="1"/>
        </xdr:cNvSpPr>
      </xdr:nvSpPr>
      <xdr:spPr bwMode="auto">
        <a:xfrm>
          <a:off x="15868650" y="2559050"/>
          <a:ext cx="0" cy="165100"/>
        </a:xfrm>
        <a:prstGeom prst="line">
          <a:avLst/>
        </a:prstGeom>
        <a:noFill/>
        <a:ln w="3175">
          <a:solidFill>
            <a:srgbClr val="92D050"/>
          </a:solidFill>
          <a:prstDash val="sysDot"/>
          <a:round/>
          <a:headEnd type="triangle" w="sm" len="sm"/>
          <a:tailEnd type="triangle" w="sm" len="sm"/>
        </a:ln>
      </xdr:spPr>
    </xdr:sp>
    <xdr:clientData/>
  </xdr:twoCellAnchor>
  <xdr:twoCellAnchor>
    <xdr:from>
      <xdr:col>19</xdr:col>
      <xdr:colOff>12700</xdr:colOff>
      <xdr:row>18</xdr:row>
      <xdr:rowOff>69850</xdr:rowOff>
    </xdr:from>
    <xdr:to>
      <xdr:col>19</xdr:col>
      <xdr:colOff>12700</xdr:colOff>
      <xdr:row>19</xdr:row>
      <xdr:rowOff>139700</xdr:rowOff>
    </xdr:to>
    <xdr:sp macro="" textlink="">
      <xdr:nvSpPr>
        <xdr:cNvPr id="5501668" name="Line 296">
          <a:extLst>
            <a:ext uri="{FF2B5EF4-FFF2-40B4-BE49-F238E27FC236}">
              <a16:creationId xmlns:a16="http://schemas.microsoft.com/office/drawing/2014/main" id="{00000000-0008-0000-0700-0000E4F25300}"/>
            </a:ext>
          </a:extLst>
        </xdr:cNvPr>
        <xdr:cNvSpPr>
          <a:spLocks noChangeShapeType="1"/>
        </xdr:cNvSpPr>
      </xdr:nvSpPr>
      <xdr:spPr bwMode="auto">
        <a:xfrm>
          <a:off x="15862300" y="3162300"/>
          <a:ext cx="0" cy="234950"/>
        </a:xfrm>
        <a:prstGeom prst="line">
          <a:avLst/>
        </a:prstGeom>
        <a:noFill/>
        <a:ln w="9525">
          <a:solidFill>
            <a:srgbClr val="92D050"/>
          </a:solidFill>
          <a:prstDash val="sysDot"/>
          <a:round/>
          <a:headEnd type="triangle" w="sm" len="sm"/>
          <a:tailEnd type="triangle" w="sm" len="sm"/>
        </a:ln>
      </xdr:spPr>
    </xdr:sp>
    <xdr:clientData/>
  </xdr:twoCellAnchor>
  <xdr:twoCellAnchor>
    <xdr:from>
      <xdr:col>17</xdr:col>
      <xdr:colOff>0</xdr:colOff>
      <xdr:row>11</xdr:row>
      <xdr:rowOff>101600</xdr:rowOff>
    </xdr:from>
    <xdr:to>
      <xdr:col>17</xdr:col>
      <xdr:colOff>838200</xdr:colOff>
      <xdr:row>11</xdr:row>
      <xdr:rowOff>101600</xdr:rowOff>
    </xdr:to>
    <xdr:sp macro="" textlink="">
      <xdr:nvSpPr>
        <xdr:cNvPr id="5501669" name="Line 297">
          <a:extLst>
            <a:ext uri="{FF2B5EF4-FFF2-40B4-BE49-F238E27FC236}">
              <a16:creationId xmlns:a16="http://schemas.microsoft.com/office/drawing/2014/main" id="{00000000-0008-0000-0700-0000E5F25300}"/>
            </a:ext>
          </a:extLst>
        </xdr:cNvPr>
        <xdr:cNvSpPr>
          <a:spLocks noChangeShapeType="1"/>
        </xdr:cNvSpPr>
      </xdr:nvSpPr>
      <xdr:spPr bwMode="auto">
        <a:xfrm>
          <a:off x="13576300" y="2032000"/>
          <a:ext cx="838200" cy="0"/>
        </a:xfrm>
        <a:prstGeom prst="line">
          <a:avLst/>
        </a:prstGeom>
        <a:noFill/>
        <a:ln w="9525">
          <a:solidFill>
            <a:srgbClr val="000000"/>
          </a:solidFill>
          <a:round/>
          <a:headEnd/>
          <a:tailEnd/>
        </a:ln>
      </xdr:spPr>
    </xdr:sp>
    <xdr:clientData/>
  </xdr:twoCellAnchor>
  <xdr:twoCellAnchor>
    <xdr:from>
      <xdr:col>17</xdr:col>
      <xdr:colOff>0</xdr:colOff>
      <xdr:row>16</xdr:row>
      <xdr:rowOff>69850</xdr:rowOff>
    </xdr:from>
    <xdr:to>
      <xdr:col>17</xdr:col>
      <xdr:colOff>679450</xdr:colOff>
      <xdr:row>16</xdr:row>
      <xdr:rowOff>69850</xdr:rowOff>
    </xdr:to>
    <xdr:sp macro="" textlink="">
      <xdr:nvSpPr>
        <xdr:cNvPr id="5501670" name="Line 298">
          <a:extLst>
            <a:ext uri="{FF2B5EF4-FFF2-40B4-BE49-F238E27FC236}">
              <a16:creationId xmlns:a16="http://schemas.microsoft.com/office/drawing/2014/main" id="{00000000-0008-0000-0700-0000E6F25300}"/>
            </a:ext>
          </a:extLst>
        </xdr:cNvPr>
        <xdr:cNvSpPr>
          <a:spLocks noChangeShapeType="1"/>
        </xdr:cNvSpPr>
      </xdr:nvSpPr>
      <xdr:spPr bwMode="auto">
        <a:xfrm>
          <a:off x="13576300" y="2832100"/>
          <a:ext cx="679450" cy="0"/>
        </a:xfrm>
        <a:prstGeom prst="line">
          <a:avLst/>
        </a:prstGeom>
        <a:noFill/>
        <a:ln w="9525">
          <a:solidFill>
            <a:srgbClr val="92D050"/>
          </a:solidFill>
          <a:round/>
          <a:headEnd/>
          <a:tailEnd/>
        </a:ln>
      </xdr:spPr>
    </xdr:sp>
    <xdr:clientData/>
  </xdr:twoCellAnchor>
  <xdr:twoCellAnchor>
    <xdr:from>
      <xdr:col>17</xdr:col>
      <xdr:colOff>514350</xdr:colOff>
      <xdr:row>31</xdr:row>
      <xdr:rowOff>127000</xdr:rowOff>
    </xdr:from>
    <xdr:to>
      <xdr:col>17</xdr:col>
      <xdr:colOff>514350</xdr:colOff>
      <xdr:row>33</xdr:row>
      <xdr:rowOff>95250</xdr:rowOff>
    </xdr:to>
    <xdr:sp macro="" textlink="">
      <xdr:nvSpPr>
        <xdr:cNvPr id="5501671" name="Line 301">
          <a:extLst>
            <a:ext uri="{FF2B5EF4-FFF2-40B4-BE49-F238E27FC236}">
              <a16:creationId xmlns:a16="http://schemas.microsoft.com/office/drawing/2014/main" id="{00000000-0008-0000-0700-0000E7F25300}"/>
            </a:ext>
          </a:extLst>
        </xdr:cNvPr>
        <xdr:cNvSpPr>
          <a:spLocks noChangeShapeType="1"/>
        </xdr:cNvSpPr>
      </xdr:nvSpPr>
      <xdr:spPr bwMode="auto">
        <a:xfrm flipH="1">
          <a:off x="14090650" y="5391150"/>
          <a:ext cx="0" cy="311150"/>
        </a:xfrm>
        <a:prstGeom prst="line">
          <a:avLst/>
        </a:prstGeom>
        <a:noFill/>
        <a:ln w="9525">
          <a:solidFill>
            <a:srgbClr val="000000"/>
          </a:solidFill>
          <a:round/>
          <a:headEnd/>
          <a:tailEnd/>
        </a:ln>
      </xdr:spPr>
    </xdr:sp>
    <xdr:clientData/>
  </xdr:twoCellAnchor>
  <xdr:twoCellAnchor>
    <xdr:from>
      <xdr:col>17</xdr:col>
      <xdr:colOff>0</xdr:colOff>
      <xdr:row>2</xdr:row>
      <xdr:rowOff>76200</xdr:rowOff>
    </xdr:from>
    <xdr:to>
      <xdr:col>17</xdr:col>
      <xdr:colOff>152400</xdr:colOff>
      <xdr:row>2</xdr:row>
      <xdr:rowOff>76200</xdr:rowOff>
    </xdr:to>
    <xdr:sp macro="" textlink="">
      <xdr:nvSpPr>
        <xdr:cNvPr id="5501672" name="Line 302">
          <a:extLst>
            <a:ext uri="{FF2B5EF4-FFF2-40B4-BE49-F238E27FC236}">
              <a16:creationId xmlns:a16="http://schemas.microsoft.com/office/drawing/2014/main" id="{00000000-0008-0000-0700-0000E8F25300}"/>
            </a:ext>
          </a:extLst>
        </xdr:cNvPr>
        <xdr:cNvSpPr>
          <a:spLocks noChangeShapeType="1"/>
        </xdr:cNvSpPr>
      </xdr:nvSpPr>
      <xdr:spPr bwMode="auto">
        <a:xfrm>
          <a:off x="13576300" y="419100"/>
          <a:ext cx="152400" cy="0"/>
        </a:xfrm>
        <a:prstGeom prst="line">
          <a:avLst/>
        </a:prstGeom>
        <a:noFill/>
        <a:ln w="9525">
          <a:solidFill>
            <a:srgbClr val="000000"/>
          </a:solidFill>
          <a:round/>
          <a:headEnd/>
          <a:tailEnd/>
        </a:ln>
      </xdr:spPr>
    </xdr:sp>
    <xdr:clientData/>
  </xdr:twoCellAnchor>
  <xdr:twoCellAnchor>
    <xdr:from>
      <xdr:col>17</xdr:col>
      <xdr:colOff>1771650</xdr:colOff>
      <xdr:row>10</xdr:row>
      <xdr:rowOff>88900</xdr:rowOff>
    </xdr:from>
    <xdr:to>
      <xdr:col>20</xdr:col>
      <xdr:colOff>0</xdr:colOff>
      <xdr:row>10</xdr:row>
      <xdr:rowOff>88900</xdr:rowOff>
    </xdr:to>
    <xdr:sp macro="" textlink="">
      <xdr:nvSpPr>
        <xdr:cNvPr id="5501673" name="Line 303">
          <a:extLst>
            <a:ext uri="{FF2B5EF4-FFF2-40B4-BE49-F238E27FC236}">
              <a16:creationId xmlns:a16="http://schemas.microsoft.com/office/drawing/2014/main" id="{00000000-0008-0000-0700-0000E9F25300}"/>
            </a:ext>
          </a:extLst>
        </xdr:cNvPr>
        <xdr:cNvSpPr>
          <a:spLocks noChangeShapeType="1"/>
        </xdr:cNvSpPr>
      </xdr:nvSpPr>
      <xdr:spPr bwMode="auto">
        <a:xfrm flipV="1">
          <a:off x="14712950" y="1847850"/>
          <a:ext cx="1949450" cy="0"/>
        </a:xfrm>
        <a:prstGeom prst="line">
          <a:avLst/>
        </a:prstGeom>
        <a:noFill/>
        <a:ln w="9525">
          <a:solidFill>
            <a:srgbClr val="92D050"/>
          </a:solidFill>
          <a:prstDash val="sysDot"/>
          <a:round/>
          <a:headEnd/>
          <a:tailEnd/>
        </a:ln>
      </xdr:spPr>
    </xdr:sp>
    <xdr:clientData/>
  </xdr:twoCellAnchor>
  <xdr:twoCellAnchor>
    <xdr:from>
      <xdr:col>18</xdr:col>
      <xdr:colOff>190500</xdr:colOff>
      <xdr:row>12</xdr:row>
      <xdr:rowOff>76200</xdr:rowOff>
    </xdr:from>
    <xdr:to>
      <xdr:col>20</xdr:col>
      <xdr:colOff>0</xdr:colOff>
      <xdr:row>12</xdr:row>
      <xdr:rowOff>76200</xdr:rowOff>
    </xdr:to>
    <xdr:sp macro="" textlink="">
      <xdr:nvSpPr>
        <xdr:cNvPr id="5501674" name="Line 304">
          <a:extLst>
            <a:ext uri="{FF2B5EF4-FFF2-40B4-BE49-F238E27FC236}">
              <a16:creationId xmlns:a16="http://schemas.microsoft.com/office/drawing/2014/main" id="{00000000-0008-0000-0700-0000EAF25300}"/>
            </a:ext>
          </a:extLst>
        </xdr:cNvPr>
        <xdr:cNvSpPr>
          <a:spLocks noChangeShapeType="1"/>
        </xdr:cNvSpPr>
      </xdr:nvSpPr>
      <xdr:spPr bwMode="auto">
        <a:xfrm flipV="1">
          <a:off x="14903450" y="2178050"/>
          <a:ext cx="1758950" cy="0"/>
        </a:xfrm>
        <a:prstGeom prst="line">
          <a:avLst/>
        </a:prstGeom>
        <a:noFill/>
        <a:ln w="9525">
          <a:solidFill>
            <a:srgbClr val="92D050"/>
          </a:solidFill>
          <a:prstDash val="sysDot"/>
          <a:round/>
          <a:headEnd/>
          <a:tailEnd/>
        </a:ln>
      </xdr:spPr>
    </xdr:sp>
    <xdr:clientData/>
  </xdr:twoCellAnchor>
  <xdr:twoCellAnchor>
    <xdr:from>
      <xdr:col>19</xdr:col>
      <xdr:colOff>19050</xdr:colOff>
      <xdr:row>15</xdr:row>
      <xdr:rowOff>44450</xdr:rowOff>
    </xdr:from>
    <xdr:to>
      <xdr:col>19</xdr:col>
      <xdr:colOff>787400</xdr:colOff>
      <xdr:row>15</xdr:row>
      <xdr:rowOff>44450</xdr:rowOff>
    </xdr:to>
    <xdr:sp macro="" textlink="">
      <xdr:nvSpPr>
        <xdr:cNvPr id="5501675" name="Line 305">
          <a:extLst>
            <a:ext uri="{FF2B5EF4-FFF2-40B4-BE49-F238E27FC236}">
              <a16:creationId xmlns:a16="http://schemas.microsoft.com/office/drawing/2014/main" id="{00000000-0008-0000-0700-0000EBF25300}"/>
            </a:ext>
          </a:extLst>
        </xdr:cNvPr>
        <xdr:cNvSpPr>
          <a:spLocks noChangeShapeType="1"/>
        </xdr:cNvSpPr>
      </xdr:nvSpPr>
      <xdr:spPr bwMode="auto">
        <a:xfrm flipV="1">
          <a:off x="15868650" y="2641600"/>
          <a:ext cx="768350" cy="0"/>
        </a:xfrm>
        <a:prstGeom prst="line">
          <a:avLst/>
        </a:prstGeom>
        <a:noFill/>
        <a:ln w="9525">
          <a:solidFill>
            <a:srgbClr val="92D050"/>
          </a:solidFill>
          <a:prstDash val="sysDot"/>
          <a:round/>
          <a:headEnd/>
          <a:tailEnd/>
        </a:ln>
      </xdr:spPr>
    </xdr:sp>
    <xdr:clientData/>
  </xdr:twoCellAnchor>
  <xdr:twoCellAnchor>
    <xdr:from>
      <xdr:col>19</xdr:col>
      <xdr:colOff>19050</xdr:colOff>
      <xdr:row>19</xdr:row>
      <xdr:rowOff>25400</xdr:rowOff>
    </xdr:from>
    <xdr:to>
      <xdr:col>19</xdr:col>
      <xdr:colOff>806450</xdr:colOff>
      <xdr:row>19</xdr:row>
      <xdr:rowOff>25400</xdr:rowOff>
    </xdr:to>
    <xdr:sp macro="" textlink="">
      <xdr:nvSpPr>
        <xdr:cNvPr id="5501676" name="Line 308">
          <a:extLst>
            <a:ext uri="{FF2B5EF4-FFF2-40B4-BE49-F238E27FC236}">
              <a16:creationId xmlns:a16="http://schemas.microsoft.com/office/drawing/2014/main" id="{00000000-0008-0000-0700-0000ECF25300}"/>
            </a:ext>
          </a:extLst>
        </xdr:cNvPr>
        <xdr:cNvSpPr>
          <a:spLocks noChangeShapeType="1"/>
        </xdr:cNvSpPr>
      </xdr:nvSpPr>
      <xdr:spPr bwMode="auto">
        <a:xfrm flipH="1" flipV="1">
          <a:off x="15868650" y="3282950"/>
          <a:ext cx="787400" cy="0"/>
        </a:xfrm>
        <a:prstGeom prst="line">
          <a:avLst/>
        </a:prstGeom>
        <a:noFill/>
        <a:ln w="9525">
          <a:solidFill>
            <a:srgbClr val="92D050"/>
          </a:solidFill>
          <a:prstDash val="sysDot"/>
          <a:round/>
          <a:headEnd type="none" w="sm" len="sm"/>
          <a:tailEnd type="none" w="sm" len="sm"/>
        </a:ln>
      </xdr:spPr>
    </xdr:sp>
    <xdr:clientData/>
  </xdr:twoCellAnchor>
  <xdr:twoCellAnchor>
    <xdr:from>
      <xdr:col>15</xdr:col>
      <xdr:colOff>812800</xdr:colOff>
      <xdr:row>28</xdr:row>
      <xdr:rowOff>88900</xdr:rowOff>
    </xdr:from>
    <xdr:to>
      <xdr:col>16</xdr:col>
      <xdr:colOff>323850</xdr:colOff>
      <xdr:row>28</xdr:row>
      <xdr:rowOff>88900</xdr:rowOff>
    </xdr:to>
    <xdr:sp macro="" textlink="">
      <xdr:nvSpPr>
        <xdr:cNvPr id="5501677" name="Line 310">
          <a:extLst>
            <a:ext uri="{FF2B5EF4-FFF2-40B4-BE49-F238E27FC236}">
              <a16:creationId xmlns:a16="http://schemas.microsoft.com/office/drawing/2014/main" id="{00000000-0008-0000-0700-0000EDF25300}"/>
            </a:ext>
          </a:extLst>
        </xdr:cNvPr>
        <xdr:cNvSpPr>
          <a:spLocks noChangeShapeType="1"/>
        </xdr:cNvSpPr>
      </xdr:nvSpPr>
      <xdr:spPr bwMode="auto">
        <a:xfrm>
          <a:off x="12763500" y="4838700"/>
          <a:ext cx="323850" cy="0"/>
        </a:xfrm>
        <a:prstGeom prst="line">
          <a:avLst/>
        </a:prstGeom>
        <a:noFill/>
        <a:ln w="9525">
          <a:solidFill>
            <a:srgbClr val="000000"/>
          </a:solidFill>
          <a:round/>
          <a:headEnd/>
          <a:tailEnd/>
        </a:ln>
      </xdr:spPr>
    </xdr:sp>
    <xdr:clientData/>
  </xdr:twoCellAnchor>
  <xdr:twoCellAnchor>
    <xdr:from>
      <xdr:col>16</xdr:col>
      <xdr:colOff>234950</xdr:colOff>
      <xdr:row>27</xdr:row>
      <xdr:rowOff>127000</xdr:rowOff>
    </xdr:from>
    <xdr:to>
      <xdr:col>17</xdr:col>
      <xdr:colOff>69850</xdr:colOff>
      <xdr:row>27</xdr:row>
      <xdr:rowOff>127000</xdr:rowOff>
    </xdr:to>
    <xdr:sp macro="" textlink="">
      <xdr:nvSpPr>
        <xdr:cNvPr id="5501678" name="Line 277">
          <a:extLst>
            <a:ext uri="{FF2B5EF4-FFF2-40B4-BE49-F238E27FC236}">
              <a16:creationId xmlns:a16="http://schemas.microsoft.com/office/drawing/2014/main" id="{00000000-0008-0000-0700-0000EEF25300}"/>
            </a:ext>
          </a:extLst>
        </xdr:cNvPr>
        <xdr:cNvSpPr>
          <a:spLocks noChangeShapeType="1"/>
        </xdr:cNvSpPr>
      </xdr:nvSpPr>
      <xdr:spPr bwMode="auto">
        <a:xfrm>
          <a:off x="12998450" y="4705350"/>
          <a:ext cx="647700" cy="0"/>
        </a:xfrm>
        <a:prstGeom prst="line">
          <a:avLst/>
        </a:prstGeom>
        <a:noFill/>
        <a:ln w="6350">
          <a:solidFill>
            <a:srgbClr val="000000"/>
          </a:solidFill>
          <a:round/>
          <a:headEnd/>
          <a:tailEnd/>
        </a:ln>
      </xdr:spPr>
    </xdr:sp>
    <xdr:clientData/>
  </xdr:twoCellAnchor>
  <xdr:twoCellAnchor>
    <xdr:from>
      <xdr:col>17</xdr:col>
      <xdr:colOff>412750</xdr:colOff>
      <xdr:row>28</xdr:row>
      <xdr:rowOff>127000</xdr:rowOff>
    </xdr:from>
    <xdr:to>
      <xdr:col>19</xdr:col>
      <xdr:colOff>82550</xdr:colOff>
      <xdr:row>28</xdr:row>
      <xdr:rowOff>127000</xdr:rowOff>
    </xdr:to>
    <xdr:sp macro="" textlink="">
      <xdr:nvSpPr>
        <xdr:cNvPr id="5501679" name="Line 280">
          <a:extLst>
            <a:ext uri="{FF2B5EF4-FFF2-40B4-BE49-F238E27FC236}">
              <a16:creationId xmlns:a16="http://schemas.microsoft.com/office/drawing/2014/main" id="{00000000-0008-0000-0700-0000EFF25300}"/>
            </a:ext>
          </a:extLst>
        </xdr:cNvPr>
        <xdr:cNvSpPr>
          <a:spLocks noChangeShapeType="1"/>
        </xdr:cNvSpPr>
      </xdr:nvSpPr>
      <xdr:spPr bwMode="auto">
        <a:xfrm flipV="1">
          <a:off x="13989050" y="4876800"/>
          <a:ext cx="1943100" cy="0"/>
        </a:xfrm>
        <a:prstGeom prst="line">
          <a:avLst/>
        </a:prstGeom>
        <a:noFill/>
        <a:ln w="6350">
          <a:solidFill>
            <a:srgbClr val="000000"/>
          </a:solidFill>
          <a:round/>
          <a:headEnd/>
          <a:tailEnd/>
        </a:ln>
      </xdr:spPr>
    </xdr:sp>
    <xdr:clientData/>
  </xdr:twoCellAnchor>
  <xdr:twoCellAnchor>
    <xdr:from>
      <xdr:col>18</xdr:col>
      <xdr:colOff>165100</xdr:colOff>
      <xdr:row>30</xdr:row>
      <xdr:rowOff>44450</xdr:rowOff>
    </xdr:from>
    <xdr:to>
      <xdr:col>18</xdr:col>
      <xdr:colOff>927100</xdr:colOff>
      <xdr:row>30</xdr:row>
      <xdr:rowOff>44450</xdr:rowOff>
    </xdr:to>
    <xdr:sp macro="" textlink="">
      <xdr:nvSpPr>
        <xdr:cNvPr id="5501680" name="Line 280">
          <a:extLst>
            <a:ext uri="{FF2B5EF4-FFF2-40B4-BE49-F238E27FC236}">
              <a16:creationId xmlns:a16="http://schemas.microsoft.com/office/drawing/2014/main" id="{00000000-0008-0000-0700-0000F0F25300}"/>
            </a:ext>
          </a:extLst>
        </xdr:cNvPr>
        <xdr:cNvSpPr>
          <a:spLocks noChangeShapeType="1"/>
        </xdr:cNvSpPr>
      </xdr:nvSpPr>
      <xdr:spPr bwMode="auto">
        <a:xfrm>
          <a:off x="14878050" y="5137150"/>
          <a:ext cx="762000" cy="0"/>
        </a:xfrm>
        <a:prstGeom prst="line">
          <a:avLst/>
        </a:prstGeom>
        <a:noFill/>
        <a:ln w="6350">
          <a:solidFill>
            <a:srgbClr val="000000"/>
          </a:solidFill>
          <a:round/>
          <a:headEnd/>
          <a:tailEnd/>
        </a:ln>
      </xdr:spPr>
    </xdr:sp>
    <xdr:clientData/>
  </xdr:twoCellAnchor>
  <xdr:twoCellAnchor>
    <xdr:from>
      <xdr:col>17</xdr:col>
      <xdr:colOff>1047750</xdr:colOff>
      <xdr:row>20</xdr:row>
      <xdr:rowOff>0</xdr:rowOff>
    </xdr:from>
    <xdr:to>
      <xdr:col>18</xdr:col>
      <xdr:colOff>158750</xdr:colOff>
      <xdr:row>30</xdr:row>
      <xdr:rowOff>44450</xdr:rowOff>
    </xdr:to>
    <xdr:sp macro="" textlink="">
      <xdr:nvSpPr>
        <xdr:cNvPr id="5501681" name="Rectangle 139">
          <a:extLst>
            <a:ext uri="{FF2B5EF4-FFF2-40B4-BE49-F238E27FC236}">
              <a16:creationId xmlns:a16="http://schemas.microsoft.com/office/drawing/2014/main" id="{00000000-0008-0000-0700-0000F1F25300}"/>
            </a:ext>
          </a:extLst>
        </xdr:cNvPr>
        <xdr:cNvSpPr>
          <a:spLocks noChangeArrowheads="1"/>
        </xdr:cNvSpPr>
      </xdr:nvSpPr>
      <xdr:spPr bwMode="auto">
        <a:xfrm>
          <a:off x="14624050" y="3422650"/>
          <a:ext cx="247650" cy="1714500"/>
        </a:xfrm>
        <a:prstGeom prst="rect">
          <a:avLst/>
        </a:prstGeom>
        <a:noFill/>
        <a:ln w="9525" algn="ctr">
          <a:solidFill>
            <a:srgbClr val="00B0F0"/>
          </a:solidFill>
          <a:prstDash val="sysDash"/>
          <a:round/>
          <a:headEnd/>
          <a:tailEnd/>
        </a:ln>
      </xdr:spPr>
    </xdr:sp>
    <xdr:clientData/>
  </xdr:twoCellAnchor>
  <xdr:twoCellAnchor>
    <xdr:from>
      <xdr:col>18</xdr:col>
      <xdr:colOff>927100</xdr:colOff>
      <xdr:row>1</xdr:row>
      <xdr:rowOff>12700</xdr:rowOff>
    </xdr:from>
    <xdr:to>
      <xdr:col>18</xdr:col>
      <xdr:colOff>927100</xdr:colOff>
      <xdr:row>29</xdr:row>
      <xdr:rowOff>69850</xdr:rowOff>
    </xdr:to>
    <xdr:sp macro="" textlink="">
      <xdr:nvSpPr>
        <xdr:cNvPr id="5501682" name="Line 270">
          <a:extLst>
            <a:ext uri="{FF2B5EF4-FFF2-40B4-BE49-F238E27FC236}">
              <a16:creationId xmlns:a16="http://schemas.microsoft.com/office/drawing/2014/main" id="{00000000-0008-0000-0700-0000F2F25300}"/>
            </a:ext>
          </a:extLst>
        </xdr:cNvPr>
        <xdr:cNvSpPr>
          <a:spLocks noChangeShapeType="1"/>
        </xdr:cNvSpPr>
      </xdr:nvSpPr>
      <xdr:spPr bwMode="auto">
        <a:xfrm flipH="1">
          <a:off x="15640050" y="184150"/>
          <a:ext cx="0" cy="4806950"/>
        </a:xfrm>
        <a:prstGeom prst="line">
          <a:avLst/>
        </a:prstGeom>
        <a:noFill/>
        <a:ln w="6350">
          <a:solidFill>
            <a:srgbClr val="000000"/>
          </a:solidFill>
          <a:round/>
          <a:headEnd type="triangle" w="sm" len="lg"/>
          <a:tailEnd type="triangle" w="sm" len="lg"/>
        </a:ln>
      </xdr:spPr>
    </xdr:sp>
    <xdr:clientData/>
  </xdr:twoCellAnchor>
  <xdr:twoCellAnchor>
    <xdr:from>
      <xdr:col>17</xdr:col>
      <xdr:colOff>12700</xdr:colOff>
      <xdr:row>33</xdr:row>
      <xdr:rowOff>95250</xdr:rowOff>
    </xdr:from>
    <xdr:to>
      <xdr:col>17</xdr:col>
      <xdr:colOff>520700</xdr:colOff>
      <xdr:row>33</xdr:row>
      <xdr:rowOff>95250</xdr:rowOff>
    </xdr:to>
    <xdr:sp macro="" textlink="">
      <xdr:nvSpPr>
        <xdr:cNvPr id="5501683" name="Line 301">
          <a:extLst>
            <a:ext uri="{FF2B5EF4-FFF2-40B4-BE49-F238E27FC236}">
              <a16:creationId xmlns:a16="http://schemas.microsoft.com/office/drawing/2014/main" id="{00000000-0008-0000-0700-0000F3F25300}"/>
            </a:ext>
          </a:extLst>
        </xdr:cNvPr>
        <xdr:cNvSpPr>
          <a:spLocks noChangeShapeType="1"/>
        </xdr:cNvSpPr>
      </xdr:nvSpPr>
      <xdr:spPr bwMode="auto">
        <a:xfrm>
          <a:off x="13589000" y="5702300"/>
          <a:ext cx="508000" cy="0"/>
        </a:xfrm>
        <a:prstGeom prst="line">
          <a:avLst/>
        </a:prstGeom>
        <a:noFill/>
        <a:ln w="9525">
          <a:solidFill>
            <a:srgbClr val="000000"/>
          </a:solidFill>
          <a:round/>
          <a:headEnd/>
          <a:tailEnd/>
        </a:ln>
      </xdr:spPr>
    </xdr:sp>
    <xdr:clientData/>
  </xdr:twoCellAnchor>
  <xdr:twoCellAnchor>
    <xdr:from>
      <xdr:col>18</xdr:col>
      <xdr:colOff>787400</xdr:colOff>
      <xdr:row>1</xdr:row>
      <xdr:rowOff>19050</xdr:rowOff>
    </xdr:from>
    <xdr:to>
      <xdr:col>18</xdr:col>
      <xdr:colOff>787400</xdr:colOff>
      <xdr:row>30</xdr:row>
      <xdr:rowOff>38100</xdr:rowOff>
    </xdr:to>
    <xdr:sp macro="" textlink="">
      <xdr:nvSpPr>
        <xdr:cNvPr id="5501684" name="Line 270">
          <a:extLst>
            <a:ext uri="{FF2B5EF4-FFF2-40B4-BE49-F238E27FC236}">
              <a16:creationId xmlns:a16="http://schemas.microsoft.com/office/drawing/2014/main" id="{00000000-0008-0000-0700-0000F4F25300}"/>
            </a:ext>
          </a:extLst>
        </xdr:cNvPr>
        <xdr:cNvSpPr>
          <a:spLocks noChangeShapeType="1"/>
        </xdr:cNvSpPr>
      </xdr:nvSpPr>
      <xdr:spPr bwMode="auto">
        <a:xfrm>
          <a:off x="15500350" y="190500"/>
          <a:ext cx="0" cy="4940300"/>
        </a:xfrm>
        <a:prstGeom prst="line">
          <a:avLst/>
        </a:prstGeom>
        <a:noFill/>
        <a:ln w="6350">
          <a:solidFill>
            <a:srgbClr val="000000"/>
          </a:solidFill>
          <a:round/>
          <a:headEnd type="triangle" w="sm" len="lg"/>
          <a:tailEnd type="triangle" w="sm" len="lg"/>
        </a:ln>
      </xdr:spPr>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alexi\Documents\scolaire\IPSA\AeroIpsa\SP-02\STABTRAJ\sp02_v3\Alpha\alpha_vol_actif.xlsx" TargetMode="External"/><Relationship Id="rId1" Type="http://schemas.openxmlformats.org/officeDocument/2006/relationships/externalLinkPath" Target="alpha_vol_actif.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tabilito"/>
      <sheetName val="Trajecto"/>
      <sheetName val="Courbes"/>
      <sheetName val="Propu"/>
      <sheetName val="Calculs"/>
      <sheetName val="Abaco"/>
      <sheetName val="Info"/>
      <sheetName val="Controle"/>
    </sheetNames>
    <sheetDataSet>
      <sheetData sheetId="0"/>
      <sheetData sheetId="1"/>
      <sheetData sheetId="2"/>
      <sheetData sheetId="3">
        <row r="2">
          <cell r="H2">
            <v>1E-4</v>
          </cell>
          <cell r="L2">
            <v>0</v>
          </cell>
        </row>
      </sheetData>
      <sheetData sheetId="4"/>
      <sheetData sheetId="5"/>
      <sheetData sheetId="6"/>
      <sheetData sheetId="7"/>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3" Type="http://schemas.openxmlformats.org/officeDocument/2006/relationships/vmlDrawing" Target="../drawings/vmlDrawing1.v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omments" Target="../comments1.xml"/><Relationship Id="rId2" Type="http://schemas.openxmlformats.org/officeDocument/2006/relationships/drawing" Target="../drawings/drawing1.xml"/><Relationship Id="rId16" Type="http://schemas.openxmlformats.org/officeDocument/2006/relationships/ctrlProp" Target="../ctrlProps/ctrlProp13.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5" Type="http://schemas.openxmlformats.org/officeDocument/2006/relationships/ctrlProp" Target="../ctrlProps/ctrlProp1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16.xml"/><Relationship Id="rId3" Type="http://schemas.openxmlformats.org/officeDocument/2006/relationships/vmlDrawing" Target="../drawings/vmlDrawing2.vml"/><Relationship Id="rId7" Type="http://schemas.openxmlformats.org/officeDocument/2006/relationships/ctrlProp" Target="../ctrlProps/ctrlProp15.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14.xml"/><Relationship Id="rId11" Type="http://schemas.openxmlformats.org/officeDocument/2006/relationships/comments" Target="../comments2.xml"/><Relationship Id="rId5" Type="http://schemas.openxmlformats.org/officeDocument/2006/relationships/image" Target="../media/image6.emf"/><Relationship Id="rId10" Type="http://schemas.openxmlformats.org/officeDocument/2006/relationships/ctrlProp" Target="../ctrlProps/ctrlProp18.xml"/><Relationship Id="rId4" Type="http://schemas.openxmlformats.org/officeDocument/2006/relationships/oleObject" Target="../embeddings/oleObject1.bin"/><Relationship Id="rId9" Type="http://schemas.openxmlformats.org/officeDocument/2006/relationships/ctrlProp" Target="../ctrlProps/ctrlProp17.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6" Type="http://schemas.openxmlformats.org/officeDocument/2006/relationships/oleObject" Target="../embeddings/oleObject12.bin"/><Relationship Id="rId21" Type="http://schemas.openxmlformats.org/officeDocument/2006/relationships/image" Target="../media/image14.emf"/><Relationship Id="rId42" Type="http://schemas.openxmlformats.org/officeDocument/2006/relationships/oleObject" Target="../embeddings/oleObject20.bin"/><Relationship Id="rId47" Type="http://schemas.openxmlformats.org/officeDocument/2006/relationships/image" Target="../media/image27.emf"/><Relationship Id="rId63" Type="http://schemas.openxmlformats.org/officeDocument/2006/relationships/image" Target="../media/image35.emf"/><Relationship Id="rId68" Type="http://schemas.openxmlformats.org/officeDocument/2006/relationships/oleObject" Target="../embeddings/oleObject33.bin"/><Relationship Id="rId16" Type="http://schemas.openxmlformats.org/officeDocument/2006/relationships/oleObject" Target="../embeddings/oleObject7.bin"/><Relationship Id="rId11" Type="http://schemas.openxmlformats.org/officeDocument/2006/relationships/image" Target="../media/image9.emf"/><Relationship Id="rId24" Type="http://schemas.openxmlformats.org/officeDocument/2006/relationships/oleObject" Target="../embeddings/oleObject11.bin"/><Relationship Id="rId32" Type="http://schemas.openxmlformats.org/officeDocument/2006/relationships/oleObject" Target="../embeddings/oleObject15.bin"/><Relationship Id="rId37" Type="http://schemas.openxmlformats.org/officeDocument/2006/relationships/image" Target="../media/image22.emf"/><Relationship Id="rId40" Type="http://schemas.openxmlformats.org/officeDocument/2006/relationships/oleObject" Target="../embeddings/oleObject19.bin"/><Relationship Id="rId45" Type="http://schemas.openxmlformats.org/officeDocument/2006/relationships/image" Target="../media/image26.emf"/><Relationship Id="rId53" Type="http://schemas.openxmlformats.org/officeDocument/2006/relationships/image" Target="../media/image30.emf"/><Relationship Id="rId58" Type="http://schemas.openxmlformats.org/officeDocument/2006/relationships/oleObject" Target="../embeddings/oleObject28.bin"/><Relationship Id="rId66" Type="http://schemas.openxmlformats.org/officeDocument/2006/relationships/oleObject" Target="../embeddings/oleObject32.bin"/><Relationship Id="rId74" Type="http://schemas.openxmlformats.org/officeDocument/2006/relationships/oleObject" Target="../embeddings/oleObject36.bin"/><Relationship Id="rId5" Type="http://schemas.openxmlformats.org/officeDocument/2006/relationships/vmlDrawing" Target="../drawings/vmlDrawing3.vml"/><Relationship Id="rId61" Type="http://schemas.openxmlformats.org/officeDocument/2006/relationships/image" Target="../media/image34.emf"/><Relationship Id="rId19" Type="http://schemas.openxmlformats.org/officeDocument/2006/relationships/image" Target="../media/image13.emf"/><Relationship Id="rId14" Type="http://schemas.openxmlformats.org/officeDocument/2006/relationships/oleObject" Target="../embeddings/oleObject6.bin"/><Relationship Id="rId22" Type="http://schemas.openxmlformats.org/officeDocument/2006/relationships/oleObject" Target="../embeddings/oleObject10.bin"/><Relationship Id="rId27" Type="http://schemas.openxmlformats.org/officeDocument/2006/relationships/image" Target="../media/image17.emf"/><Relationship Id="rId30" Type="http://schemas.openxmlformats.org/officeDocument/2006/relationships/oleObject" Target="../embeddings/oleObject14.bin"/><Relationship Id="rId35" Type="http://schemas.openxmlformats.org/officeDocument/2006/relationships/image" Target="../media/image21.emf"/><Relationship Id="rId43" Type="http://schemas.openxmlformats.org/officeDocument/2006/relationships/image" Target="../media/image25.emf"/><Relationship Id="rId48" Type="http://schemas.openxmlformats.org/officeDocument/2006/relationships/oleObject" Target="../embeddings/oleObject23.bin"/><Relationship Id="rId56" Type="http://schemas.openxmlformats.org/officeDocument/2006/relationships/oleObject" Target="../embeddings/oleObject27.bin"/><Relationship Id="rId64" Type="http://schemas.openxmlformats.org/officeDocument/2006/relationships/oleObject" Target="../embeddings/oleObject31.bin"/><Relationship Id="rId69" Type="http://schemas.openxmlformats.org/officeDocument/2006/relationships/image" Target="../media/image38.emf"/><Relationship Id="rId77" Type="http://schemas.openxmlformats.org/officeDocument/2006/relationships/image" Target="../media/image42.emf"/><Relationship Id="rId8" Type="http://schemas.openxmlformats.org/officeDocument/2006/relationships/oleObject" Target="../embeddings/oleObject3.bin"/><Relationship Id="rId51" Type="http://schemas.openxmlformats.org/officeDocument/2006/relationships/image" Target="../media/image29.emf"/><Relationship Id="rId72" Type="http://schemas.openxmlformats.org/officeDocument/2006/relationships/oleObject" Target="../embeddings/oleObject35.bin"/><Relationship Id="rId3" Type="http://schemas.openxmlformats.org/officeDocument/2006/relationships/printerSettings" Target="../printerSettings/printerSettings5.bin"/><Relationship Id="rId12" Type="http://schemas.openxmlformats.org/officeDocument/2006/relationships/oleObject" Target="../embeddings/oleObject5.bin"/><Relationship Id="rId17" Type="http://schemas.openxmlformats.org/officeDocument/2006/relationships/image" Target="../media/image12.emf"/><Relationship Id="rId25" Type="http://schemas.openxmlformats.org/officeDocument/2006/relationships/image" Target="../media/image16.emf"/><Relationship Id="rId33" Type="http://schemas.openxmlformats.org/officeDocument/2006/relationships/image" Target="../media/image20.emf"/><Relationship Id="rId38" Type="http://schemas.openxmlformats.org/officeDocument/2006/relationships/oleObject" Target="../embeddings/oleObject18.bin"/><Relationship Id="rId46" Type="http://schemas.openxmlformats.org/officeDocument/2006/relationships/oleObject" Target="../embeddings/oleObject22.bin"/><Relationship Id="rId59" Type="http://schemas.openxmlformats.org/officeDocument/2006/relationships/image" Target="../media/image33.emf"/><Relationship Id="rId67" Type="http://schemas.openxmlformats.org/officeDocument/2006/relationships/image" Target="../media/image37.emf"/><Relationship Id="rId20" Type="http://schemas.openxmlformats.org/officeDocument/2006/relationships/oleObject" Target="../embeddings/oleObject9.bin"/><Relationship Id="rId41" Type="http://schemas.openxmlformats.org/officeDocument/2006/relationships/image" Target="../media/image24.emf"/><Relationship Id="rId54" Type="http://schemas.openxmlformats.org/officeDocument/2006/relationships/oleObject" Target="../embeddings/oleObject26.bin"/><Relationship Id="rId62" Type="http://schemas.openxmlformats.org/officeDocument/2006/relationships/oleObject" Target="../embeddings/oleObject30.bin"/><Relationship Id="rId70" Type="http://schemas.openxmlformats.org/officeDocument/2006/relationships/oleObject" Target="../embeddings/oleObject34.bin"/><Relationship Id="rId75" Type="http://schemas.openxmlformats.org/officeDocument/2006/relationships/image" Target="../media/image41.emf"/><Relationship Id="rId1" Type="http://schemas.openxmlformats.org/officeDocument/2006/relationships/hyperlink" Target="http://en.wikipedia.org/wiki/Template:Numerical_integrators" TargetMode="External"/><Relationship Id="rId6" Type="http://schemas.openxmlformats.org/officeDocument/2006/relationships/oleObject" Target="../embeddings/oleObject2.bin"/><Relationship Id="rId15" Type="http://schemas.openxmlformats.org/officeDocument/2006/relationships/image" Target="../media/image11.emf"/><Relationship Id="rId23" Type="http://schemas.openxmlformats.org/officeDocument/2006/relationships/image" Target="../media/image15.emf"/><Relationship Id="rId28" Type="http://schemas.openxmlformats.org/officeDocument/2006/relationships/oleObject" Target="../embeddings/oleObject13.bin"/><Relationship Id="rId36" Type="http://schemas.openxmlformats.org/officeDocument/2006/relationships/oleObject" Target="../embeddings/oleObject17.bin"/><Relationship Id="rId49" Type="http://schemas.openxmlformats.org/officeDocument/2006/relationships/image" Target="../media/image28.emf"/><Relationship Id="rId57" Type="http://schemas.openxmlformats.org/officeDocument/2006/relationships/image" Target="../media/image32.emf"/><Relationship Id="rId10" Type="http://schemas.openxmlformats.org/officeDocument/2006/relationships/oleObject" Target="../embeddings/oleObject4.bin"/><Relationship Id="rId31" Type="http://schemas.openxmlformats.org/officeDocument/2006/relationships/image" Target="../media/image19.emf"/><Relationship Id="rId44" Type="http://schemas.openxmlformats.org/officeDocument/2006/relationships/oleObject" Target="../embeddings/oleObject21.bin"/><Relationship Id="rId52" Type="http://schemas.openxmlformats.org/officeDocument/2006/relationships/oleObject" Target="../embeddings/oleObject25.bin"/><Relationship Id="rId60" Type="http://schemas.openxmlformats.org/officeDocument/2006/relationships/oleObject" Target="../embeddings/oleObject29.bin"/><Relationship Id="rId65" Type="http://schemas.openxmlformats.org/officeDocument/2006/relationships/image" Target="../media/image36.emf"/><Relationship Id="rId73" Type="http://schemas.openxmlformats.org/officeDocument/2006/relationships/image" Target="../media/image40.emf"/><Relationship Id="rId4" Type="http://schemas.openxmlformats.org/officeDocument/2006/relationships/drawing" Target="../drawings/drawing5.xml"/><Relationship Id="rId9" Type="http://schemas.openxmlformats.org/officeDocument/2006/relationships/image" Target="../media/image8.emf"/><Relationship Id="rId13" Type="http://schemas.openxmlformats.org/officeDocument/2006/relationships/image" Target="../media/image10.emf"/><Relationship Id="rId18" Type="http://schemas.openxmlformats.org/officeDocument/2006/relationships/oleObject" Target="../embeddings/oleObject8.bin"/><Relationship Id="rId39" Type="http://schemas.openxmlformats.org/officeDocument/2006/relationships/image" Target="../media/image23.emf"/><Relationship Id="rId34" Type="http://schemas.openxmlformats.org/officeDocument/2006/relationships/oleObject" Target="../embeddings/oleObject16.bin"/><Relationship Id="rId50" Type="http://schemas.openxmlformats.org/officeDocument/2006/relationships/oleObject" Target="../embeddings/oleObject24.bin"/><Relationship Id="rId55" Type="http://schemas.openxmlformats.org/officeDocument/2006/relationships/image" Target="../media/image31.emf"/><Relationship Id="rId76" Type="http://schemas.openxmlformats.org/officeDocument/2006/relationships/oleObject" Target="../embeddings/oleObject37.bin"/><Relationship Id="rId7" Type="http://schemas.openxmlformats.org/officeDocument/2006/relationships/image" Target="../media/image7.emf"/><Relationship Id="rId71" Type="http://schemas.openxmlformats.org/officeDocument/2006/relationships/image" Target="../media/image39.emf"/><Relationship Id="rId2" Type="http://schemas.openxmlformats.org/officeDocument/2006/relationships/hyperlink" Target="http://www.planete-sciences.org/espace/basedoc/" TargetMode="External"/><Relationship Id="rId29" Type="http://schemas.openxmlformats.org/officeDocument/2006/relationships/image" Target="../media/image18.emf"/></Relationships>
</file>

<file path=xl/worksheets/_rels/sheet6.xml.rels><?xml version="1.0" encoding="UTF-8" standalone="yes"?>
<Relationships xmlns="http://schemas.openxmlformats.org/package/2006/relationships"><Relationship Id="rId8" Type="http://schemas.openxmlformats.org/officeDocument/2006/relationships/comments" Target="../comments3.xml"/><Relationship Id="rId3" Type="http://schemas.openxmlformats.org/officeDocument/2006/relationships/vmlDrawing" Target="../drawings/vmlDrawing4.vml"/><Relationship Id="rId7" Type="http://schemas.openxmlformats.org/officeDocument/2006/relationships/ctrlProp" Target="../ctrlProps/ctrlProp20.xml"/><Relationship Id="rId2" Type="http://schemas.openxmlformats.org/officeDocument/2006/relationships/drawing" Target="../drawings/drawing6.xml"/><Relationship Id="rId1" Type="http://schemas.openxmlformats.org/officeDocument/2006/relationships/printerSettings" Target="../printerSettings/printerSettings6.bin"/><Relationship Id="rId6" Type="http://schemas.openxmlformats.org/officeDocument/2006/relationships/ctrlProp" Target="../ctrlProps/ctrlProp19.xml"/><Relationship Id="rId5" Type="http://schemas.openxmlformats.org/officeDocument/2006/relationships/image" Target="../media/image43.emf"/><Relationship Id="rId4" Type="http://schemas.openxmlformats.org/officeDocument/2006/relationships/oleObject" Target="../embeddings/oleObject38.bin"/></Relationships>
</file>

<file path=xl/worksheets/_rels/sheet7.xml.rels><?xml version="1.0" encoding="UTF-8" standalone="yes"?>
<Relationships xmlns="http://schemas.openxmlformats.org/package/2006/relationships"><Relationship Id="rId3" Type="http://schemas.openxmlformats.org/officeDocument/2006/relationships/hyperlink" Target="http://creativecommons.org/licenses/by-sa/3.0/" TargetMode="External"/><Relationship Id="rId7" Type="http://schemas.openxmlformats.org/officeDocument/2006/relationships/comments" Target="../comments4.xml"/><Relationship Id="rId2" Type="http://schemas.openxmlformats.org/officeDocument/2006/relationships/hyperlink" Target="mailto:espace@planete-sciences.org" TargetMode="External"/><Relationship Id="rId1" Type="http://schemas.openxmlformats.org/officeDocument/2006/relationships/hyperlink" Target="http://www.planete-sciences.org/espace/basedoc/" TargetMode="External"/><Relationship Id="rId6" Type="http://schemas.openxmlformats.org/officeDocument/2006/relationships/vmlDrawing" Target="../drawings/vmlDrawing5.vml"/><Relationship Id="rId5" Type="http://schemas.openxmlformats.org/officeDocument/2006/relationships/drawing" Target="../drawings/drawing7.xml"/><Relationship Id="rId4"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euil2">
    <pageSetUpPr fitToPage="1"/>
  </sheetPr>
  <dimension ref="A1:W361"/>
  <sheetViews>
    <sheetView showGridLines="0" zoomScale="115" zoomScaleNormal="115" zoomScaleSheetLayoutView="100" workbookViewId="0">
      <selection activeCell="S28" sqref="S28"/>
    </sheetView>
  </sheetViews>
  <sheetFormatPr baseColWidth="10" defaultColWidth="11.42578125" defaultRowHeight="12.75" x14ac:dyDescent="0.2"/>
  <cols>
    <col min="1" max="1" width="2.140625" style="24" customWidth="1"/>
    <col min="2" max="2" width="16.140625" style="24" customWidth="1"/>
    <col min="3" max="3" width="12.85546875" style="31" customWidth="1"/>
    <col min="4" max="4" width="12.85546875" style="24" customWidth="1"/>
    <col min="5" max="5" width="4.140625" style="89" customWidth="1"/>
    <col min="6" max="6" width="10.140625" style="26" bestFit="1" customWidth="1"/>
    <col min="7" max="7" width="10" style="26" bestFit="1" customWidth="1"/>
    <col min="8" max="9" width="8.5703125" style="26" customWidth="1"/>
    <col min="10" max="10" width="5.42578125" style="24" customWidth="1"/>
    <col min="11" max="11" width="2.140625" style="24" customWidth="1"/>
    <col min="12" max="12" width="17" style="24" customWidth="1"/>
    <col min="13" max="13" width="8.5703125" style="24" customWidth="1"/>
    <col min="14" max="15" width="4.140625" style="24" customWidth="1"/>
    <col min="16" max="16" width="8.5703125" style="24" customWidth="1"/>
    <col min="17" max="18" width="2.140625" style="24" customWidth="1"/>
    <col min="19" max="16384" width="11.42578125" style="24"/>
  </cols>
  <sheetData>
    <row r="1" spans="1:20" ht="12.75" customHeight="1" x14ac:dyDescent="0.2">
      <c r="A1" s="19"/>
      <c r="B1" s="20"/>
      <c r="C1" s="21"/>
      <c r="D1" s="20"/>
      <c r="E1" s="88"/>
      <c r="F1" s="22"/>
      <c r="G1" s="22"/>
      <c r="H1" s="22"/>
      <c r="I1" s="22"/>
      <c r="J1" s="20"/>
      <c r="K1" s="20"/>
      <c r="L1" s="20"/>
      <c r="M1" s="20"/>
      <c r="N1" s="20"/>
      <c r="O1" s="20"/>
      <c r="P1" s="20"/>
      <c r="Q1" s="23"/>
    </row>
    <row r="2" spans="1:20" ht="12.75" customHeight="1" x14ac:dyDescent="0.2">
      <c r="A2" s="25"/>
      <c r="C2" s="609" t="s">
        <v>53</v>
      </c>
      <c r="D2" s="609"/>
      <c r="L2" s="147" t="str">
        <f>"Language/Langue"</f>
        <v>Language/Langue</v>
      </c>
      <c r="M2" s="585" t="s">
        <v>1</v>
      </c>
      <c r="N2" s="585"/>
      <c r="O2" s="585"/>
      <c r="P2" s="586"/>
      <c r="Q2" s="27"/>
    </row>
    <row r="3" spans="1:20" ht="12.75" customHeight="1" x14ac:dyDescent="0.2">
      <c r="A3" s="25"/>
      <c r="C3" s="609"/>
      <c r="D3" s="609"/>
      <c r="L3" s="596"/>
      <c r="M3" s="596"/>
      <c r="N3" s="45"/>
      <c r="Q3" s="27"/>
    </row>
    <row r="4" spans="1:20" ht="12.75" customHeight="1" x14ac:dyDescent="0.2">
      <c r="A4" s="25"/>
      <c r="C4" s="610" t="str">
        <f>IF(Lang="Français","Stabilité de fusée à ailerons",IF(Lang="English","Stability for rocket with fins",""))</f>
        <v>Stabilité de fusée à ailerons</v>
      </c>
      <c r="D4" s="610"/>
      <c r="L4" s="33"/>
      <c r="M4" s="585" t="s">
        <v>570</v>
      </c>
      <c r="N4" s="585"/>
      <c r="O4" s="585"/>
      <c r="P4" s="586"/>
      <c r="Q4" s="27"/>
    </row>
    <row r="5" spans="1:20" ht="12.75" customHeight="1" x14ac:dyDescent="0.25">
      <c r="A5" s="25"/>
      <c r="B5" s="28"/>
      <c r="C5" s="624"/>
      <c r="D5" s="624"/>
      <c r="L5" s="33"/>
      <c r="M5" s="616" t="s">
        <v>156</v>
      </c>
      <c r="N5" s="617"/>
      <c r="O5" s="599" t="s">
        <v>157</v>
      </c>
      <c r="P5" s="599"/>
      <c r="Q5" s="29"/>
    </row>
    <row r="6" spans="1:20" ht="12.75" customHeight="1" thickBot="1" x14ac:dyDescent="0.25">
      <c r="A6" s="25"/>
      <c r="B6" s="87"/>
      <c r="C6" s="634" t="str">
        <f>IF(Lang="Français","Remplir les cases jaunes",IF(Lang="English","Fill-in yellow cells only",""))</f>
        <v>Remplir les cases jaunes</v>
      </c>
      <c r="D6" s="634"/>
      <c r="L6" s="139" t="str">
        <f>IF(Lang="Français","Longueur      'L'",IF(Lang="English","Length      'L'",""))</f>
        <v>Longueur      'L'</v>
      </c>
      <c r="M6" s="605">
        <v>60</v>
      </c>
      <c r="N6" s="606"/>
      <c r="O6" s="591">
        <v>50</v>
      </c>
      <c r="P6" s="591"/>
      <c r="Q6" s="29"/>
    </row>
    <row r="7" spans="1:20" ht="12.75" customHeight="1" thickTop="1" thickBot="1" x14ac:dyDescent="0.25">
      <c r="A7" s="25"/>
      <c r="B7" s="31"/>
      <c r="C7" s="612" t="str">
        <f>IF(Lang="Français","Fusée",IF(Lang="English","Rocket",""))</f>
        <v>Fusée</v>
      </c>
      <c r="D7" s="613"/>
      <c r="L7" s="139" t="str">
        <f>IF(Lang="Français","Diamètre     'D1'",IF(Lang="English","Diameter 'D1'",""))</f>
        <v>Diamètre     'D1'</v>
      </c>
      <c r="M7" s="605">
        <v>84</v>
      </c>
      <c r="N7" s="606"/>
      <c r="O7" s="591">
        <v>104</v>
      </c>
      <c r="P7" s="591"/>
      <c r="Q7" s="29"/>
    </row>
    <row r="8" spans="1:20" ht="12.75" customHeight="1" thickTop="1" x14ac:dyDescent="0.2">
      <c r="A8" s="25"/>
      <c r="B8" s="138" t="str">
        <f>IF(Lang="Français","Nom",IF(Lang="English","Name",""))</f>
        <v>Nom</v>
      </c>
      <c r="C8" s="635" t="s">
        <v>571</v>
      </c>
      <c r="D8" s="635"/>
      <c r="E8" s="90"/>
      <c r="K8" s="33"/>
      <c r="L8" s="139" t="str">
        <f>IF(Lang="Français","Diamètre     'D2'",IF(Lang="English","Diameter 'D2'",""))</f>
        <v>Diamètre     'D2'</v>
      </c>
      <c r="M8" s="605">
        <v>104</v>
      </c>
      <c r="N8" s="606"/>
      <c r="O8" s="591">
        <v>84</v>
      </c>
      <c r="P8" s="591"/>
      <c r="Q8" s="29"/>
    </row>
    <row r="9" spans="1:20" ht="12.75" customHeight="1" x14ac:dyDescent="0.2">
      <c r="A9" s="25"/>
      <c r="B9" s="138" t="s">
        <v>4</v>
      </c>
      <c r="C9" s="636" t="s">
        <v>568</v>
      </c>
      <c r="D9" s="636"/>
      <c r="E9" s="90"/>
      <c r="K9" s="33"/>
      <c r="L9" s="139" t="str">
        <f>IF(Lang="Français","Implantation 'x'",IF(Lang="English","Basement 'x'",""))</f>
        <v>Implantation 'x'</v>
      </c>
      <c r="M9" s="605">
        <v>1</v>
      </c>
      <c r="N9" s="606"/>
      <c r="O9" s="591">
        <v>1070</v>
      </c>
      <c r="P9" s="591"/>
      <c r="Q9" s="29"/>
    </row>
    <row r="10" spans="1:20" ht="12.75" customHeight="1" x14ac:dyDescent="0.2">
      <c r="A10" s="25"/>
      <c r="B10" s="138" t="s">
        <v>562</v>
      </c>
      <c r="C10" s="537" t="str">
        <f>IF((LEFT(Type_fusee,4)="Mini"),"MF",(IF((RIGHT(Type_fusee,1)="."),"FX","")))</f>
        <v>FX</v>
      </c>
      <c r="D10" s="538">
        <v>0</v>
      </c>
      <c r="E10" s="539" t="str">
        <f>IF(C10="","",C10&amp;D10)</f>
        <v>FX0</v>
      </c>
      <c r="K10" s="33"/>
      <c r="Q10" s="29"/>
    </row>
    <row r="11" spans="1:20" ht="12.75" customHeight="1" x14ac:dyDescent="0.2">
      <c r="A11" s="25"/>
      <c r="B11" s="139" t="s">
        <v>54</v>
      </c>
      <c r="C11" s="614" t="s">
        <v>567</v>
      </c>
      <c r="D11" s="615"/>
      <c r="E11" s="90"/>
      <c r="K11" s="33"/>
      <c r="L11" s="107"/>
      <c r="M11" s="224" t="str">
        <f>IF(Lang="Français","Propu plein",IF(Lang="English","Loaded Motor",""))</f>
        <v>Propu plein</v>
      </c>
      <c r="N11" s="597" t="str">
        <f>IF(Lang="Français","Propu vide",IF(Lang="English","Empty Motor",""))</f>
        <v>Propu vide</v>
      </c>
      <c r="O11" s="598"/>
      <c r="P11" s="224" t="str">
        <f>IF(Lang="Français","Sans propu",IF(Lang="English","Without M",""))</f>
        <v>Sans propu</v>
      </c>
      <c r="Q11" s="29"/>
      <c r="S11" s="385"/>
      <c r="T11" s="386" t="str">
        <f>IF(Lang="Français","Propulseur",IF(Lang="English","Motor",""))</f>
        <v>Propulseur</v>
      </c>
    </row>
    <row r="12" spans="1:20" ht="12.75" customHeight="1" x14ac:dyDescent="0.2">
      <c r="A12" s="25"/>
      <c r="B12" s="139" t="str">
        <f>IF(Lang="Français","Masse",IF(Lang="English","Weight",""))</f>
        <v>Masse</v>
      </c>
      <c r="C12" s="222">
        <v>4341</v>
      </c>
      <c r="D12" s="34" t="s">
        <v>572</v>
      </c>
      <c r="L12" s="108" t="str">
        <f>IF(Lang="Français","Masse propu",IF(Lang="English","Motor Mass",""))</f>
        <v>Masse propu</v>
      </c>
      <c r="M12" s="109">
        <f ca="1">MpropuPlein</f>
        <v>1E-4</v>
      </c>
      <c r="N12" s="589">
        <f ca="1">MpropuVide</f>
        <v>0</v>
      </c>
      <c r="O12" s="590"/>
      <c r="P12" s="110" t="s">
        <v>14</v>
      </c>
      <c r="Q12" s="29"/>
      <c r="S12" s="386" t="str">
        <f>IF(Lang="Français","Haut",IF(Lang="English","Top",""))</f>
        <v>Haut</v>
      </c>
      <c r="T12" s="387">
        <f ca="1">XpropuRef-Long_propu</f>
        <v>1110</v>
      </c>
    </row>
    <row r="13" spans="1:20" ht="12.75" customHeight="1" x14ac:dyDescent="0.2">
      <c r="A13" s="25"/>
      <c r="B13" s="139" t="str">
        <f>IF(Lang="Français","Centre de Masse",IF(Lang="English","Center of Mass",""))</f>
        <v>Centre de Masse</v>
      </c>
      <c r="C13" s="35">
        <v>493</v>
      </c>
      <c r="D13" s="34" t="s">
        <v>572</v>
      </c>
      <c r="L13" s="108" t="str">
        <f>IF(Lang="Français","CdM propu",IF(Lang="English","Motor CoM",""))</f>
        <v>CdM propu</v>
      </c>
      <c r="M13" s="111">
        <f ca="1">XpropuPlein</f>
        <v>0</v>
      </c>
      <c r="N13" s="587">
        <f ca="1">XpropuVide</f>
        <v>0</v>
      </c>
      <c r="O13" s="588"/>
      <c r="P13" s="110" t="s">
        <v>14</v>
      </c>
      <c r="Q13" s="29"/>
      <c r="S13" s="386" t="str">
        <f>IF(Lang="Français","Longueur",IF(Lang="English","Length",""))</f>
        <v>Longueur</v>
      </c>
      <c r="T13" s="387">
        <f ca="1">Long_propu</f>
        <v>0</v>
      </c>
    </row>
    <row r="14" spans="1:20" ht="12.6" customHeight="1" x14ac:dyDescent="0.2">
      <c r="A14" s="25"/>
      <c r="B14" s="139" t="str">
        <f>IF(Lang="Français","Longueur totale",IF(Lang="English","Total length",""))</f>
        <v>Longueur totale</v>
      </c>
      <c r="C14" s="605">
        <v>1120</v>
      </c>
      <c r="D14" s="606"/>
      <c r="L14" s="108" t="str">
        <f>IF(Lang="Français","Masse fusée",IF(Lang="English","Rocket Mass",""))</f>
        <v>Masse fusée</v>
      </c>
      <c r="M14" s="112">
        <f ca="1">MasseSans+MpropuPlein</f>
        <v>4.3411</v>
      </c>
      <c r="N14" s="618">
        <f ca="1">MasseSans+MpropuVide</f>
        <v>4.3410000000000002</v>
      </c>
      <c r="O14" s="619"/>
      <c r="P14" s="109">
        <f>IF(OR(D12="sans propu",D12="without motor"),C12/1000,IF(OR(D12="avec propu vide",D12="with empty motor"),C12/1000-MpropuVide,IF(OR(D12="avec propu plein",D12="with loaded motor"),C12/1000-MpropuPlein,"Erreur")))</f>
        <v>4.3410000000000002</v>
      </c>
      <c r="Q14" s="29"/>
      <c r="S14" s="386" t="str">
        <f>IF(Lang="Français","Bas",IF(Lang="English","Base",""))</f>
        <v>Bas</v>
      </c>
      <c r="T14" s="387">
        <f>XpropuRef</f>
        <v>1110</v>
      </c>
    </row>
    <row r="15" spans="1:20" ht="12.75" customHeight="1" x14ac:dyDescent="0.2">
      <c r="A15" s="25"/>
      <c r="B15" s="139" t="str">
        <f>IF(Lang="Français","Diamètre Réf.",IF(Lang="English","Ref. Diameter",""))</f>
        <v>Diamètre Réf.</v>
      </c>
      <c r="C15" s="605">
        <v>104</v>
      </c>
      <c r="D15" s="606"/>
      <c r="L15" s="175" t="str">
        <f>IF(Lang="Français","CdM fusée",IF(Lang="English","Rocket CoM",""))</f>
        <v>CdM fusée</v>
      </c>
      <c r="M15" s="176">
        <f ca="1">(XcgSans*MasseSans+(XpropuRef-Long_propu+XpropuPlein)*MpropuPlein)/MassePlein</f>
        <v>493.0142129874917</v>
      </c>
      <c r="N15" s="620">
        <f ca="1">(XcgSans*MasseSans+(XpropuRef-Long_propu+XpropuVide)*MpropuVide)/MasseVide</f>
        <v>493.00000000000006</v>
      </c>
      <c r="O15" s="621"/>
      <c r="P15" s="113">
        <f>IF(OR(D13="sans propu",D13="without motor"),C13,IF(OR(D13="avec propu vide",D13="with empty motor"),(C13*MasseVide-(XpropuRef-Long_propu+XpropuVide)*MpropuVide)/MasseSans,IF(OR(D13="avec propu plein",D13="with loaded motor"),(C13*MassePlein-(XpropuRef-Long_propu+XpropuPlein)*MpropuPlein)/MasseSans,"Erreur")))</f>
        <v>493</v>
      </c>
      <c r="Q15" s="29"/>
    </row>
    <row r="16" spans="1:20" ht="12.75" customHeight="1" thickBot="1" x14ac:dyDescent="0.25">
      <c r="A16" s="25"/>
      <c r="D16" s="31"/>
      <c r="L16" s="94"/>
      <c r="M16" s="94"/>
      <c r="N16" s="94"/>
      <c r="O16" s="94"/>
      <c r="P16" s="94"/>
      <c r="Q16" s="29"/>
      <c r="S16" s="385"/>
      <c r="T16" s="386" t="str">
        <f>IF(RIGHT(Type_masquage,1)=",",IF(Lang="Français","Ailerons","Fins"),IF(Lang="Français","Ailerons bas","Lower Fins"))</f>
        <v>Ailerons bas</v>
      </c>
    </row>
    <row r="17" spans="1:22" ht="12.75" customHeight="1" thickTop="1" thickBot="1" x14ac:dyDescent="0.25">
      <c r="A17" s="25"/>
      <c r="C17" s="626" t="str">
        <f>IF(Lang="Français","Propulseur",IF(Lang="English","Motor",""))</f>
        <v>Propulseur</v>
      </c>
      <c r="D17" s="627"/>
      <c r="L17" s="114"/>
      <c r="M17" s="622" t="s">
        <v>55</v>
      </c>
      <c r="N17" s="623"/>
      <c r="O17" s="600" t="s">
        <v>65</v>
      </c>
      <c r="P17" s="600"/>
      <c r="Q17" s="29"/>
      <c r="S17" s="386" t="str">
        <f>IF(Lang="Français","Haut","Top")</f>
        <v>Haut</v>
      </c>
      <c r="T17" s="387">
        <f>X_ail-m_ail</f>
        <v>860</v>
      </c>
    </row>
    <row r="18" spans="1:22" ht="12.75" customHeight="1" thickTop="1" x14ac:dyDescent="0.2">
      <c r="A18" s="25"/>
      <c r="B18" s="139" t="s">
        <v>54</v>
      </c>
      <c r="C18" s="628" t="s">
        <v>44</v>
      </c>
      <c r="D18" s="629"/>
      <c r="K18" s="37"/>
      <c r="L18" s="108" t="str">
        <f>IF(Lang="Français","Coiffe",IF(Lang="English","Nose Cone",""))</f>
        <v>Coiffe</v>
      </c>
      <c r="M18" s="594">
        <f>IF(LEFT(Forme_ogive,5)="Parab",1/2*Long_ogive,IF(LEFT(Forme_ogive,4)="Ogiv",7/15*Long_ogive,IF(LEFT(Forme_ogive,3)="Con",2/3*Long_ogive)))</f>
        <v>0.66666666666666663</v>
      </c>
      <c r="N18" s="595"/>
      <c r="O18" s="601">
        <f>2*POWER(D_og/D_ref, 2)</f>
        <v>1.304733727810651</v>
      </c>
      <c r="P18" s="601"/>
      <c r="Q18" s="29"/>
      <c r="S18" s="386" t="str">
        <f>IF(Lang="Français","Emplanture","Root edge")</f>
        <v>Emplanture</v>
      </c>
      <c r="T18" s="387">
        <f>m_ail</f>
        <v>210</v>
      </c>
    </row>
    <row r="19" spans="1:22" ht="12.75" customHeight="1" x14ac:dyDescent="0.2">
      <c r="A19" s="25"/>
      <c r="B19" s="139" t="str">
        <f>IF(Lang="Français","Position du bas",IF(Lang="English","Basement",""))</f>
        <v>Position du bas</v>
      </c>
      <c r="C19" s="591">
        <v>1110</v>
      </c>
      <c r="D19" s="591"/>
      <c r="L19" s="108" t="str">
        <f>IF(Lang="Français","Ailerons",IF(Lang="English","Fins",""))</f>
        <v>Ailerons</v>
      </c>
      <c r="M19" s="594">
        <f>(XCpa*Cnail-0.5*XCpi*Cni)/Cnai</f>
        <v>977.35632183908046</v>
      </c>
      <c r="N19" s="595"/>
      <c r="O19" s="630">
        <f>Cnail-Cni/2</f>
        <v>14.898908321521693</v>
      </c>
      <c r="P19" s="631"/>
      <c r="Q19" s="29"/>
      <c r="S19" s="386" t="str">
        <f>IF(Lang="Français","Bas","Base")</f>
        <v>Bas</v>
      </c>
      <c r="T19" s="387">
        <f>X_ail</f>
        <v>1070</v>
      </c>
    </row>
    <row r="20" spans="1:22" ht="12.75" customHeight="1" thickBot="1" x14ac:dyDescent="0.25">
      <c r="A20" s="25"/>
      <c r="B20" s="428" t="str">
        <f>IF(Propu="Cariacou","Cariacou :"," ")</f>
        <v xml:space="preserve"> </v>
      </c>
      <c r="C20" s="604" t="str">
        <f>IF(Propu="Pandora (Pro24-6G)",IF(Lang="Français","C'Space Seulement",IF(Lang="English","C'Space only","")),"")</f>
        <v/>
      </c>
      <c r="D20" s="604"/>
      <c r="L20" s="108" t="str">
        <f>IF(Lang="Français","Ail bas entier",IF(Lang="English","Total Lower Fins",""))</f>
        <v>Ail bas entier</v>
      </c>
      <c r="M20" s="594">
        <f>X_ail-m_ail+p_ail*(m_ail+2*n_ail)/(3*(m_ail+n_ail))+(m_ail+n_ail-m_ail*n_ail/(m_ail+n_ail))/6</f>
        <v>977.35632183908046</v>
      </c>
      <c r="N20" s="595"/>
      <c r="O20" s="601">
        <f>4*Q_ail*POWER((E_ail/D_ref),2)*(1+D_ail/(2*E_ail+D_ail))/(1+SQRT(1+POWER(2*f_ail/(m_ail+n_ail),2)))</f>
        <v>14.898908321521693</v>
      </c>
      <c r="P20" s="601"/>
      <c r="Q20" s="29"/>
    </row>
    <row r="21" spans="1:22" ht="12.75" customHeight="1" thickTop="1" thickBot="1" x14ac:dyDescent="0.25">
      <c r="A21" s="25"/>
      <c r="B21" s="30"/>
      <c r="C21" s="632" t="str">
        <f>IF(Lang="Français","Coiffe",IF(Lang="English","Nose Cone",""))</f>
        <v>Coiffe</v>
      </c>
      <c r="D21" s="633"/>
      <c r="L21" s="108" t="str">
        <f>IF(Lang="Français","Ailerons haut",IF(Lang="English","Upper Fins",""))</f>
        <v>Ailerons haut</v>
      </c>
      <c r="M21" s="594">
        <f>IF(LEFT(Type_masquage,1)="M",0, X_can-m_can+p_can*(m_can+2*n_can)/(3*(m_can+n_can))+(m_can+n_can-m_can*n_can/(m_can+n_can))/6)</f>
        <v>0</v>
      </c>
      <c r="N21" s="595"/>
      <c r="O21" s="601">
        <f>IF(LEFT(Type_masquage,1)="M",0, 4*Q_can*POWER((E_can/D_ref),2)*(1+D_can/(2*E_can+D_can))/(1+SQRT(1+POWER(2*f_can/(m_can+n_can),2))))</f>
        <v>0</v>
      </c>
      <c r="P21" s="601"/>
      <c r="Q21" s="29"/>
    </row>
    <row r="22" spans="1:22" ht="12.75" customHeight="1" thickTop="1" x14ac:dyDescent="0.2">
      <c r="A22" s="25"/>
      <c r="B22" s="139" t="str">
        <f>IF(Lang="Français","Forme",IF(Lang="English","Shape",""))</f>
        <v>Forme</v>
      </c>
      <c r="C22" s="607" t="s">
        <v>569</v>
      </c>
      <c r="D22" s="608"/>
      <c r="L22" s="108" t="str">
        <f>IF(Lang="Français","Partie masquée",IF(Lang="English","Interation zone",""))</f>
        <v>Partie masquée</v>
      </c>
      <c r="M22" s="611">
        <f>IF(LEFT(Type_masquage,1)="B", X_int-m_int+p_int*(m_int+2*n_int)/(3*(m_int+n_int))+(m_int+n_int-m_int*n_int/(m_int+n_int))/6, 0 )</f>
        <v>0</v>
      </c>
      <c r="N22" s="611"/>
      <c r="O22" s="630">
        <f>IF(LEFT(Type_masquage,1)="B", 4*Q_int*POWER((E_int/D_ref),2)*(1+D_int/(2*E_int+D_int))/(1+SQRT(1+POWER(2*f_int/(m_int+n_int),2))), 0 )</f>
        <v>0</v>
      </c>
      <c r="P22" s="631"/>
      <c r="Q22" s="29"/>
    </row>
    <row r="23" spans="1:22" ht="12.75" customHeight="1" x14ac:dyDescent="0.2">
      <c r="A23" s="25"/>
      <c r="B23" s="139" t="str">
        <f>IF(Lang="Français","Hauteur",IF(Lang="English","Heigth",""))</f>
        <v>Hauteur</v>
      </c>
      <c r="C23" s="605">
        <v>1</v>
      </c>
      <c r="D23" s="606"/>
      <c r="L23" s="108" t="s">
        <v>156</v>
      </c>
      <c r="M23" s="594">
        <f>IF(OR(RIGHT(Nb_diam,1)=",",D2j=0),0, X_j+l_j/3*(1+1/(1+D1j/D2j)) )</f>
        <v>32.063829787234042</v>
      </c>
      <c r="N23" s="595"/>
      <c r="O23" s="601">
        <f>IF(OR(RIGHT(Nb_diam,1)=",",D2j=0),0,2*(POWER(D2j/D_ref,2)-POWER(D1j/D_ref,2)))</f>
        <v>0.695266272189349</v>
      </c>
      <c r="P23" s="601"/>
      <c r="Q23" s="29"/>
    </row>
    <row r="24" spans="1:22" ht="12.75" customHeight="1" thickBot="1" x14ac:dyDescent="0.25">
      <c r="A24" s="25"/>
      <c r="B24" s="139" t="str">
        <f>IF(Lang="Français","Diamètre",IF(Lang="English","Diameter",""))</f>
        <v>Diamètre</v>
      </c>
      <c r="C24" s="605">
        <v>84</v>
      </c>
      <c r="D24" s="606"/>
      <c r="L24" s="108" t="s">
        <v>157</v>
      </c>
      <c r="M24" s="594">
        <f>IF( OR(RIGHT(Nb_diam,1)=",",D2r=0), 0, X_r+l_r/3*(1+1/(1+D1r/D2r)) )</f>
        <v>1094.113475177305</v>
      </c>
      <c r="N24" s="595"/>
      <c r="O24" s="601">
        <f>IF( OR(RIGHT(Nb_diam,1)=",",D2r=0), 0, 2*(POWER(D2r/D_ref,2)-POWER(D1r/D_ref,2)) )</f>
        <v>-0.695266272189349</v>
      </c>
      <c r="P24" s="601"/>
      <c r="Q24" s="29"/>
    </row>
    <row r="25" spans="1:22" ht="12.75" customHeight="1" thickBot="1" x14ac:dyDescent="0.25">
      <c r="A25" s="25"/>
      <c r="E25" s="180" t="s">
        <v>151</v>
      </c>
      <c r="L25" s="38"/>
      <c r="M25" s="38"/>
      <c r="N25" s="38"/>
      <c r="Q25" s="29"/>
      <c r="R25" s="38"/>
      <c r="S25" s="388" t="str">
        <f ca="1">IF(AND(Portee_balistique&gt;200,LEFT(Type_propu,3)="Min"),IF(Lang="Français","Fusée trop lègère !","Rocket too light"),"")</f>
        <v/>
      </c>
    </row>
    <row r="26" spans="1:22" ht="12.75" customHeight="1" thickTop="1" thickBot="1" x14ac:dyDescent="0.25">
      <c r="A26" s="25"/>
      <c r="B26" s="30"/>
      <c r="C26" s="178" t="str">
        <f>IF(LEFT(Type_masquage,1)="M",IF(Lang="Français","Ailerons","Fins"),IF(Lang="Français","Ailerons bas","Lower Fins"))</f>
        <v>Ailerons</v>
      </c>
      <c r="D26" s="179" t="str">
        <f>IF(Lang="Français","Ailerons haut",IF(Lang="English","Upper Fins",""))</f>
        <v>Ailerons haut</v>
      </c>
      <c r="F26" s="39">
        <f ca="1">TODAY()</f>
        <v>46139</v>
      </c>
      <c r="G26" s="137" t="s">
        <v>62</v>
      </c>
      <c r="H26" s="625" t="str">
        <f>IF(Lang="Français","Résultats",IF(Lang="English","Results",""))</f>
        <v>Résultats</v>
      </c>
      <c r="I26" s="625"/>
      <c r="J26" s="137" t="s">
        <v>63</v>
      </c>
      <c r="K26" s="32"/>
      <c r="L26" s="38"/>
      <c r="M26" s="38"/>
      <c r="N26" s="38"/>
      <c r="Q26" s="29"/>
      <c r="R26" s="38"/>
      <c r="S26" s="388" t="e">
        <f ca="1">IF(AND(Vsortie_de_rampe&lt;18, OR(LEFT(Type_fusee,1)=",",LEFT(Type_fusee,4)="Mini",LEFT(Type_fusee,1)="R")),IF(Lang="Français","Fusée trop lourde ou rampe trop courte !","Rocket too heavy or launch pad too small!"),"")</f>
        <v>#N/A</v>
      </c>
    </row>
    <row r="27" spans="1:22" ht="12.75" customHeight="1" thickTop="1" x14ac:dyDescent="0.2">
      <c r="A27" s="25"/>
      <c r="B27" s="30"/>
      <c r="C27" s="602" t="s">
        <v>423</v>
      </c>
      <c r="D27" s="603"/>
      <c r="E27" s="146">
        <f>m_ail</f>
        <v>210</v>
      </c>
      <c r="F27" s="105" t="s">
        <v>64</v>
      </c>
      <c r="G27" s="104">
        <f>IF(RIGHT(Type_fusee,1)=".",10, IF(OR(LEFT(Type_fusee,1)="R",LEFT(Type_fusee,1)=",",LEFT(Type_fusee,4)="Mini"),10, IF(LEFT(Type_fusee,5)="Micro",10, IF(RIGHT(Type_fusee,1)=" ",1))))</f>
        <v>10</v>
      </c>
      <c r="H27" s="592">
        <f>Long_tot/D_ref</f>
        <v>10.76923076923077</v>
      </c>
      <c r="I27" s="593"/>
      <c r="J27" s="104">
        <f>IF(RIGHT(Type_fusee,1)=".",35, IF(OR(LEFT(Type_fusee,1)="R",LEFT(Type_fusee,1)=",",LEFT(Type_fusee,4)="Mini"),20, IF(LEFT(Type_fusee,5)="Micro",30, IF(RIGHT(Type_fusee,1)=" ",100))))</f>
        <v>35</v>
      </c>
      <c r="K27" s="32"/>
      <c r="L27" s="38"/>
      <c r="M27" s="38"/>
      <c r="N27" s="38"/>
      <c r="Q27" s="29"/>
      <c r="R27" s="38"/>
      <c r="S27" s="388" t="str">
        <f>IF(Finesse&lt;CritFinessemin, IF(Lang="Français","Fusée trop courte !","Rocket too short!"), "" ) &amp; IF(Finesse&gt;CritFinessemax, IF(Lang="Français","Fusée trop longue !","Rocket too long!"), "" )</f>
        <v/>
      </c>
    </row>
    <row r="28" spans="1:22" ht="12.75" customHeight="1" x14ac:dyDescent="0.2">
      <c r="A28" s="25"/>
      <c r="B28" s="524" t="str">
        <f>IF(Lang="Français"," Emplanture  'm'",IF(Lang="English"," Root edge  'm'",""))</f>
        <v xml:space="preserve"> Emplanture  'm'</v>
      </c>
      <c r="C28" s="177">
        <v>210</v>
      </c>
      <c r="D28" s="177">
        <v>180</v>
      </c>
      <c r="E28" s="146">
        <f>n_ail+(m_ail-n_ail)*(1-E_int/E_ail)</f>
        <v>111.37931034482759</v>
      </c>
      <c r="F28" s="105" t="str">
        <f>IF(Lang="Français","Portance","Lift")</f>
        <v>Portance</v>
      </c>
      <c r="G28" s="104">
        <f>IF(RIGHT(Type_fusee,1)=".",15,IF(OR(LEFT(Type_fusee,1)="R",LEFT(Type_fusee,1)=",",LEFT(Type_fusee,4)="Mini"),15, IF(LEFT(Type_fusee,5)="Micro",15, IF(RIGHT(Type_fusee,1)=" ",15))))</f>
        <v>15</v>
      </c>
      <c r="H28" s="508">
        <f>Cnai+Cnc+Cno+Cnj+Cnr</f>
        <v>16.203642049332345</v>
      </c>
      <c r="I28" s="508">
        <f>Cnail+Cnc+Cno+Cnj+Cnr</f>
        <v>16.203642049332345</v>
      </c>
      <c r="J28" s="104">
        <f>IF(RIGHT(Type_fusee,1)=".",40, IF(OR(LEFT(Type_fusee,1)="R",LEFT(Type_fusee,1)=",",LEFT(Type_fusee,4)="Mini"),30, IF(LEFT(Type_fusee,5)="Micro",30, IF(RIGHT(Type_fusee,1)=" ",30))))</f>
        <v>40</v>
      </c>
      <c r="K28" s="32"/>
      <c r="L28" s="38"/>
      <c r="M28" s="38"/>
      <c r="N28" s="38"/>
      <c r="Q28" s="29"/>
      <c r="R28" s="38"/>
      <c r="S28" s="388" t="str">
        <f>IF(Cn&lt;CritCnmin, IF(Lang="Français","Ailerons trop petits !","Fins too small!"), "" ) &amp; IF(Cn&gt;CritCnmax, IF(Lang="Français","Ailerons trop grands !","Fins too big!"), "" )</f>
        <v/>
      </c>
    </row>
    <row r="29" spans="1:22" ht="12.75" customHeight="1" x14ac:dyDescent="0.2">
      <c r="A29" s="25"/>
      <c r="B29" s="524" t="str">
        <f>IF(Lang="Français"," Saumon       'n'",IF(Lang="English"," Tip edge    'n'",""))</f>
        <v xml:space="preserve"> Saumon       'n'</v>
      </c>
      <c r="C29" s="35">
        <v>80</v>
      </c>
      <c r="D29" s="35">
        <v>80</v>
      </c>
      <c r="E29" s="146">
        <f>p_ail*E_int/E_ail</f>
        <v>140.34482758620689</v>
      </c>
      <c r="F29" s="515" t="str">
        <f>IF(Lang="Français","MargeStat.","StatMargin")</f>
        <v>MargeStat.</v>
      </c>
      <c r="G29" s="510">
        <f>IF(RIGHT(Type_fusee,1)=".",2, IF(OR(LEFT(Type_fusee,1)="R",LEFT(Type_fusee,1)=",",LEFT(Type_fusee,4)="Mini"),1.5, IF(LEFT(Type_fusee,5)="Micro",1, IF(RIGHT(Type_fusee,1)=" ",1))))</f>
        <v>2</v>
      </c>
      <c r="H29" s="97">
        <f ca="1">(XCp-XcgPlein)/D_ref</f>
        <v>3.4627655069924241</v>
      </c>
      <c r="I29" s="98">
        <f ca="1">(XCp0-XcgVide)/D_ref</f>
        <v>3.46290217033369</v>
      </c>
      <c r="J29" s="510">
        <f>IF(RIGHT(Type_fusee,1)=".",6, IF(OR(LEFT(Type_fusee,1)="R",LEFT(Type_fusee,1)=",",LEFT(Type_fusee,4)="Mini"),6, IF(LEFT(Type_fusee,5)="Micro",3, IF(RIGHT(Type_fusee,1)=" ",3))))</f>
        <v>6</v>
      </c>
      <c r="K29" s="32"/>
      <c r="Q29" s="29"/>
      <c r="R29" s="38"/>
      <c r="S29" s="388" t="str">
        <f ca="1">IF(MS_min&lt;CritMsmin, IF(Lang="Français","Abaisser les ailerons ou rehausser le CdM !","Lower the fins or move up the center of mass!"), "" ) &amp; IF(MS_max&gt;CritMsmax, IF(Lang="Français","Rehausser les ailerons ou abaisser le CdM !","Move up the fins or lower the center of mass!"), "" )</f>
        <v/>
      </c>
      <c r="U29" s="24" t="s">
        <v>575</v>
      </c>
    </row>
    <row r="30" spans="1:22" ht="12.75" customHeight="1" x14ac:dyDescent="0.2">
      <c r="A30" s="25"/>
      <c r="B30" s="524" t="str">
        <f>IF(Lang="Français"," Flèche          'p'"," Offset         'p'")</f>
        <v xml:space="preserve"> Flèche          'p'</v>
      </c>
      <c r="C30" s="35">
        <v>185</v>
      </c>
      <c r="D30" s="35">
        <v>160</v>
      </c>
      <c r="E30" s="146">
        <f>IF(D_can/2+E_can&lt;=D_ail/2,0, IF(D_can/2+E_can&gt;=D_ail/2+E_ail,E_ail,  D_can/2+E_can - D_ail/2  ) )</f>
        <v>110</v>
      </c>
      <c r="F30" s="516" t="str">
        <f>IF(Lang="Français","Couple","Torque")</f>
        <v>Couple</v>
      </c>
      <c r="G30" s="511">
        <f>IF(RIGHT(Type_fusee,1)=".",40, IF(OR(LEFT(Type_fusee,1)="R",LEFT(Type_fusee,1)=",",LEFT(Type_fusee,4)="Mini"),30, IF(LEFT(Type_fusee,5)="Micro",15, IF(RIGHT(Type_fusee,1)=" ",15))))</f>
        <v>40</v>
      </c>
      <c r="H30" s="99">
        <f ca="1">MS_min*Cn</f>
        <v>56.109412776080077</v>
      </c>
      <c r="I30" s="96">
        <f ca="1">MS_max*Cn0</f>
        <v>56.111627219943216</v>
      </c>
      <c r="J30" s="511">
        <f>IF(RIGHT(Type_fusee,1)=".",100, IF(OR(LEFT(Type_fusee,1)="R",LEFT(Type_fusee,1)=",",LEFT(Type_fusee,4)="Mini"),100, IF(LEFT(Type_fusee,5)="Micro",100, IF(RIGHT(Type_fusee,1)=" ",90))))</f>
        <v>100</v>
      </c>
      <c r="K30" s="32"/>
      <c r="Q30" s="29"/>
      <c r="R30" s="38"/>
      <c r="S30" s="388" t="str">
        <f ca="1">IF(MS_Cn_min&lt;CritMsCnmin, IF(Lang="Français","Ailerons trop petits ou trop haut /CdM !","Fins too small or too high /CoM!"), "" ) &amp; IF(MS_Cn_max&gt;CritMsCnmax, IF(Lang="Français","Ailerons trop grands ou trop bas  /CdM !","Fins too big or too low / CoM!"), "" )</f>
        <v/>
      </c>
      <c r="U30" s="24" t="s">
        <v>574</v>
      </c>
      <c r="V30" s="24" t="s">
        <v>573</v>
      </c>
    </row>
    <row r="31" spans="1:22" ht="12.75" customHeight="1" x14ac:dyDescent="0.2">
      <c r="A31" s="25"/>
      <c r="B31" s="524" t="str">
        <f>IF(Lang="Français"," Envergure     'E'",IF(Lang="English"," Span          'E'",""))</f>
        <v xml:space="preserve"> Envergure     'E'</v>
      </c>
      <c r="C31" s="35">
        <v>145</v>
      </c>
      <c r="D31" s="35">
        <v>110</v>
      </c>
      <c r="E31" s="146">
        <f>ep_ail</f>
        <v>4</v>
      </c>
      <c r="F31" s="106" t="s">
        <v>55</v>
      </c>
      <c r="G31" s="103"/>
      <c r="H31" s="509">
        <f>(Cnai*XCpai+Cnc*XCpc+Cnj*XCpj+Cnr*XCpr+Cno*XCpo)/(Cnai+Cnc+Cnr+Cnj+Cno)</f>
        <v>853.14182571470383</v>
      </c>
      <c r="I31" s="509">
        <f>(Cnail*XCpa+Cnc*XCpc+Cnj*XCpj+Cnr*XCpr+Cno*XCpo)/(Cnail+Cnc+Cnr+Cnj+Cno)</f>
        <v>853.14182571470383</v>
      </c>
      <c r="J31" s="102"/>
      <c r="K31" s="32"/>
      <c r="Q31" s="29"/>
      <c r="R31" s="38"/>
      <c r="S31" s="388"/>
      <c r="U31" s="24">
        <v>4.0199999999999996</v>
      </c>
      <c r="V31" s="24">
        <v>14.656000000000001</v>
      </c>
    </row>
    <row r="32" spans="1:22" ht="12.75" customHeight="1" x14ac:dyDescent="0.2">
      <c r="A32" s="25"/>
      <c r="B32" s="525" t="str">
        <f>IF(Lang="Français"," Epaisseur     'ep'",IF(Lang="English"," Thickness  'ep'",""))</f>
        <v xml:space="preserve"> Epaisseur     'ep'</v>
      </c>
      <c r="C32" s="35">
        <v>4</v>
      </c>
      <c r="D32" s="35">
        <v>4</v>
      </c>
      <c r="E32" s="146">
        <f>IF(Q_ail=Q_can,Q_ail,FALSE)</f>
        <v>4</v>
      </c>
      <c r="F32" s="106" t="s">
        <v>66</v>
      </c>
      <c r="G32" s="103"/>
      <c r="H32" s="100">
        <f ca="1">(XCp-XcgPlein)/Long_tot*100</f>
        <v>32.154251136358226</v>
      </c>
      <c r="I32" s="101">
        <f ca="1">(XCp-XcgVide)/Long_tot*100</f>
        <v>32.15552015309855</v>
      </c>
      <c r="J32" s="102"/>
      <c r="K32" s="32"/>
      <c r="Q32" s="29"/>
      <c r="R32" s="38"/>
      <c r="U32" s="24">
        <v>3.89</v>
      </c>
      <c r="V32" s="24">
        <v>14.656000000000001</v>
      </c>
    </row>
    <row r="33" spans="1:23" ht="12.75" customHeight="1" x14ac:dyDescent="0.2">
      <c r="A33" s="25"/>
      <c r="B33" s="524" t="str">
        <f>IF(Lang="Français"," Nombre            ",IF(Lang="English"," Number of fins",""))</f>
        <v xml:space="preserve"> Nombre            </v>
      </c>
      <c r="C33" s="36">
        <v>4</v>
      </c>
      <c r="D33" s="36">
        <v>4</v>
      </c>
      <c r="E33" s="146">
        <f>X_ail</f>
        <v>1070</v>
      </c>
      <c r="G33" s="24"/>
      <c r="H33" s="581" t="str">
        <f ca="1">IF(AND(CritCnmin&lt;Cn,Cn0&lt;CritCnmax,CritMsmin&lt;MS_min,MS_max&lt;CritMsmax,CritMsCnmin&lt;MS_Cn_min,MS_Cn_max&lt;CritMsCnmax),"STABLE",IF(OR(Cn&lt;CritCnmin,MS_min&lt;CritMsmin,MS_Cn_min&lt;CritMsCnmin),"INSTABLE",IF(Lang="Français","SURSTABLE","OVERSTABLE")))</f>
        <v>STABLE</v>
      </c>
      <c r="I33" s="582"/>
      <c r="J33" s="31"/>
      <c r="K33" s="32"/>
      <c r="Q33" s="29"/>
      <c r="R33" s="38"/>
    </row>
    <row r="34" spans="1:23" ht="12.75" customHeight="1" x14ac:dyDescent="0.2">
      <c r="A34" s="25"/>
      <c r="B34" s="524" t="str">
        <f>IF(Lang="Français"," Position du bas",IF(Lang="English"," Basement",""))</f>
        <v xml:space="preserve"> Position du bas</v>
      </c>
      <c r="C34" s="35">
        <v>1070</v>
      </c>
      <c r="D34" s="35">
        <v>1250</v>
      </c>
      <c r="E34" s="146">
        <f>D_ail</f>
        <v>104</v>
      </c>
      <c r="G34" s="24"/>
      <c r="H34" s="583"/>
      <c r="I34" s="584"/>
      <c r="K34" s="32"/>
      <c r="Q34" s="29"/>
      <c r="R34" s="38"/>
    </row>
    <row r="35" spans="1:23" ht="12.75" customHeight="1" x14ac:dyDescent="0.2">
      <c r="A35" s="25"/>
      <c r="B35" s="524" t="str">
        <f>IF(Lang="Français"," Diamètre         ",IF(Lang="English"," Diameter at Fins",""))</f>
        <v xml:space="preserve"> Diamètre         </v>
      </c>
      <c r="C35" s="35">
        <v>104</v>
      </c>
      <c r="D35" s="35">
        <f>D_ref</f>
        <v>104</v>
      </c>
      <c r="E35" s="146">
        <f>SQRT(POWER(p_int+n_int/2-m_int/2,2)+POWER(E_int,2))</f>
        <v>142.78402239441783</v>
      </c>
      <c r="K35" s="32"/>
      <c r="Q35" s="29"/>
      <c r="R35" s="38"/>
      <c r="W35" s="24" t="str">
        <f>RIGHT(Type_fusee,1="R")</f>
        <v/>
      </c>
    </row>
    <row r="36" spans="1:23" ht="12.75" customHeight="1" x14ac:dyDescent="0.2">
      <c r="A36" s="25"/>
      <c r="B36" s="524" t="str">
        <f>IF(Lang="Français"," Ligne mi-corde f",IF(Lang="English"," Mid-chord line f",""))</f>
        <v xml:space="preserve"> Ligne mi-corde f</v>
      </c>
      <c r="C36" s="145">
        <f>SQRT(POWER(p_ail+n_ail/2-m_ail/2,2)+POWER(E_ail,2))</f>
        <v>188.21530224718711</v>
      </c>
      <c r="D36" s="145">
        <f>SQRT(POWER(p_can+n_can/2-m_can/2,2)+POWER(E_can,2))</f>
        <v>155.56349186104046</v>
      </c>
      <c r="E36" s="536"/>
      <c r="K36" s="32"/>
      <c r="Q36" s="29"/>
      <c r="R36" s="38"/>
    </row>
    <row r="37" spans="1:23" ht="12.75" customHeight="1" thickBot="1" x14ac:dyDescent="0.25">
      <c r="A37" s="40"/>
      <c r="B37" s="182" t="str">
        <f>IF(Lang="Français","Commentaire libre :",IF(Lang="English","Free comment:",""))</f>
        <v>Commentaire libre :</v>
      </c>
      <c r="C37" s="41"/>
      <c r="D37" s="42"/>
      <c r="E37" s="91"/>
      <c r="F37" s="67"/>
      <c r="G37" s="67"/>
      <c r="H37" s="67"/>
      <c r="I37" s="67"/>
      <c r="J37" s="42"/>
      <c r="K37" s="42"/>
      <c r="L37" s="389" t="s">
        <v>270</v>
      </c>
      <c r="M37" s="392" t="str">
        <f>IF(ROUND(SUM(Propu!5:1228),0)=437735,"propu OK","propu NOK")</f>
        <v>propu OK</v>
      </c>
      <c r="N37" s="391" t="str">
        <f>IF(Lang="Français","fichier initial","Initial file")</f>
        <v>fichier initial</v>
      </c>
      <c r="O37" s="392"/>
      <c r="P37" s="390"/>
      <c r="Q37" s="291" t="s">
        <v>566</v>
      </c>
      <c r="R37" s="43"/>
    </row>
    <row r="39" spans="1:23" x14ac:dyDescent="0.2">
      <c r="L39" s="226" t="str">
        <f>IF(Lang="Français","Maintenant que votre fusée est stable, vérifiez sa trajectoire via la feuille","Now your rocket is stable, check its trajectory on sheet")</f>
        <v>Maintenant que votre fusée est stable, vérifiez sa trajectoire via la feuille</v>
      </c>
      <c r="M39" s="481" t="s">
        <v>180</v>
      </c>
    </row>
    <row r="40" spans="1:23" x14ac:dyDescent="0.2">
      <c r="H40" s="87"/>
      <c r="O40" s="26"/>
      <c r="P40" s="26"/>
      <c r="S40" s="506"/>
    </row>
    <row r="41" spans="1:23" x14ac:dyDescent="0.2">
      <c r="F41" s="24"/>
      <c r="H41" s="43"/>
      <c r="I41" s="44"/>
      <c r="J41" s="43"/>
      <c r="N41" s="43"/>
      <c r="Q41" s="43"/>
      <c r="R41" s="43"/>
    </row>
    <row r="42" spans="1:23" x14ac:dyDescent="0.2">
      <c r="F42" s="24"/>
      <c r="G42" s="503"/>
      <c r="H42" s="504"/>
      <c r="I42" s="44"/>
      <c r="J42" s="43"/>
      <c r="N42" s="43"/>
      <c r="Q42" s="43"/>
      <c r="R42" s="43"/>
    </row>
    <row r="43" spans="1:23" x14ac:dyDescent="0.2">
      <c r="F43" s="24"/>
      <c r="H43" s="43"/>
      <c r="I43" s="44"/>
      <c r="J43" s="43"/>
      <c r="N43" s="43"/>
      <c r="Q43" s="43"/>
      <c r="R43" s="43"/>
    </row>
    <row r="44" spans="1:23" x14ac:dyDescent="0.2">
      <c r="F44" s="24"/>
      <c r="H44" s="43"/>
      <c r="I44" s="44"/>
      <c r="J44" s="43"/>
      <c r="N44" s="43"/>
      <c r="Q44" s="43"/>
      <c r="R44" s="43"/>
    </row>
    <row r="45" spans="1:23" x14ac:dyDescent="0.2">
      <c r="F45" s="24"/>
      <c r="H45" s="43"/>
      <c r="I45" s="44"/>
      <c r="J45" s="43"/>
      <c r="N45" s="43"/>
      <c r="Q45" s="43"/>
      <c r="R45" s="43"/>
    </row>
    <row r="46" spans="1:23" x14ac:dyDescent="0.2">
      <c r="F46" s="24"/>
      <c r="H46" s="43"/>
      <c r="I46" s="44"/>
      <c r="J46" s="43"/>
      <c r="N46" s="43"/>
      <c r="Q46" s="43"/>
      <c r="R46" s="43"/>
    </row>
    <row r="47" spans="1:23" x14ac:dyDescent="0.2">
      <c r="F47" s="24"/>
      <c r="H47" s="43"/>
      <c r="I47" s="44"/>
      <c r="J47" s="43"/>
      <c r="L47" s="43"/>
      <c r="M47" s="43"/>
      <c r="N47" s="43"/>
      <c r="Q47" s="43"/>
      <c r="R47" s="43"/>
    </row>
    <row r="48" spans="1:23" x14ac:dyDescent="0.2">
      <c r="F48" s="24"/>
      <c r="H48" s="43"/>
      <c r="I48" s="44"/>
      <c r="J48" s="43"/>
      <c r="L48" s="43"/>
      <c r="M48" s="43"/>
      <c r="N48" s="43"/>
      <c r="Q48" s="43"/>
      <c r="R48" s="43"/>
    </row>
    <row r="49" spans="2:18" x14ac:dyDescent="0.2">
      <c r="F49" s="24"/>
      <c r="H49" s="43"/>
      <c r="I49" s="44"/>
      <c r="J49" s="43"/>
      <c r="L49" s="43"/>
      <c r="M49" s="43"/>
      <c r="N49" s="43"/>
      <c r="Q49" s="43"/>
      <c r="R49" s="43"/>
    </row>
    <row r="50" spans="2:18" x14ac:dyDescent="0.2">
      <c r="F50" s="24"/>
      <c r="H50" s="43"/>
      <c r="I50" s="44"/>
      <c r="J50" s="43"/>
      <c r="L50" s="43"/>
      <c r="M50" s="43"/>
      <c r="N50" s="43"/>
      <c r="Q50" s="43"/>
      <c r="R50" s="43"/>
    </row>
    <row r="51" spans="2:18" x14ac:dyDescent="0.2">
      <c r="F51" s="24"/>
      <c r="H51" s="43"/>
      <c r="I51" s="44"/>
      <c r="J51" s="43"/>
      <c r="L51" s="43"/>
      <c r="M51" s="43"/>
      <c r="N51" s="43"/>
      <c r="Q51" s="43"/>
      <c r="R51" s="43"/>
    </row>
    <row r="52" spans="2:18" x14ac:dyDescent="0.2">
      <c r="F52" s="24"/>
      <c r="H52" s="43"/>
      <c r="I52" s="44"/>
      <c r="J52" s="43"/>
      <c r="L52" s="43"/>
      <c r="M52" s="43"/>
      <c r="N52" s="43"/>
      <c r="Q52" s="43"/>
      <c r="R52" s="43"/>
    </row>
    <row r="53" spans="2:18" x14ac:dyDescent="0.2">
      <c r="H53" s="43"/>
      <c r="I53" s="44"/>
      <c r="J53" s="43"/>
      <c r="L53" s="43"/>
      <c r="M53" s="43"/>
      <c r="N53" s="43"/>
      <c r="Q53" s="43"/>
      <c r="R53" s="43"/>
    </row>
    <row r="54" spans="2:18" x14ac:dyDescent="0.2">
      <c r="H54" s="43"/>
      <c r="I54" s="44"/>
      <c r="J54" s="43"/>
      <c r="L54" s="43"/>
      <c r="M54" s="43"/>
      <c r="N54" s="43"/>
      <c r="Q54" s="43"/>
      <c r="R54" s="43"/>
    </row>
    <row r="55" spans="2:18" x14ac:dyDescent="0.2">
      <c r="H55" s="43"/>
      <c r="I55" s="44"/>
      <c r="J55" s="43"/>
      <c r="L55" s="43"/>
      <c r="M55" s="43"/>
      <c r="N55" s="43"/>
      <c r="Q55" s="43"/>
      <c r="R55" s="43"/>
    </row>
    <row r="56" spans="2:18" x14ac:dyDescent="0.2">
      <c r="H56" s="43"/>
      <c r="I56" s="44"/>
      <c r="J56" s="43"/>
      <c r="L56" s="43"/>
      <c r="M56" s="43"/>
      <c r="N56" s="43"/>
      <c r="Q56" s="43"/>
      <c r="R56" s="43"/>
    </row>
    <row r="57" spans="2:18" x14ac:dyDescent="0.2">
      <c r="C57" s="24"/>
      <c r="H57" s="43"/>
      <c r="I57" s="44"/>
      <c r="J57" s="43"/>
      <c r="L57" s="43"/>
      <c r="M57" s="43"/>
      <c r="N57" s="43"/>
      <c r="Q57" s="43"/>
      <c r="R57" s="43"/>
    </row>
    <row r="58" spans="2:18" x14ac:dyDescent="0.2">
      <c r="H58" s="43"/>
      <c r="I58" s="44"/>
      <c r="J58" s="43"/>
      <c r="L58" s="43"/>
      <c r="M58" s="43"/>
      <c r="N58" s="43"/>
      <c r="Q58" s="43"/>
      <c r="R58" s="43"/>
    </row>
    <row r="59" spans="2:18" x14ac:dyDescent="0.2">
      <c r="B59" s="31"/>
      <c r="H59" s="43"/>
      <c r="I59" s="44"/>
      <c r="J59" s="43"/>
      <c r="L59" s="43"/>
      <c r="M59" s="43"/>
      <c r="N59" s="43"/>
      <c r="Q59" s="43"/>
      <c r="R59" s="43"/>
    </row>
    <row r="60" spans="2:18" x14ac:dyDescent="0.2">
      <c r="B60" s="31"/>
      <c r="H60" s="43"/>
      <c r="I60" s="44"/>
      <c r="J60" s="43"/>
      <c r="L60" s="43"/>
      <c r="M60" s="43"/>
      <c r="N60" s="43"/>
      <c r="Q60" s="43"/>
      <c r="R60" s="43"/>
    </row>
    <row r="61" spans="2:18" x14ac:dyDescent="0.2">
      <c r="B61" s="31"/>
      <c r="H61" s="43"/>
      <c r="I61" s="44"/>
      <c r="J61" s="43"/>
      <c r="L61" s="43"/>
      <c r="M61" s="43"/>
      <c r="N61" s="43"/>
      <c r="Q61" s="43"/>
      <c r="R61" s="43"/>
    </row>
    <row r="62" spans="2:18" x14ac:dyDescent="0.2">
      <c r="B62" s="31"/>
      <c r="H62" s="43"/>
      <c r="I62" s="44"/>
      <c r="J62" s="43"/>
      <c r="L62" s="43"/>
      <c r="M62" s="43"/>
      <c r="N62" s="43"/>
      <c r="Q62" s="43"/>
      <c r="R62" s="43"/>
    </row>
    <row r="63" spans="2:18" x14ac:dyDescent="0.2">
      <c r="B63" s="31"/>
      <c r="H63" s="43"/>
      <c r="I63" s="44"/>
      <c r="J63" s="43"/>
      <c r="L63" s="43"/>
      <c r="M63" s="43"/>
      <c r="N63" s="43"/>
      <c r="Q63" s="43"/>
      <c r="R63" s="43"/>
    </row>
    <row r="64" spans="2:18" x14ac:dyDescent="0.2">
      <c r="B64" s="31"/>
      <c r="H64" s="43"/>
      <c r="I64" s="44"/>
      <c r="J64" s="43"/>
      <c r="L64" s="43"/>
      <c r="M64" s="43"/>
      <c r="N64" s="43"/>
      <c r="Q64" s="43"/>
      <c r="R64" s="43"/>
    </row>
    <row r="65" spans="2:18" x14ac:dyDescent="0.2">
      <c r="B65" s="31"/>
      <c r="H65" s="43"/>
      <c r="I65" s="44"/>
      <c r="J65" s="43"/>
      <c r="L65" s="43"/>
      <c r="M65" s="43"/>
      <c r="N65" s="43"/>
      <c r="Q65" s="43"/>
      <c r="R65" s="43"/>
    </row>
    <row r="66" spans="2:18" x14ac:dyDescent="0.2">
      <c r="B66" s="31"/>
      <c r="H66" s="43"/>
      <c r="I66" s="44"/>
      <c r="J66" s="43"/>
      <c r="L66" s="43"/>
      <c r="M66" s="43"/>
      <c r="N66" s="43"/>
      <c r="Q66" s="43"/>
      <c r="R66" s="43"/>
    </row>
    <row r="67" spans="2:18" x14ac:dyDescent="0.2">
      <c r="B67" s="31"/>
      <c r="H67" s="43"/>
      <c r="I67" s="44"/>
      <c r="J67" s="43"/>
      <c r="L67" s="43"/>
      <c r="M67" s="43"/>
      <c r="N67" s="43"/>
      <c r="Q67" s="43"/>
      <c r="R67" s="43"/>
    </row>
    <row r="68" spans="2:18" x14ac:dyDescent="0.2">
      <c r="C68" s="24"/>
      <c r="H68" s="43"/>
      <c r="I68" s="44"/>
      <c r="J68" s="43"/>
      <c r="L68" s="43"/>
      <c r="M68" s="43"/>
      <c r="N68" s="43"/>
      <c r="Q68" s="43"/>
      <c r="R68" s="43"/>
    </row>
    <row r="69" spans="2:18" x14ac:dyDescent="0.2">
      <c r="C69" s="24"/>
      <c r="H69" s="43"/>
      <c r="I69" s="44"/>
      <c r="J69" s="43"/>
      <c r="L69" s="43"/>
      <c r="M69" s="43"/>
      <c r="N69" s="43"/>
      <c r="Q69" s="43"/>
      <c r="R69" s="43"/>
    </row>
    <row r="70" spans="2:18" x14ac:dyDescent="0.2">
      <c r="C70" s="24"/>
      <c r="H70" s="43"/>
      <c r="I70" s="44"/>
      <c r="J70" s="43"/>
      <c r="L70" s="43"/>
      <c r="M70" s="43"/>
      <c r="N70" s="43"/>
      <c r="Q70" s="43"/>
      <c r="R70" s="43"/>
    </row>
    <row r="71" spans="2:18" x14ac:dyDescent="0.2">
      <c r="C71" s="24"/>
      <c r="H71" s="43"/>
      <c r="I71" s="44"/>
      <c r="J71" s="43"/>
      <c r="L71" s="43"/>
      <c r="M71" s="43"/>
      <c r="N71" s="43"/>
      <c r="Q71" s="43"/>
      <c r="R71" s="43"/>
    </row>
    <row r="72" spans="2:18" x14ac:dyDescent="0.2">
      <c r="C72" s="24"/>
      <c r="H72" s="43"/>
      <c r="I72" s="44"/>
      <c r="J72" s="43"/>
      <c r="L72" s="43"/>
      <c r="M72" s="43"/>
      <c r="N72" s="43"/>
      <c r="Q72" s="43"/>
      <c r="R72" s="43"/>
    </row>
    <row r="73" spans="2:18" x14ac:dyDescent="0.2">
      <c r="C73" s="24"/>
      <c r="H73" s="43"/>
      <c r="I73" s="44"/>
      <c r="J73" s="43"/>
      <c r="L73" s="43"/>
      <c r="M73" s="43"/>
      <c r="N73" s="43"/>
      <c r="Q73" s="43"/>
      <c r="R73" s="43"/>
    </row>
    <row r="74" spans="2:18" x14ac:dyDescent="0.2">
      <c r="C74" s="24"/>
      <c r="H74" s="43"/>
      <c r="I74" s="44"/>
      <c r="J74" s="43"/>
      <c r="L74" s="43"/>
      <c r="M74" s="43"/>
      <c r="N74" s="43"/>
      <c r="Q74" s="43"/>
      <c r="R74" s="43"/>
    </row>
    <row r="75" spans="2:18" x14ac:dyDescent="0.2">
      <c r="C75" s="24"/>
      <c r="H75" s="43"/>
      <c r="I75" s="44"/>
      <c r="J75" s="43"/>
      <c r="L75" s="43"/>
      <c r="M75" s="43"/>
      <c r="N75" s="43"/>
      <c r="Q75" s="43"/>
      <c r="R75" s="43"/>
    </row>
    <row r="76" spans="2:18" x14ac:dyDescent="0.2">
      <c r="C76" s="24"/>
      <c r="H76" s="43"/>
      <c r="I76" s="44"/>
      <c r="J76" s="43"/>
      <c r="L76" s="43"/>
      <c r="M76" s="43"/>
      <c r="N76" s="43"/>
      <c r="Q76" s="43"/>
      <c r="R76" s="43"/>
    </row>
    <row r="77" spans="2:18" x14ac:dyDescent="0.2">
      <c r="C77" s="24"/>
      <c r="H77" s="43"/>
      <c r="I77" s="44"/>
      <c r="J77" s="43"/>
      <c r="L77" s="43"/>
      <c r="M77" s="43"/>
      <c r="N77" s="43"/>
      <c r="Q77" s="43"/>
      <c r="R77" s="43"/>
    </row>
    <row r="78" spans="2:18" x14ac:dyDescent="0.2">
      <c r="C78" s="24"/>
      <c r="H78" s="43"/>
      <c r="I78" s="44"/>
      <c r="J78" s="43"/>
      <c r="L78" s="43"/>
      <c r="M78" s="43"/>
      <c r="N78" s="43"/>
      <c r="Q78" s="43"/>
      <c r="R78" s="43"/>
    </row>
    <row r="79" spans="2:18" x14ac:dyDescent="0.2">
      <c r="C79" s="24"/>
      <c r="H79" s="43"/>
      <c r="I79" s="44"/>
      <c r="J79" s="43"/>
      <c r="L79" s="43"/>
      <c r="M79" s="43"/>
      <c r="N79" s="43"/>
      <c r="Q79" s="43"/>
      <c r="R79" s="43"/>
    </row>
    <row r="80" spans="2:18" x14ac:dyDescent="0.2">
      <c r="C80" s="24"/>
      <c r="H80" s="43"/>
      <c r="I80" s="44"/>
      <c r="J80" s="43"/>
      <c r="L80" s="43"/>
      <c r="M80" s="43"/>
      <c r="N80" s="43"/>
      <c r="Q80" s="43"/>
      <c r="R80" s="43"/>
    </row>
    <row r="81" spans="2:18" x14ac:dyDescent="0.2">
      <c r="C81" s="24"/>
      <c r="H81" s="43"/>
      <c r="I81" s="44"/>
      <c r="J81" s="43"/>
      <c r="L81" s="43"/>
      <c r="M81" s="43"/>
      <c r="N81" s="43"/>
      <c r="Q81" s="43"/>
      <c r="R81" s="43"/>
    </row>
    <row r="82" spans="2:18" x14ac:dyDescent="0.2">
      <c r="C82" s="24"/>
      <c r="H82" s="43"/>
      <c r="I82" s="44"/>
      <c r="J82" s="43"/>
      <c r="L82" s="43"/>
      <c r="M82" s="43"/>
      <c r="N82" s="43"/>
      <c r="Q82" s="43"/>
      <c r="R82" s="43"/>
    </row>
    <row r="83" spans="2:18" x14ac:dyDescent="0.2">
      <c r="C83" s="24"/>
      <c r="H83" s="43"/>
      <c r="I83" s="44"/>
      <c r="J83" s="43"/>
      <c r="L83" s="43"/>
      <c r="M83" s="43"/>
      <c r="N83" s="43"/>
      <c r="Q83" s="43"/>
      <c r="R83" s="43"/>
    </row>
    <row r="84" spans="2:18" x14ac:dyDescent="0.2">
      <c r="C84" s="24"/>
      <c r="H84" s="43"/>
      <c r="I84" s="44"/>
      <c r="J84" s="43"/>
      <c r="L84" s="43"/>
      <c r="M84" s="43"/>
      <c r="N84" s="43"/>
      <c r="Q84" s="43"/>
      <c r="R84" s="43"/>
    </row>
    <row r="85" spans="2:18" x14ac:dyDescent="0.2">
      <c r="C85" s="24"/>
      <c r="H85" s="43"/>
      <c r="I85" s="44"/>
      <c r="J85" s="43"/>
      <c r="L85" s="43"/>
      <c r="M85" s="43"/>
      <c r="N85" s="43"/>
      <c r="Q85" s="43"/>
      <c r="R85" s="43"/>
    </row>
    <row r="86" spans="2:18" x14ac:dyDescent="0.2">
      <c r="C86" s="24"/>
      <c r="H86" s="43"/>
      <c r="I86" s="44"/>
      <c r="J86" s="43"/>
      <c r="L86" s="43"/>
      <c r="M86" s="43"/>
      <c r="N86" s="43"/>
      <c r="Q86" s="43"/>
      <c r="R86" s="43"/>
    </row>
    <row r="87" spans="2:18" x14ac:dyDescent="0.2">
      <c r="C87" s="24"/>
      <c r="H87" s="43"/>
      <c r="I87" s="44"/>
      <c r="J87" s="43"/>
      <c r="L87" s="43"/>
      <c r="M87" s="43"/>
      <c r="N87" s="43"/>
      <c r="Q87" s="43"/>
      <c r="R87" s="43"/>
    </row>
    <row r="88" spans="2:18" x14ac:dyDescent="0.2">
      <c r="C88" s="24"/>
      <c r="H88" s="43"/>
      <c r="I88" s="44"/>
      <c r="J88" s="43"/>
      <c r="L88" s="43"/>
      <c r="M88" s="43"/>
      <c r="N88" s="43"/>
      <c r="Q88" s="43"/>
      <c r="R88" s="43"/>
    </row>
    <row r="89" spans="2:18" x14ac:dyDescent="0.2">
      <c r="C89" s="24"/>
      <c r="H89" s="43"/>
      <c r="I89" s="44"/>
      <c r="J89" s="43"/>
      <c r="L89" s="43"/>
      <c r="M89" s="43"/>
      <c r="N89" s="43"/>
      <c r="Q89" s="43"/>
      <c r="R89" s="43"/>
    </row>
    <row r="90" spans="2:18" x14ac:dyDescent="0.2">
      <c r="C90" s="24"/>
      <c r="H90" s="43"/>
      <c r="I90" s="44"/>
      <c r="J90" s="43"/>
      <c r="L90" s="43"/>
      <c r="M90" s="43"/>
      <c r="N90" s="43"/>
      <c r="Q90" s="43"/>
      <c r="R90" s="43"/>
    </row>
    <row r="91" spans="2:18" x14ac:dyDescent="0.2">
      <c r="C91" s="24"/>
      <c r="H91" s="43"/>
      <c r="I91" s="44"/>
      <c r="J91" s="43"/>
      <c r="L91" s="43"/>
      <c r="M91" s="43"/>
      <c r="N91" s="43"/>
      <c r="Q91" s="43"/>
      <c r="R91" s="43"/>
    </row>
    <row r="92" spans="2:18" x14ac:dyDescent="0.2">
      <c r="B92" s="24" t="str">
        <f>IF(Lang="Français","Textes pour les listes déroulantes et graphiques :",IF(Lang="English","Texts for drop-down lists &amp; graphics :",""))</f>
        <v>Textes pour les listes déroulantes et graphiques :</v>
      </c>
      <c r="H92" s="43"/>
      <c r="I92" s="44"/>
      <c r="J92" s="43"/>
      <c r="L92" s="43"/>
      <c r="M92" s="43"/>
      <c r="N92" s="43"/>
      <c r="Q92" s="43"/>
      <c r="R92" s="43"/>
    </row>
    <row r="93" spans="2:18" x14ac:dyDescent="0.2">
      <c r="H93" s="43"/>
      <c r="I93" s="44"/>
      <c r="J93" s="43"/>
      <c r="L93" s="43"/>
      <c r="M93" s="43"/>
      <c r="N93" s="43"/>
      <c r="Q93" s="43"/>
      <c r="R93" s="43"/>
    </row>
    <row r="94" spans="2:18" x14ac:dyDescent="0.2">
      <c r="B94" s="26" t="s">
        <v>1</v>
      </c>
      <c r="H94" s="43"/>
      <c r="I94" s="44"/>
      <c r="J94" s="43"/>
      <c r="L94" s="43"/>
      <c r="M94" s="43"/>
      <c r="N94" s="43"/>
      <c r="Q94" s="43"/>
      <c r="R94" s="43"/>
    </row>
    <row r="95" spans="2:18" x14ac:dyDescent="0.2">
      <c r="B95" s="26" t="s">
        <v>67</v>
      </c>
      <c r="H95" s="43"/>
      <c r="I95" s="44"/>
      <c r="J95" s="43"/>
      <c r="L95" s="43"/>
      <c r="M95" s="43"/>
      <c r="N95" s="43"/>
      <c r="Q95" s="43"/>
      <c r="R95" s="43"/>
    </row>
    <row r="96" spans="2:18" x14ac:dyDescent="0.2">
      <c r="B96" s="26"/>
      <c r="H96" s="43"/>
      <c r="I96" s="44"/>
      <c r="J96" s="43"/>
      <c r="L96" s="43"/>
      <c r="M96" s="43"/>
      <c r="N96" s="43"/>
      <c r="Q96" s="43"/>
      <c r="R96" s="43"/>
    </row>
    <row r="97" spans="2:18" x14ac:dyDescent="0.2">
      <c r="B97" s="26" t="str">
        <f>IF(Lang="Français","Fusée à eau  ",IF(Lang="English","Water-rocket  ",""))</f>
        <v xml:space="preserve">Fusée à eau  </v>
      </c>
      <c r="H97" s="43"/>
      <c r="I97" s="44"/>
      <c r="J97" s="43"/>
      <c r="L97" s="43"/>
      <c r="M97" s="43"/>
      <c r="N97" s="43"/>
      <c r="Q97" s="43"/>
      <c r="R97" s="43"/>
    </row>
    <row r="98" spans="2:18" x14ac:dyDescent="0.2">
      <c r="B98" s="26" t="str">
        <f>IF(Lang="Français","Microfusée",IF(Lang="English","Micro-rocket",""))</f>
        <v>Microfusée</v>
      </c>
      <c r="H98" s="43"/>
      <c r="I98" s="44"/>
      <c r="J98" s="43"/>
      <c r="L98" s="43"/>
      <c r="M98" s="43"/>
      <c r="N98" s="43"/>
      <c r="Q98" s="43"/>
      <c r="R98" s="43"/>
    </row>
    <row r="99" spans="2:18" x14ac:dyDescent="0.2">
      <c r="B99" s="26" t="str">
        <f>IF(Lang="Français","Minifusée",IF(Lang="English","Mini-rocket",""))</f>
        <v>Minifusée</v>
      </c>
      <c r="H99" s="43"/>
      <c r="I99" s="44"/>
      <c r="J99" s="43"/>
      <c r="L99" s="43"/>
      <c r="M99" s="43"/>
      <c r="N99" s="43"/>
      <c r="Q99" s="43"/>
      <c r="R99" s="43"/>
    </row>
    <row r="100" spans="2:18" x14ac:dyDescent="0.2">
      <c r="B100" s="26" t="str">
        <f>IF(Lang="Français","Fusée expérimentale.",IF(Lang="English","Experimental Rocket.",""))</f>
        <v>Fusée expérimentale.</v>
      </c>
      <c r="H100" s="43"/>
      <c r="I100" s="44"/>
      <c r="J100" s="43"/>
      <c r="L100" s="43"/>
      <c r="M100" s="43"/>
      <c r="N100" s="43"/>
      <c r="Q100" s="43"/>
      <c r="R100" s="43"/>
    </row>
    <row r="101" spans="2:18" x14ac:dyDescent="0.2">
      <c r="B101" s="26" t="s">
        <v>398</v>
      </c>
      <c r="H101" s="43"/>
      <c r="I101" s="44"/>
      <c r="J101" s="43"/>
      <c r="L101" s="43"/>
      <c r="M101" s="43"/>
      <c r="N101" s="43"/>
      <c r="Q101" s="43"/>
      <c r="R101" s="43"/>
    </row>
    <row r="102" spans="2:18" x14ac:dyDescent="0.2">
      <c r="B102" s="26"/>
      <c r="H102" s="43"/>
      <c r="I102" s="44"/>
      <c r="J102" s="43"/>
      <c r="L102" s="43"/>
      <c r="M102" s="43"/>
      <c r="N102" s="43"/>
      <c r="Q102" s="43"/>
      <c r="R102" s="43"/>
    </row>
    <row r="103" spans="2:18" x14ac:dyDescent="0.2">
      <c r="B103" s="26" t="str">
        <f>IF(Lang="Français","sans propu",IF(Lang="English","without motor",""))</f>
        <v>sans propu</v>
      </c>
      <c r="H103" s="43"/>
      <c r="I103" s="44"/>
      <c r="J103" s="43"/>
      <c r="L103" s="43"/>
      <c r="M103" s="43"/>
      <c r="N103" s="43"/>
      <c r="Q103" s="43"/>
      <c r="R103" s="43"/>
    </row>
    <row r="104" spans="2:18" x14ac:dyDescent="0.2">
      <c r="B104" s="26" t="str">
        <f>IF(Lang="Français","avec propu vide",IF(Lang="English","with empty motor",""))</f>
        <v>avec propu vide</v>
      </c>
      <c r="H104" s="43"/>
      <c r="I104" s="44"/>
      <c r="J104" s="43"/>
      <c r="L104" s="43"/>
      <c r="M104" s="43"/>
      <c r="N104" s="43"/>
      <c r="Q104" s="43"/>
      <c r="R104" s="43"/>
    </row>
    <row r="105" spans="2:18" x14ac:dyDescent="0.2">
      <c r="B105" s="26" t="str">
        <f>IF(Lang="Français","avec propu plein",IF(Lang="English","with loaded motor",""))</f>
        <v>avec propu plein</v>
      </c>
      <c r="H105" s="43"/>
      <c r="I105" s="44"/>
      <c r="J105" s="43"/>
      <c r="L105" s="43"/>
      <c r="M105" s="43"/>
      <c r="N105" s="43"/>
      <c r="Q105" s="43"/>
      <c r="R105" s="43"/>
    </row>
    <row r="106" spans="2:18" x14ac:dyDescent="0.2">
      <c r="B106" s="26"/>
      <c r="H106" s="43"/>
      <c r="I106" s="44"/>
      <c r="J106" s="43"/>
      <c r="L106" s="43"/>
      <c r="M106" s="43"/>
      <c r="N106" s="43"/>
      <c r="Q106" s="43"/>
      <c r="R106" s="43"/>
    </row>
    <row r="107" spans="2:18" x14ac:dyDescent="0.2">
      <c r="B107" s="26" t="str">
        <f>IF(Lang="Français","Parabolique (arrondie)",IF(Lang="English","Parabola (rounded)",""))</f>
        <v>Parabolique (arrondie)</v>
      </c>
      <c r="H107" s="43"/>
      <c r="I107" s="44"/>
      <c r="J107" s="43"/>
      <c r="L107" s="43"/>
      <c r="M107" s="43"/>
      <c r="N107" s="43"/>
      <c r="Q107" s="43"/>
      <c r="R107" s="43"/>
    </row>
    <row r="108" spans="2:18" x14ac:dyDescent="0.2">
      <c r="B108" s="26" t="str">
        <f>IF(Lang="Français","Ogivale (pointue)",IF(Lang="English","Ogive (sharp)",""))</f>
        <v>Ogivale (pointue)</v>
      </c>
      <c r="H108" s="43"/>
      <c r="I108" s="44"/>
      <c r="J108" s="43"/>
      <c r="L108" s="43"/>
      <c r="M108" s="43"/>
      <c r="N108" s="43"/>
      <c r="Q108" s="43"/>
      <c r="R108" s="43"/>
    </row>
    <row r="109" spans="2:18" x14ac:dyDescent="0.2">
      <c r="B109" s="26" t="str">
        <f>IF(Lang="Français","Conique (droite)",IF(Lang="English","Cone (straight)",""))</f>
        <v>Conique (droite)</v>
      </c>
      <c r="H109" s="43"/>
      <c r="I109" s="44"/>
      <c r="J109" s="43"/>
      <c r="L109" s="43"/>
      <c r="M109" s="43"/>
      <c r="N109" s="43"/>
      <c r="Q109" s="43"/>
      <c r="R109" s="43"/>
    </row>
    <row r="110" spans="2:18" x14ac:dyDescent="0.2">
      <c r="B110" s="38"/>
      <c r="H110" s="43"/>
      <c r="I110" s="44"/>
      <c r="J110" s="43"/>
      <c r="L110" s="43"/>
      <c r="M110" s="43"/>
      <c r="N110" s="43"/>
      <c r="Q110" s="43"/>
      <c r="R110" s="43"/>
    </row>
    <row r="111" spans="2:18" x14ac:dyDescent="0.2">
      <c r="B111" s="38" t="s">
        <v>423</v>
      </c>
      <c r="H111" s="43"/>
      <c r="I111" s="44"/>
      <c r="J111" s="43"/>
      <c r="L111" s="43"/>
      <c r="M111" s="43"/>
      <c r="N111" s="43"/>
      <c r="Q111" s="43"/>
      <c r="R111" s="43"/>
    </row>
    <row r="112" spans="2:18" x14ac:dyDescent="0.2">
      <c r="B112" s="38" t="s">
        <v>424</v>
      </c>
      <c r="H112" s="43"/>
      <c r="I112" s="44"/>
      <c r="J112" s="43"/>
      <c r="L112" s="43"/>
      <c r="M112" s="43"/>
      <c r="N112" s="43"/>
      <c r="Q112" s="43"/>
      <c r="R112" s="43"/>
    </row>
    <row r="113" spans="2:18" x14ac:dyDescent="0.2">
      <c r="B113" s="38"/>
      <c r="H113" s="43"/>
      <c r="I113" s="44"/>
      <c r="J113" s="43"/>
      <c r="L113" s="43"/>
      <c r="M113" s="43"/>
      <c r="N113" s="43"/>
      <c r="Q113" s="43"/>
      <c r="R113" s="43"/>
    </row>
    <row r="114" spans="2:18" x14ac:dyDescent="0.2">
      <c r="B114" s="38" t="str">
        <f>IF(Lang="Français","Fusée mono-diamètre,",IF(Lang="English","Mono-diameter rocket,",""))</f>
        <v>Fusée mono-diamètre,</v>
      </c>
      <c r="H114" s="43"/>
      <c r="I114" s="44"/>
      <c r="J114" s="43"/>
      <c r="L114" s="43"/>
      <c r="M114" s="43"/>
      <c r="N114" s="43"/>
      <c r="Q114" s="43"/>
      <c r="R114" s="43"/>
    </row>
    <row r="115" spans="2:18" x14ac:dyDescent="0.2">
      <c r="B115" s="38" t="str">
        <f>IF(Lang="Français","Plusieurs diamètres.",IF(Lang="English","Many diameters rocket.",""))</f>
        <v>Plusieurs diamètres.</v>
      </c>
      <c r="H115" s="43"/>
      <c r="I115" s="44"/>
      <c r="J115" s="43"/>
      <c r="L115" s="43"/>
      <c r="M115" s="43"/>
      <c r="N115" s="43"/>
      <c r="Q115" s="43"/>
      <c r="R115" s="43"/>
    </row>
    <row r="116" spans="2:18" x14ac:dyDescent="0.2">
      <c r="B116" s="38"/>
      <c r="H116" s="43"/>
      <c r="I116" s="44"/>
      <c r="J116" s="43"/>
      <c r="L116" s="43"/>
      <c r="M116" s="43"/>
      <c r="N116" s="43"/>
      <c r="Q116" s="43"/>
      <c r="R116" s="43"/>
    </row>
    <row r="117" spans="2:18" x14ac:dyDescent="0.2">
      <c r="B117" s="223" t="str">
        <f>IF(Lang="Français","Diagramme des critères de stabilité","Stability criterions diagram")</f>
        <v>Diagramme des critères de stabilité</v>
      </c>
      <c r="H117" s="43"/>
      <c r="I117" s="44"/>
      <c r="J117" s="43"/>
      <c r="L117" s="43"/>
      <c r="M117" s="43"/>
      <c r="N117" s="43"/>
      <c r="Q117" s="43"/>
      <c r="R117" s="43"/>
    </row>
    <row r="118" spans="2:18" x14ac:dyDescent="0.2">
      <c r="B118" s="223" t="str">
        <f>IF(Lang="Français","Marge Statique (MS)","Static Margin")</f>
        <v>Marge Statique (MS)</v>
      </c>
      <c r="H118" s="43"/>
      <c r="I118" s="44"/>
      <c r="J118" s="43"/>
      <c r="L118" s="43"/>
      <c r="M118" s="43"/>
      <c r="N118" s="43"/>
      <c r="Q118" s="43"/>
      <c r="R118" s="43"/>
    </row>
    <row r="119" spans="2:18" x14ac:dyDescent="0.2">
      <c r="B119" s="223" t="str">
        <f>IF(Lang="Français","Portance Cnα","Lift Cnα")</f>
        <v>Portance Cnα</v>
      </c>
      <c r="H119" s="43"/>
      <c r="I119" s="44"/>
      <c r="J119" s="43"/>
      <c r="L119" s="43"/>
      <c r="M119" s="43"/>
      <c r="N119" s="43"/>
      <c r="Q119" s="43"/>
      <c r="R119" s="43"/>
    </row>
    <row r="120" spans="2:18" x14ac:dyDescent="0.2">
      <c r="B120" s="38"/>
      <c r="H120" s="43"/>
      <c r="I120" s="44"/>
      <c r="J120" s="43"/>
      <c r="L120" s="43"/>
      <c r="M120" s="43"/>
      <c r="N120" s="43"/>
      <c r="Q120" s="43"/>
      <c r="R120" s="43"/>
    </row>
    <row r="121" spans="2:18" x14ac:dyDescent="0.2">
      <c r="B121" s="24" t="str">
        <f>IF(Lang="Français","Données pour les graphiques :",IF(Lang="English","Data for plots:",""))</f>
        <v>Données pour les graphiques :</v>
      </c>
      <c r="H121" s="43"/>
      <c r="I121" s="44"/>
      <c r="J121" s="43"/>
      <c r="L121" s="43"/>
      <c r="M121" s="43"/>
      <c r="N121" s="43"/>
      <c r="Q121" s="43"/>
      <c r="R121" s="43"/>
    </row>
    <row r="122" spans="2:18" x14ac:dyDescent="0.2">
      <c r="H122" s="43"/>
      <c r="I122" s="44"/>
      <c r="J122" s="43"/>
      <c r="L122" s="43"/>
      <c r="M122" s="43"/>
      <c r="N122" s="43"/>
      <c r="Q122" s="43"/>
      <c r="R122" s="43"/>
    </row>
    <row r="123" spans="2:18" x14ac:dyDescent="0.2">
      <c r="B123" s="45"/>
      <c r="C123" s="45" t="s">
        <v>68</v>
      </c>
      <c r="D123" s="45" t="s">
        <v>69</v>
      </c>
      <c r="E123" s="92" t="s">
        <v>70</v>
      </c>
      <c r="K123" s="45"/>
    </row>
    <row r="124" spans="2:18" x14ac:dyDescent="0.2">
      <c r="B124" s="45" t="s">
        <v>72</v>
      </c>
      <c r="C124" s="46">
        <f>-Long_ogive</f>
        <v>-1</v>
      </c>
      <c r="D124" s="46">
        <v>0</v>
      </c>
      <c r="E124" s="93">
        <f t="shared" ref="E124:E136" si="0">-D124</f>
        <v>0</v>
      </c>
      <c r="K124" s="46"/>
    </row>
    <row r="125" spans="2:18" x14ac:dyDescent="0.2">
      <c r="B125" s="45" t="s">
        <v>72</v>
      </c>
      <c r="C125" s="46">
        <f>-Long_ogive</f>
        <v>-1</v>
      </c>
      <c r="D125" s="46">
        <f>D_og/2</f>
        <v>42</v>
      </c>
      <c r="E125" s="93">
        <f t="shared" si="0"/>
        <v>-42</v>
      </c>
      <c r="K125" s="46"/>
    </row>
    <row r="126" spans="2:18" x14ac:dyDescent="0.2">
      <c r="B126" s="45" t="s">
        <v>73</v>
      </c>
      <c r="C126" s="46">
        <f>IF(AND(RIGHT(Nb_diam,1)=".",X_j), -X_j, C125 )</f>
        <v>-1</v>
      </c>
      <c r="D126" s="46">
        <f>IF(AND(RIGHT(Nb_diam,1)=".",X_j), D1j/2, D125 )</f>
        <v>42</v>
      </c>
      <c r="E126" s="93">
        <f t="shared" si="0"/>
        <v>-42</v>
      </c>
      <c r="K126" s="46"/>
    </row>
    <row r="127" spans="2:18" x14ac:dyDescent="0.2">
      <c r="B127" s="45" t="s">
        <v>74</v>
      </c>
      <c r="C127" s="46">
        <f>IF(AND(RIGHT(Nb_diam,1)=".",X_j), -X_j-l_j, C126 )</f>
        <v>-61</v>
      </c>
      <c r="D127" s="46">
        <f>IF(AND(RIGHT(Nb_diam,1)=".",X_j), D2j/2, D126 )</f>
        <v>52</v>
      </c>
      <c r="E127" s="93">
        <f t="shared" si="0"/>
        <v>-52</v>
      </c>
      <c r="K127" s="46"/>
    </row>
    <row r="128" spans="2:18" x14ac:dyDescent="0.2">
      <c r="B128" s="45" t="s">
        <v>75</v>
      </c>
      <c r="C128" s="46">
        <f>IF(AND(RIGHT(Nb_diam,1)=".",X_r), -X_r, C127 )</f>
        <v>-1070</v>
      </c>
      <c r="D128" s="46">
        <f>IF(AND(RIGHT(Nb_diam,1)=".",X_r), D1r/2, D127 )</f>
        <v>52</v>
      </c>
      <c r="E128" s="93">
        <f t="shared" si="0"/>
        <v>-52</v>
      </c>
      <c r="K128" s="46"/>
    </row>
    <row r="129" spans="2:11" x14ac:dyDescent="0.2">
      <c r="B129" s="45" t="s">
        <v>76</v>
      </c>
      <c r="C129" s="46">
        <f>IF(AND(RIGHT(Nb_diam,1)=".",X_r), -X_r-l_r, C128 )</f>
        <v>-1120</v>
      </c>
      <c r="D129" s="46">
        <f>IF(AND(RIGHT(Nb_diam,1)=".",X_r), D2r/2, D128 )</f>
        <v>42</v>
      </c>
      <c r="E129" s="93">
        <f t="shared" si="0"/>
        <v>-42</v>
      </c>
      <c r="K129" s="46"/>
    </row>
    <row r="130" spans="2:11" x14ac:dyDescent="0.2">
      <c r="B130" s="45" t="s">
        <v>77</v>
      </c>
      <c r="C130" s="46">
        <f>-Long_tot</f>
        <v>-1120</v>
      </c>
      <c r="D130" s="46">
        <f>D129</f>
        <v>42</v>
      </c>
      <c r="E130" s="93">
        <f t="shared" si="0"/>
        <v>-42</v>
      </c>
      <c r="K130" s="46"/>
    </row>
    <row r="131" spans="2:11" x14ac:dyDescent="0.2">
      <c r="B131" s="45" t="s">
        <v>77</v>
      </c>
      <c r="C131" s="46">
        <f>-Long_tot</f>
        <v>-1120</v>
      </c>
      <c r="D131" s="46">
        <v>0</v>
      </c>
      <c r="E131" s="93">
        <f t="shared" si="0"/>
        <v>0</v>
      </c>
      <c r="K131" s="46"/>
    </row>
    <row r="132" spans="2:11" x14ac:dyDescent="0.2">
      <c r="B132" s="183" t="s">
        <v>78</v>
      </c>
      <c r="C132" s="197">
        <f>-X_ail+m_ail</f>
        <v>-860</v>
      </c>
      <c r="D132" s="197">
        <f>D_ail/2</f>
        <v>52</v>
      </c>
      <c r="E132" s="198">
        <f t="shared" si="0"/>
        <v>-52</v>
      </c>
      <c r="K132" s="46"/>
    </row>
    <row r="133" spans="2:11" x14ac:dyDescent="0.2">
      <c r="B133" s="185" t="s">
        <v>79</v>
      </c>
      <c r="C133" s="46">
        <f>-X_ail+m_ail-p_ail</f>
        <v>-1045</v>
      </c>
      <c r="D133" s="46">
        <f>D_ail/2+E_ail</f>
        <v>197</v>
      </c>
      <c r="E133" s="199">
        <f t="shared" si="0"/>
        <v>-197</v>
      </c>
      <c r="K133" s="46"/>
    </row>
    <row r="134" spans="2:11" x14ac:dyDescent="0.2">
      <c r="B134" s="185" t="s">
        <v>80</v>
      </c>
      <c r="C134" s="46">
        <f>-X_ail+m_ail-p_ail-n_ail</f>
        <v>-1125</v>
      </c>
      <c r="D134" s="46">
        <f>D_ail/2+E_ail</f>
        <v>197</v>
      </c>
      <c r="E134" s="199">
        <f t="shared" si="0"/>
        <v>-197</v>
      </c>
      <c r="K134" s="46"/>
    </row>
    <row r="135" spans="2:11" x14ac:dyDescent="0.2">
      <c r="B135" s="185" t="s">
        <v>81</v>
      </c>
      <c r="C135" s="46">
        <f>-X_ail</f>
        <v>-1070</v>
      </c>
      <c r="D135" s="46">
        <f>D_ail/2</f>
        <v>52</v>
      </c>
      <c r="E135" s="199">
        <f t="shared" si="0"/>
        <v>-52</v>
      </c>
      <c r="K135" s="46"/>
    </row>
    <row r="136" spans="2:11" x14ac:dyDescent="0.2">
      <c r="B136" s="187" t="s">
        <v>78</v>
      </c>
      <c r="C136" s="200">
        <f>-X_ail+m_ail</f>
        <v>-860</v>
      </c>
      <c r="D136" s="200">
        <f>D_ail/2</f>
        <v>52</v>
      </c>
      <c r="E136" s="201">
        <f t="shared" si="0"/>
        <v>-52</v>
      </c>
      <c r="K136" s="46"/>
    </row>
    <row r="137" spans="2:11" x14ac:dyDescent="0.2">
      <c r="B137" s="192" t="str">
        <f>IF(E_ail&gt;0,IF(Lang="Français","Envergure","Span"),"")</f>
        <v>Envergure</v>
      </c>
      <c r="C137" s="197">
        <f>MIN(-X_ail,-X_ail+m_ail-p_ail-n_ail)-Long_tot/30</f>
        <v>-1162.3333333333333</v>
      </c>
      <c r="D137" s="207">
        <f>-D_ail/2-E_ail</f>
        <v>-197</v>
      </c>
      <c r="E137" s="93"/>
      <c r="K137" s="46"/>
    </row>
    <row r="138" spans="2:11" x14ac:dyDescent="0.2">
      <c r="B138" s="195" t="s">
        <v>166</v>
      </c>
      <c r="C138" s="46">
        <f>MIN(-X_ail,-X_ail+m_ail-p_ail-n_ail)-Long_tot/30</f>
        <v>-1162.3333333333333</v>
      </c>
      <c r="D138" s="208">
        <f>-D_ail/2-E_ail/2</f>
        <v>-124.5</v>
      </c>
      <c r="E138" s="93"/>
      <c r="K138" s="46"/>
    </row>
    <row r="139" spans="2:11" x14ac:dyDescent="0.2">
      <c r="B139" s="212" t="s">
        <v>162</v>
      </c>
      <c r="C139" s="200">
        <f>MIN(-X_ail,-X_ail+m_ail-p_ail-n_ail)-Long_tot/30</f>
        <v>-1162.3333333333333</v>
      </c>
      <c r="D139" s="209">
        <f>-D_ail/2</f>
        <v>-52</v>
      </c>
      <c r="E139" s="93"/>
      <c r="K139" s="46"/>
    </row>
    <row r="140" spans="2:11" x14ac:dyDescent="0.2">
      <c r="B140" s="192" t="str">
        <f>IF(Lang="Français","Emplanture","Root edge")</f>
        <v>Emplanture</v>
      </c>
      <c r="C140" s="197">
        <f>-X_ail+m_ail</f>
        <v>-860</v>
      </c>
      <c r="D140" s="207">
        <f>D_ail/2+E_ail+Long_tot/20</f>
        <v>253</v>
      </c>
      <c r="E140" s="93"/>
      <c r="K140" s="46"/>
    </row>
    <row r="141" spans="2:11" x14ac:dyDescent="0.2">
      <c r="B141" s="195" t="s">
        <v>168</v>
      </c>
      <c r="C141" s="46">
        <f>-X_ail+m_ail/2</f>
        <v>-965</v>
      </c>
      <c r="D141" s="208">
        <f>D_ail/2+E_ail+Long_tot/20</f>
        <v>253</v>
      </c>
      <c r="E141" s="93"/>
      <c r="K141" s="46"/>
    </row>
    <row r="142" spans="2:11" x14ac:dyDescent="0.2">
      <c r="B142" s="212" t="s">
        <v>169</v>
      </c>
      <c r="C142" s="200">
        <f>-X_ail</f>
        <v>-1070</v>
      </c>
      <c r="D142" s="209">
        <f>D_ail/2+E_ail+Long_tot/20</f>
        <v>253</v>
      </c>
      <c r="E142" s="93"/>
      <c r="K142" s="46"/>
    </row>
    <row r="143" spans="2:11" x14ac:dyDescent="0.2">
      <c r="B143" s="192" t="str">
        <f>IF(p_ail&lt;&gt;0,IF(Lang="Français","Flèche","Offset"),"")</f>
        <v>Flèche</v>
      </c>
      <c r="C143" s="197">
        <f>-X_ail+m_ail</f>
        <v>-860</v>
      </c>
      <c r="D143" s="207">
        <f>-D_ail/2-E_ail-Long_tot/30</f>
        <v>-234.33333333333334</v>
      </c>
      <c r="E143" s="93"/>
      <c r="K143" s="46"/>
    </row>
    <row r="144" spans="2:11" x14ac:dyDescent="0.2">
      <c r="B144" s="195" t="s">
        <v>165</v>
      </c>
      <c r="C144" s="46">
        <f>-X_ail+m_ail-p_ail/2</f>
        <v>-952.5</v>
      </c>
      <c r="D144" s="208">
        <f>-D_ail/2-E_ail-Long_tot/30</f>
        <v>-234.33333333333334</v>
      </c>
      <c r="E144" s="93"/>
      <c r="K144" s="46"/>
    </row>
    <row r="145" spans="2:11" x14ac:dyDescent="0.2">
      <c r="B145" s="212" t="s">
        <v>163</v>
      </c>
      <c r="C145" s="200">
        <f>-X_ail+m_ail-p_ail</f>
        <v>-1045</v>
      </c>
      <c r="D145" s="209">
        <f>-D_ail/2-E_ail-Long_tot/30</f>
        <v>-234.33333333333334</v>
      </c>
      <c r="E145" s="93"/>
      <c r="K145" s="46"/>
    </row>
    <row r="146" spans="2:11" x14ac:dyDescent="0.2">
      <c r="B146" s="192" t="str">
        <f>IF(n_ail&gt;0,IF(Lang="Français","Saumon","Tip edge"),"")</f>
        <v>Saumon</v>
      </c>
      <c r="C146" s="197">
        <f>-X_ail+m_ail-p_ail</f>
        <v>-1045</v>
      </c>
      <c r="D146" s="207">
        <f>-D_ail/2-E_ail-Long_tot/20</f>
        <v>-253</v>
      </c>
      <c r="E146" s="93"/>
      <c r="K146" s="46"/>
    </row>
    <row r="147" spans="2:11" x14ac:dyDescent="0.2">
      <c r="B147" s="195" t="s">
        <v>167</v>
      </c>
      <c r="C147" s="46">
        <f>-X_ail+m_ail-p_ail-n_ail/2</f>
        <v>-1085</v>
      </c>
      <c r="D147" s="208">
        <f>-D_ail/2-E_ail-Long_tot/20</f>
        <v>-253</v>
      </c>
      <c r="E147" s="93"/>
      <c r="K147" s="46"/>
    </row>
    <row r="148" spans="2:11" x14ac:dyDescent="0.2">
      <c r="B148" s="212" t="s">
        <v>164</v>
      </c>
      <c r="C148" s="200">
        <f>-X_ail+m_ail-p_ail-n_ail</f>
        <v>-1125</v>
      </c>
      <c r="D148" s="209">
        <f>-D_ail/2-E_ail-Long_tot/20</f>
        <v>-253</v>
      </c>
      <c r="E148" s="93"/>
      <c r="K148" s="46"/>
    </row>
    <row r="149" spans="2:11" x14ac:dyDescent="0.2">
      <c r="B149" s="183" t="s">
        <v>82</v>
      </c>
      <c r="C149" s="197">
        <f ca="1">-XcgPlein</f>
        <v>-493.0142129874917</v>
      </c>
      <c r="D149" s="207">
        <v>0</v>
      </c>
      <c r="E149" s="93"/>
      <c r="K149" s="46"/>
    </row>
    <row r="150" spans="2:11" x14ac:dyDescent="0.2">
      <c r="B150" s="187" t="s">
        <v>83</v>
      </c>
      <c r="C150" s="200">
        <f ca="1">-XcgVide</f>
        <v>-493.00000000000006</v>
      </c>
      <c r="D150" s="209">
        <v>0</v>
      </c>
      <c r="E150" s="93"/>
      <c r="K150" s="46"/>
    </row>
    <row r="151" spans="2:11" x14ac:dyDescent="0.2">
      <c r="B151" s="183" t="s">
        <v>84</v>
      </c>
      <c r="C151" s="197">
        <f>-XCp</f>
        <v>-853.14182571470383</v>
      </c>
      <c r="D151" s="207">
        <v>0</v>
      </c>
      <c r="E151" s="93"/>
      <c r="K151" s="46"/>
    </row>
    <row r="152" spans="2:11" x14ac:dyDescent="0.2">
      <c r="B152" s="187" t="s">
        <v>84</v>
      </c>
      <c r="C152" s="200">
        <f>-XCp</f>
        <v>-853.14182571470383</v>
      </c>
      <c r="D152" s="209">
        <f>Cn*D_ref/CritCnmin</f>
        <v>112.3452515420376</v>
      </c>
      <c r="E152" s="93"/>
      <c r="K152" s="46"/>
    </row>
    <row r="153" spans="2:11" x14ac:dyDescent="0.2">
      <c r="B153" s="185" t="s">
        <v>422</v>
      </c>
      <c r="C153" s="46">
        <f>-XCp0</f>
        <v>-853.14182571470383</v>
      </c>
      <c r="D153" s="208">
        <f>Cn0*D_ref/CritCnmin</f>
        <v>112.3452515420376</v>
      </c>
      <c r="E153" s="93"/>
      <c r="K153" s="46"/>
    </row>
    <row r="154" spans="2:11" x14ac:dyDescent="0.2">
      <c r="B154" s="185" t="s">
        <v>422</v>
      </c>
      <c r="C154" s="46">
        <f>-XCp0</f>
        <v>-853.14182571470383</v>
      </c>
      <c r="D154" s="208">
        <v>0</v>
      </c>
      <c r="E154" s="93"/>
      <c r="K154" s="46"/>
    </row>
    <row r="155" spans="2:11" x14ac:dyDescent="0.2">
      <c r="B155" s="192" t="str">
        <f>IF(n_ail&gt;0,IF(Lang="Français","Marge Statique","Static Margin"),"")</f>
        <v>Marge Statique</v>
      </c>
      <c r="C155" s="197">
        <f ca="1">(-XcgPlein-XcgVide)/2</f>
        <v>-493.00710649374588</v>
      </c>
      <c r="D155" s="207">
        <f>-D_ail/2-E_ail-Long_tot/20</f>
        <v>-253</v>
      </c>
      <c r="E155" s="93"/>
      <c r="K155" s="46"/>
    </row>
    <row r="156" spans="2:11" x14ac:dyDescent="0.2">
      <c r="B156" s="195" t="s">
        <v>170</v>
      </c>
      <c r="C156" s="46">
        <f ca="1">(C155+C157)/2</f>
        <v>-673.07446610422483</v>
      </c>
      <c r="D156" s="208">
        <f>-D_ail/2-E_ail-Long_tot/20</f>
        <v>-253</v>
      </c>
      <c r="E156" s="93"/>
      <c r="K156" s="46"/>
    </row>
    <row r="157" spans="2:11" x14ac:dyDescent="0.2">
      <c r="B157" s="212" t="s">
        <v>171</v>
      </c>
      <c r="C157" s="200">
        <f>-XCp</f>
        <v>-853.14182571470383</v>
      </c>
      <c r="D157" s="209">
        <f>-D_ail/2-E_ail-Long_tot/20</f>
        <v>-253</v>
      </c>
      <c r="E157" s="93"/>
      <c r="K157" s="46"/>
    </row>
    <row r="158" spans="2:11" x14ac:dyDescent="0.2">
      <c r="B158" s="183" t="s">
        <v>85</v>
      </c>
      <c r="C158" s="197">
        <f>IF(LEFT(Type_masquage,1)="M",0,-X_can+m_can)</f>
        <v>0</v>
      </c>
      <c r="D158" s="197">
        <f>IF(LEFT(Type_masquage,1)="M",0,D_ail/2)</f>
        <v>0</v>
      </c>
      <c r="E158" s="198">
        <f t="shared" ref="E158:E167" si="1">-D158</f>
        <v>0</v>
      </c>
      <c r="K158" s="46"/>
    </row>
    <row r="159" spans="2:11" x14ac:dyDescent="0.2">
      <c r="B159" s="185" t="s">
        <v>86</v>
      </c>
      <c r="C159" s="46">
        <f>IF(LEFT(Type_masquage,1)="M",0,-X_can+m_can-p_can)</f>
        <v>0</v>
      </c>
      <c r="D159" s="46">
        <f>IF(LEFT(Type_masquage,1)="M",0,D_ail/2+E_can)</f>
        <v>0</v>
      </c>
      <c r="E159" s="199">
        <f t="shared" si="1"/>
        <v>0</v>
      </c>
      <c r="K159" s="46"/>
    </row>
    <row r="160" spans="2:11" x14ac:dyDescent="0.2">
      <c r="B160" s="185" t="s">
        <v>87</v>
      </c>
      <c r="C160" s="46">
        <f>IF(LEFT(Type_masquage,1)="M",0,-X_can+m_can-p_can-n_can)</f>
        <v>0</v>
      </c>
      <c r="D160" s="46">
        <f>IF(LEFT(Type_masquage,1)="M",0,D_ail/2+E_can)</f>
        <v>0</v>
      </c>
      <c r="E160" s="199">
        <f t="shared" si="1"/>
        <v>0</v>
      </c>
      <c r="K160" s="46"/>
    </row>
    <row r="161" spans="2:11" x14ac:dyDescent="0.2">
      <c r="B161" s="185" t="s">
        <v>88</v>
      </c>
      <c r="C161" s="46">
        <f>IF(LEFT(Type_masquage,1)="M",0,-X_can)</f>
        <v>0</v>
      </c>
      <c r="D161" s="46">
        <f>IF(LEFT(Type_masquage,1)="M",0,D_ail/2)</f>
        <v>0</v>
      </c>
      <c r="E161" s="199">
        <f t="shared" si="1"/>
        <v>0</v>
      </c>
      <c r="K161" s="46"/>
    </row>
    <row r="162" spans="2:11" x14ac:dyDescent="0.2">
      <c r="B162" s="187" t="s">
        <v>85</v>
      </c>
      <c r="C162" s="200">
        <f>IF(LEFT(Type_masquage,1)="M",0,-X_can+m_can)</f>
        <v>0</v>
      </c>
      <c r="D162" s="200">
        <f>IF(LEFT(Type_masquage,1)="M",0,D_ail/2)</f>
        <v>0</v>
      </c>
      <c r="E162" s="201">
        <f t="shared" si="1"/>
        <v>0</v>
      </c>
      <c r="K162" s="46"/>
    </row>
    <row r="163" spans="2:11" x14ac:dyDescent="0.2">
      <c r="B163" s="183" t="s">
        <v>89</v>
      </c>
      <c r="C163" s="197">
        <f>IF(LEFT(Type_masquage,1)="B",-X_int+m_int,0)</f>
        <v>0</v>
      </c>
      <c r="D163" s="197">
        <f>IF(LEFT(Type_masquage,1)="B",D_int/2,0)</f>
        <v>0</v>
      </c>
      <c r="E163" s="198">
        <f t="shared" si="1"/>
        <v>0</v>
      </c>
      <c r="K163" s="46"/>
    </row>
    <row r="164" spans="2:11" x14ac:dyDescent="0.2">
      <c r="B164" s="185" t="s">
        <v>90</v>
      </c>
      <c r="C164" s="46">
        <f>IF(LEFT(Type_masquage,1)="B",-X_int+m_int-p_int,0)</f>
        <v>0</v>
      </c>
      <c r="D164" s="46">
        <f>IF(LEFT(Type_masquage,1)="B",D_int/2+E_int,0)</f>
        <v>0</v>
      </c>
      <c r="E164" s="199">
        <f t="shared" si="1"/>
        <v>0</v>
      </c>
      <c r="K164" s="46"/>
    </row>
    <row r="165" spans="2:11" x14ac:dyDescent="0.2">
      <c r="B165" s="185" t="s">
        <v>91</v>
      </c>
      <c r="C165" s="46">
        <f>IF(LEFT(Type_masquage,1)="B",-X_int+m_int-p_int-n_int,0)</f>
        <v>0</v>
      </c>
      <c r="D165" s="46">
        <f>IF(LEFT(Type_masquage,1)="B",D_int/2+E_int,0)</f>
        <v>0</v>
      </c>
      <c r="E165" s="199">
        <f t="shared" si="1"/>
        <v>0</v>
      </c>
      <c r="K165" s="46"/>
    </row>
    <row r="166" spans="2:11" x14ac:dyDescent="0.2">
      <c r="B166" s="185" t="s">
        <v>92</v>
      </c>
      <c r="C166" s="46">
        <f>IF(LEFT(Type_masquage,1)="B",-X_int,0)</f>
        <v>0</v>
      </c>
      <c r="D166" s="46">
        <f>IF(LEFT(Type_masquage,1)="B",D_int/2,0)</f>
        <v>0</v>
      </c>
      <c r="E166" s="199">
        <f t="shared" si="1"/>
        <v>0</v>
      </c>
      <c r="K166" s="46"/>
    </row>
    <row r="167" spans="2:11" x14ac:dyDescent="0.2">
      <c r="B167" s="187" t="s">
        <v>89</v>
      </c>
      <c r="C167" s="200">
        <f>IF(LEFT(Type_masquage,1)="B",-X_int+m_int,0)</f>
        <v>0</v>
      </c>
      <c r="D167" s="200">
        <f>IF(LEFT(Type_masquage,1)="B",D_int/2,0)</f>
        <v>0</v>
      </c>
      <c r="E167" s="201">
        <f t="shared" si="1"/>
        <v>0</v>
      </c>
      <c r="K167" s="46"/>
    </row>
    <row r="168" spans="2:11" x14ac:dyDescent="0.2">
      <c r="B168" s="45" t="s">
        <v>93</v>
      </c>
      <c r="C168" s="46">
        <f>-MAX(Long_tot, X_ail-m_ail+p_ail+n_ail, (E_ail+D_ail/2)*3.2)*1.01</f>
        <v>-1136.25</v>
      </c>
      <c r="D168" s="46">
        <f>MAX(E_ail+D_ail/2, Long_tot/3)</f>
        <v>373.33333333333331</v>
      </c>
      <c r="E168" s="93"/>
      <c r="K168" s="46"/>
    </row>
    <row r="169" spans="2:11" x14ac:dyDescent="0.2">
      <c r="B169" s="45" t="s">
        <v>93</v>
      </c>
      <c r="C169" s="46">
        <f>C168</f>
        <v>-1136.25</v>
      </c>
      <c r="D169" s="46">
        <f>-D168</f>
        <v>-373.33333333333331</v>
      </c>
      <c r="E169" s="93"/>
      <c r="K169" s="46"/>
    </row>
    <row r="170" spans="2:11" x14ac:dyDescent="0.2">
      <c r="B170" s="183" t="s">
        <v>94</v>
      </c>
      <c r="C170" s="197">
        <f ca="1">-XpropuRef+Long_propu</f>
        <v>-1110</v>
      </c>
      <c r="D170" s="207">
        <f ca="1">-Diam_propu/2</f>
        <v>0</v>
      </c>
      <c r="E170" s="93"/>
      <c r="K170" s="46"/>
    </row>
    <row r="171" spans="2:11" x14ac:dyDescent="0.2">
      <c r="B171" s="185" t="s">
        <v>95</v>
      </c>
      <c r="C171" s="46">
        <f ca="1">-XpropuRef+Long_propu</f>
        <v>-1110</v>
      </c>
      <c r="D171" s="208">
        <f ca="1">Diam_propu/2</f>
        <v>0</v>
      </c>
      <c r="E171" s="93"/>
      <c r="K171" s="46"/>
    </row>
    <row r="172" spans="2:11" x14ac:dyDescent="0.2">
      <c r="B172" s="185" t="s">
        <v>96</v>
      </c>
      <c r="C172" s="46">
        <f>-XpropuRef</f>
        <v>-1110</v>
      </c>
      <c r="D172" s="208">
        <f ca="1">Diam_propu/2</f>
        <v>0</v>
      </c>
      <c r="E172" s="93"/>
      <c r="K172" s="46"/>
    </row>
    <row r="173" spans="2:11" x14ac:dyDescent="0.2">
      <c r="B173" s="185" t="s">
        <v>97</v>
      </c>
      <c r="C173" s="46">
        <f>-XpropuRef</f>
        <v>-1110</v>
      </c>
      <c r="D173" s="208">
        <f ca="1">-Diam_propu/2</f>
        <v>0</v>
      </c>
      <c r="E173" s="93"/>
      <c r="K173" s="46"/>
    </row>
    <row r="174" spans="2:11" x14ac:dyDescent="0.2">
      <c r="B174" s="187" t="s">
        <v>98</v>
      </c>
      <c r="C174" s="200">
        <f ca="1">-XpropuRef+Long_propu</f>
        <v>-1110</v>
      </c>
      <c r="D174" s="209">
        <f ca="1">-Diam_propu/2</f>
        <v>0</v>
      </c>
      <c r="E174" s="93"/>
      <c r="F174" s="192" t="s">
        <v>159</v>
      </c>
      <c r="G174" s="193" t="s">
        <v>160</v>
      </c>
      <c r="H174" s="194" t="s">
        <v>161</v>
      </c>
      <c r="K174" s="46"/>
    </row>
    <row r="175" spans="2:11" x14ac:dyDescent="0.2">
      <c r="B175" s="183" t="s">
        <v>71</v>
      </c>
      <c r="C175" s="197">
        <v>0</v>
      </c>
      <c r="D175" s="197">
        <v>0</v>
      </c>
      <c r="E175" s="198">
        <f t="shared" ref="E175:E180" si="2">-D175</f>
        <v>0</v>
      </c>
      <c r="F175" s="195">
        <v>0</v>
      </c>
      <c r="G175" s="45">
        <v>0</v>
      </c>
      <c r="H175" s="189">
        <v>0</v>
      </c>
      <c r="K175" s="46"/>
    </row>
    <row r="176" spans="2:11" x14ac:dyDescent="0.2">
      <c r="B176" s="185" t="s">
        <v>72</v>
      </c>
      <c r="C176" s="46">
        <f>-Long_ogive*0.1</f>
        <v>-0.1</v>
      </c>
      <c r="D176" s="46">
        <f>IF(LEFT(Forme_ogive,5)="Parab",H176,IF(LEFT(Forme_ogive,4)="Ogiv",G176,IF(LEFT(Forme_ogive,3)="Con",F176)))</f>
        <v>4.2</v>
      </c>
      <c r="E176" s="199">
        <f t="shared" si="2"/>
        <v>-4.2</v>
      </c>
      <c r="F176" s="185">
        <f>D_og/2*0.1</f>
        <v>4.2</v>
      </c>
      <c r="G176" s="45">
        <f>D_og/2*0.2</f>
        <v>8.4</v>
      </c>
      <c r="H176" s="189">
        <f>D_og/2*0.5</f>
        <v>21</v>
      </c>
      <c r="K176" s="46"/>
    </row>
    <row r="177" spans="2:11" x14ac:dyDescent="0.2">
      <c r="B177" s="185" t="s">
        <v>72</v>
      </c>
      <c r="C177" s="46">
        <f>-Long_ogive/4</f>
        <v>-0.25</v>
      </c>
      <c r="D177" s="46">
        <f>IF(LEFT(Forme_ogive,5)="Parab",H177,IF(LEFT(Forme_ogive,4)="Ogiv",G177,IF(LEFT(Forme_ogive,3)="Con",F177)))</f>
        <v>10.5</v>
      </c>
      <c r="E177" s="199">
        <f t="shared" si="2"/>
        <v>-10.5</v>
      </c>
      <c r="F177" s="185">
        <f>D_og/2*1/4</f>
        <v>10.5</v>
      </c>
      <c r="G177" s="45">
        <f>D_og/2/2</f>
        <v>21</v>
      </c>
      <c r="H177" s="189">
        <f>D_og/2*0.7</f>
        <v>29.4</v>
      </c>
      <c r="K177" s="46"/>
    </row>
    <row r="178" spans="2:11" x14ac:dyDescent="0.2">
      <c r="B178" s="185" t="s">
        <v>72</v>
      </c>
      <c r="C178" s="46">
        <f>-Long_ogive/2</f>
        <v>-0.5</v>
      </c>
      <c r="D178" s="46">
        <f>IF(LEFT(Forme_ogive,5)="Parab",H178,IF(LEFT(Forme_ogive,4)="Ogiv",G178,IF(LEFT(Forme_ogive,3)="Con",F178)))</f>
        <v>21</v>
      </c>
      <c r="E178" s="199">
        <f t="shared" si="2"/>
        <v>-21</v>
      </c>
      <c r="F178" s="185">
        <f>D_og/2/2</f>
        <v>21</v>
      </c>
      <c r="G178" s="45">
        <f>D_og/2*3/4</f>
        <v>31.5</v>
      </c>
      <c r="H178" s="189">
        <f>D_og/2*0.88</f>
        <v>36.96</v>
      </c>
      <c r="K178" s="46"/>
    </row>
    <row r="179" spans="2:11" x14ac:dyDescent="0.2">
      <c r="B179" s="185" t="s">
        <v>72</v>
      </c>
      <c r="C179" s="46">
        <f>-Long_ogive*3/4</f>
        <v>-0.75</v>
      </c>
      <c r="D179" s="46">
        <f>IF(LEFT(Forme_ogive,5)="Parab",H179,IF(LEFT(Forme_ogive,4)="Ogiv",G179,IF(LEFT(Forme_ogive,3)="Con",F179)))</f>
        <v>31.5</v>
      </c>
      <c r="E179" s="199">
        <f t="shared" si="2"/>
        <v>-31.5</v>
      </c>
      <c r="F179" s="185">
        <f>D_og/2*3/4</f>
        <v>31.5</v>
      </c>
      <c r="G179" s="45">
        <f>D_og/2*0.9</f>
        <v>37.800000000000004</v>
      </c>
      <c r="H179" s="189">
        <f>D_og/2*0.95</f>
        <v>39.9</v>
      </c>
      <c r="K179" s="46"/>
    </row>
    <row r="180" spans="2:11" x14ac:dyDescent="0.2">
      <c r="B180" s="187" t="s">
        <v>72</v>
      </c>
      <c r="C180" s="200">
        <f>-Long_ogive</f>
        <v>-1</v>
      </c>
      <c r="D180" s="200">
        <f>D_og/2</f>
        <v>42</v>
      </c>
      <c r="E180" s="201">
        <f t="shared" si="2"/>
        <v>-42</v>
      </c>
      <c r="F180" s="187">
        <f>D_og/2</f>
        <v>42</v>
      </c>
      <c r="G180" s="196">
        <f>D_og/2</f>
        <v>42</v>
      </c>
      <c r="H180" s="190">
        <f>D_og/2</f>
        <v>42</v>
      </c>
      <c r="K180" s="26"/>
    </row>
    <row r="181" spans="2:11" x14ac:dyDescent="0.2">
      <c r="B181" s="45" t="s">
        <v>99</v>
      </c>
      <c r="C181" s="45" t="s">
        <v>100</v>
      </c>
      <c r="D181" s="183" t="s">
        <v>99</v>
      </c>
      <c r="E181" s="204" t="s">
        <v>100</v>
      </c>
      <c r="K181" s="45"/>
    </row>
    <row r="182" spans="2:11" x14ac:dyDescent="0.2">
      <c r="B182" s="183">
        <v>0</v>
      </c>
      <c r="C182" s="202">
        <f>CritCnmin</f>
        <v>15</v>
      </c>
      <c r="D182" s="185">
        <v>0.5</v>
      </c>
      <c r="E182" s="205">
        <f t="shared" ref="E182:E187" si="3">CritMsCnmin/D182</f>
        <v>80</v>
      </c>
      <c r="K182" s="45"/>
    </row>
    <row r="183" spans="2:11" x14ac:dyDescent="0.2">
      <c r="B183" s="187">
        <v>7</v>
      </c>
      <c r="C183" s="196">
        <f>CritCnmin</f>
        <v>15</v>
      </c>
      <c r="D183" s="185">
        <v>1</v>
      </c>
      <c r="E183" s="205">
        <f t="shared" si="3"/>
        <v>40</v>
      </c>
      <c r="K183" s="45"/>
    </row>
    <row r="184" spans="2:11" x14ac:dyDescent="0.2">
      <c r="B184" s="183">
        <v>0</v>
      </c>
      <c r="C184" s="202">
        <f>CritCnmax</f>
        <v>40</v>
      </c>
      <c r="D184" s="185">
        <v>2</v>
      </c>
      <c r="E184" s="205">
        <f t="shared" si="3"/>
        <v>20</v>
      </c>
      <c r="K184" s="45"/>
    </row>
    <row r="185" spans="2:11" x14ac:dyDescent="0.2">
      <c r="B185" s="187">
        <v>7</v>
      </c>
      <c r="C185" s="196">
        <f>CritCnmax</f>
        <v>40</v>
      </c>
      <c r="D185" s="185">
        <v>3</v>
      </c>
      <c r="E185" s="205">
        <f t="shared" si="3"/>
        <v>13.333333333333334</v>
      </c>
      <c r="K185" s="45"/>
    </row>
    <row r="186" spans="2:11" x14ac:dyDescent="0.2">
      <c r="B186" s="183">
        <f>CritMsmin</f>
        <v>2</v>
      </c>
      <c r="C186" s="202">
        <v>0</v>
      </c>
      <c r="D186" s="185">
        <v>5</v>
      </c>
      <c r="E186" s="205">
        <f t="shared" si="3"/>
        <v>8</v>
      </c>
      <c r="K186" s="45"/>
    </row>
    <row r="187" spans="2:11" x14ac:dyDescent="0.2">
      <c r="B187" s="187">
        <f>CritMsmin</f>
        <v>2</v>
      </c>
      <c r="C187" s="196">
        <v>55</v>
      </c>
      <c r="D187" s="185">
        <v>7</v>
      </c>
      <c r="E187" s="205">
        <f t="shared" si="3"/>
        <v>5.7142857142857144</v>
      </c>
      <c r="K187" s="45"/>
    </row>
    <row r="188" spans="2:11" x14ac:dyDescent="0.2">
      <c r="B188" s="183">
        <f>CritMsmax</f>
        <v>6</v>
      </c>
      <c r="C188" s="202">
        <v>0</v>
      </c>
      <c r="D188" s="185">
        <v>1</v>
      </c>
      <c r="E188" s="205">
        <f t="shared" ref="E188:E193" si="4">CritMsCnmax/D188</f>
        <v>100</v>
      </c>
      <c r="K188" s="45"/>
    </row>
    <row r="189" spans="2:11" x14ac:dyDescent="0.2">
      <c r="B189" s="187">
        <f>CritMsmax</f>
        <v>6</v>
      </c>
      <c r="C189" s="196">
        <v>55</v>
      </c>
      <c r="D189" s="185">
        <v>2</v>
      </c>
      <c r="E189" s="205">
        <f t="shared" si="4"/>
        <v>50</v>
      </c>
      <c r="K189" s="45"/>
    </row>
    <row r="190" spans="2:11" x14ac:dyDescent="0.2">
      <c r="B190" s="191">
        <f ca="1">MS_min</f>
        <v>3.4627655069924241</v>
      </c>
      <c r="C190" s="203">
        <f>Cn</f>
        <v>16.203642049332345</v>
      </c>
      <c r="D190" s="185">
        <v>3</v>
      </c>
      <c r="E190" s="205">
        <f t="shared" si="4"/>
        <v>33.333333333333336</v>
      </c>
      <c r="K190" s="45"/>
    </row>
    <row r="191" spans="2:11" x14ac:dyDescent="0.2">
      <c r="B191" s="512">
        <f ca="1">(XCp0-XcgPlein)/D_ref</f>
        <v>3.4627655069924241</v>
      </c>
      <c r="C191" s="513">
        <f>Cn0</f>
        <v>16.203642049332345</v>
      </c>
      <c r="D191" s="185">
        <v>4</v>
      </c>
      <c r="E191" s="205">
        <f t="shared" si="4"/>
        <v>25</v>
      </c>
      <c r="K191" s="45"/>
    </row>
    <row r="192" spans="2:11" x14ac:dyDescent="0.2">
      <c r="B192" s="512">
        <f ca="1">(XCp0-XcgVide)/D_ref</f>
        <v>3.46290217033369</v>
      </c>
      <c r="C192" s="513">
        <f>Cn0</f>
        <v>16.203642049332345</v>
      </c>
      <c r="D192" s="185">
        <v>6</v>
      </c>
      <c r="E192" s="205">
        <f t="shared" si="4"/>
        <v>16.666666666666668</v>
      </c>
      <c r="K192" s="45"/>
    </row>
    <row r="193" spans="2:11" x14ac:dyDescent="0.2">
      <c r="B193" s="512">
        <f ca="1">(XCp-XcgVide)/D_ref</f>
        <v>3.46290217033369</v>
      </c>
      <c r="C193" s="513">
        <f>Cn</f>
        <v>16.203642049332345</v>
      </c>
      <c r="D193" s="187">
        <v>7</v>
      </c>
      <c r="E193" s="206">
        <f t="shared" si="4"/>
        <v>14.285714285714286</v>
      </c>
      <c r="K193" s="45"/>
    </row>
    <row r="194" spans="2:11" x14ac:dyDescent="0.2">
      <c r="B194" s="512">
        <f ca="1">MS_min</f>
        <v>3.4627655069924241</v>
      </c>
      <c r="C194" s="514">
        <f>Cn</f>
        <v>16.203642049332345</v>
      </c>
      <c r="D194" s="45"/>
      <c r="E194" s="92"/>
      <c r="K194" s="45"/>
    </row>
    <row r="195" spans="2:11" x14ac:dyDescent="0.2">
      <c r="B195" s="183">
        <v>0</v>
      </c>
      <c r="C195" s="202">
        <f>(CritCnmin+CritCnmax)/2</f>
        <v>27.5</v>
      </c>
      <c r="D195" s="26"/>
      <c r="E195" s="90"/>
      <c r="K195" s="26"/>
    </row>
    <row r="196" spans="2:11" x14ac:dyDescent="0.2">
      <c r="B196" s="185">
        <f>MAX(CritMsmin,CritMsCnmin/C196)</f>
        <v>2</v>
      </c>
      <c r="C196" s="45">
        <f>(CritCnmin+CritCnmax)/2</f>
        <v>27.5</v>
      </c>
      <c r="D196" s="26"/>
      <c r="E196" s="90"/>
      <c r="K196" s="26"/>
    </row>
    <row r="197" spans="2:11" x14ac:dyDescent="0.2">
      <c r="B197" s="185">
        <f>MIN(CritMsmax,CritMsCnmax/C197)</f>
        <v>3.6363636363636362</v>
      </c>
      <c r="C197" s="189">
        <f>(CritCnmin+CritCnmax)/2</f>
        <v>27.5</v>
      </c>
    </row>
    <row r="198" spans="2:11" x14ac:dyDescent="0.2">
      <c r="B198" s="187">
        <v>7</v>
      </c>
      <c r="C198" s="190">
        <f>(CritCnmin+CritCnmax)/2</f>
        <v>27.5</v>
      </c>
    </row>
    <row r="199" spans="2:11" x14ac:dyDescent="0.2">
      <c r="B199" s="183">
        <f>(CritMsmin+CritMsmax)/2</f>
        <v>4</v>
      </c>
      <c r="C199" s="184">
        <v>0</v>
      </c>
    </row>
    <row r="200" spans="2:11" x14ac:dyDescent="0.2">
      <c r="B200" s="185">
        <f>(CritMsmin+CritMsmax)/2</f>
        <v>4</v>
      </c>
      <c r="C200" s="186">
        <f>MAX(CritCnmin,CritMsCnmin/B200)</f>
        <v>15</v>
      </c>
    </row>
    <row r="201" spans="2:11" x14ac:dyDescent="0.2">
      <c r="B201" s="185">
        <f>(CritMsmin+CritMsmax)/2</f>
        <v>4</v>
      </c>
      <c r="C201" s="186">
        <f>MIN(CritCnmax,CritMsCnmax/B201)</f>
        <v>25</v>
      </c>
    </row>
    <row r="202" spans="2:11" x14ac:dyDescent="0.2">
      <c r="B202" s="187">
        <f>(CritMsmin+CritMsmax)/2</f>
        <v>4</v>
      </c>
      <c r="C202" s="188">
        <v>55</v>
      </c>
    </row>
    <row r="203" spans="2:11" x14ac:dyDescent="0.2">
      <c r="D203" s="474"/>
    </row>
    <row r="204" spans="2:11" x14ac:dyDescent="0.2">
      <c r="B204" s="476" t="s">
        <v>405</v>
      </c>
      <c r="C204" s="31" t="b">
        <f ca="1">(OR(C205:C210))</f>
        <v>1</v>
      </c>
      <c r="D204" s="474"/>
    </row>
    <row r="205" spans="2:11" x14ac:dyDescent="0.2">
      <c r="B205" s="475" t="s">
        <v>402</v>
      </c>
      <c r="C205" s="474" t="b">
        <f ca="1">AND(Type_propu="H2O",RIGHT(Type_fusee,1)=" ")</f>
        <v>0</v>
      </c>
      <c r="D205" s="474"/>
    </row>
    <row r="206" spans="2:11" x14ac:dyDescent="0.2">
      <c r="B206" s="475" t="s">
        <v>118</v>
      </c>
      <c r="C206" s="474" t="b">
        <f ca="1">AND(Type_propu="Fusex",RIGHT(Type_fusee,1)=".")</f>
        <v>1</v>
      </c>
      <c r="D206" s="474"/>
    </row>
    <row r="207" spans="2:11" x14ac:dyDescent="0.2">
      <c r="B207" s="475" t="s">
        <v>403</v>
      </c>
      <c r="C207" s="474" t="b">
        <f ca="1">LEFT(Type_propu,5)=LEFT(Type_fusee,5)</f>
        <v>0</v>
      </c>
      <c r="D207" s="474"/>
    </row>
    <row r="208" spans="2:11" x14ac:dyDescent="0.2">
      <c r="B208" s="475" t="s">
        <v>404</v>
      </c>
      <c r="C208" s="474" t="b">
        <f ca="1">AND(RIGHT(Type_propu,1)="N",LEFT(Type_fusee,4)="Mini")</f>
        <v>0</v>
      </c>
      <c r="D208" s="474"/>
    </row>
    <row r="209" spans="1:3" x14ac:dyDescent="0.2">
      <c r="B209" s="475" t="s">
        <v>406</v>
      </c>
      <c r="C209" s="474" t="b">
        <f ca="1">AND(LEFT(Type_propu,5)="MiniR",LEFT(Type_fusee,1)="R")</f>
        <v>0</v>
      </c>
    </row>
    <row r="210" spans="1:3" x14ac:dyDescent="0.2">
      <c r="B210" s="475" t="s">
        <v>396</v>
      </c>
      <c r="C210" s="474" t="b">
        <f ca="1">AND(LEFT(Type_propu,4)="Mini",LEFT(Type_fusee,1)=",")</f>
        <v>0</v>
      </c>
    </row>
    <row r="223" spans="1:3" x14ac:dyDescent="0.2">
      <c r="A223" s="24" t="s">
        <v>462</v>
      </c>
    </row>
    <row r="226" spans="1:1" x14ac:dyDescent="0.2">
      <c r="A226" s="24" t="s">
        <v>475</v>
      </c>
    </row>
    <row r="228" spans="1:1" x14ac:dyDescent="0.2">
      <c r="A228" s="24" t="s">
        <v>476</v>
      </c>
    </row>
    <row r="230" spans="1:1" x14ac:dyDescent="0.2">
      <c r="A230" s="24" t="s">
        <v>477</v>
      </c>
    </row>
    <row r="232" spans="1:1" x14ac:dyDescent="0.2">
      <c r="A232" s="24" t="s">
        <v>478</v>
      </c>
    </row>
    <row r="233" spans="1:1" x14ac:dyDescent="0.2">
      <c r="A233" s="24" t="s">
        <v>479</v>
      </c>
    </row>
    <row r="234" spans="1:1" x14ac:dyDescent="0.2">
      <c r="A234" s="24" t="s">
        <v>480</v>
      </c>
    </row>
    <row r="235" spans="1:1" x14ac:dyDescent="0.2">
      <c r="A235" s="24" t="s">
        <v>481</v>
      </c>
    </row>
    <row r="236" spans="1:1" x14ac:dyDescent="0.2">
      <c r="A236" s="24" t="s">
        <v>482</v>
      </c>
    </row>
    <row r="237" spans="1:1" x14ac:dyDescent="0.2">
      <c r="A237" s="24" t="s">
        <v>483</v>
      </c>
    </row>
    <row r="238" spans="1:1" x14ac:dyDescent="0.2">
      <c r="A238" s="24" t="s">
        <v>183</v>
      </c>
    </row>
    <row r="239" spans="1:1" x14ac:dyDescent="0.2">
      <c r="A239" s="24" t="s">
        <v>484</v>
      </c>
    </row>
    <row r="240" spans="1:1" x14ac:dyDescent="0.2">
      <c r="A240" s="24" t="s">
        <v>485</v>
      </c>
    </row>
    <row r="241" spans="1:1" x14ac:dyDescent="0.2">
      <c r="A241" s="24" t="s">
        <v>183</v>
      </c>
    </row>
    <row r="242" spans="1:1" x14ac:dyDescent="0.2">
      <c r="A242" s="24" t="s">
        <v>486</v>
      </c>
    </row>
    <row r="244" spans="1:1" x14ac:dyDescent="0.2">
      <c r="A244" s="24" t="s">
        <v>487</v>
      </c>
    </row>
    <row r="246" spans="1:1" x14ac:dyDescent="0.2">
      <c r="A246" s="24" t="s">
        <v>488</v>
      </c>
    </row>
    <row r="248" spans="1:1" x14ac:dyDescent="0.2">
      <c r="A248" s="24" t="s">
        <v>489</v>
      </c>
    </row>
    <row r="249" spans="1:1" x14ac:dyDescent="0.2">
      <c r="A249" s="24" t="s">
        <v>490</v>
      </c>
    </row>
    <row r="250" spans="1:1" x14ac:dyDescent="0.2">
      <c r="A250" s="24" t="s">
        <v>491</v>
      </c>
    </row>
    <row r="251" spans="1:1" x14ac:dyDescent="0.2">
      <c r="A251" s="24" t="s">
        <v>492</v>
      </c>
    </row>
    <row r="252" spans="1:1" x14ac:dyDescent="0.2">
      <c r="A252" s="24" t="s">
        <v>493</v>
      </c>
    </row>
    <row r="254" spans="1:1" x14ac:dyDescent="0.2">
      <c r="A254" s="24" t="s">
        <v>494</v>
      </c>
    </row>
    <row r="255" spans="1:1" x14ac:dyDescent="0.2">
      <c r="A255" s="24" t="s">
        <v>495</v>
      </c>
    </row>
    <row r="256" spans="1:1" x14ac:dyDescent="0.2">
      <c r="A256" s="24" t="s">
        <v>496</v>
      </c>
    </row>
    <row r="257" spans="1:1" x14ac:dyDescent="0.2">
      <c r="A257" s="24" t="s">
        <v>497</v>
      </c>
    </row>
    <row r="258" spans="1:1" x14ac:dyDescent="0.2">
      <c r="A258" s="24" t="s">
        <v>498</v>
      </c>
    </row>
    <row r="261" spans="1:1" x14ac:dyDescent="0.2">
      <c r="A261" s="24" t="s">
        <v>499</v>
      </c>
    </row>
    <row r="262" spans="1:1" x14ac:dyDescent="0.2">
      <c r="A262" s="24" t="s">
        <v>500</v>
      </c>
    </row>
    <row r="263" spans="1:1" x14ac:dyDescent="0.2">
      <c r="A263" s="24" t="s">
        <v>501</v>
      </c>
    </row>
    <row r="264" spans="1:1" x14ac:dyDescent="0.2">
      <c r="A264" s="24" t="s">
        <v>502</v>
      </c>
    </row>
    <row r="265" spans="1:1" x14ac:dyDescent="0.2">
      <c r="A265" s="24" t="s">
        <v>503</v>
      </c>
    </row>
    <row r="267" spans="1:1" x14ac:dyDescent="0.2">
      <c r="A267" s="24" t="s">
        <v>496</v>
      </c>
    </row>
    <row r="268" spans="1:1" x14ac:dyDescent="0.2">
      <c r="A268" s="24" t="s">
        <v>497</v>
      </c>
    </row>
    <row r="269" spans="1:1" x14ac:dyDescent="0.2">
      <c r="A269" s="24" t="s">
        <v>504</v>
      </c>
    </row>
    <row r="272" spans="1:1" x14ac:dyDescent="0.2">
      <c r="A272" s="24" t="s">
        <v>464</v>
      </c>
    </row>
    <row r="273" spans="1:1" x14ac:dyDescent="0.2">
      <c r="A273" s="24" t="s">
        <v>465</v>
      </c>
    </row>
    <row r="275" spans="1:1" x14ac:dyDescent="0.2">
      <c r="A275" s="24" t="s">
        <v>505</v>
      </c>
    </row>
    <row r="277" spans="1:1" x14ac:dyDescent="0.2">
      <c r="A277" s="24" t="s">
        <v>504</v>
      </c>
    </row>
    <row r="280" spans="1:1" x14ac:dyDescent="0.2">
      <c r="A280" s="24" t="s">
        <v>466</v>
      </c>
    </row>
    <row r="281" spans="1:1" x14ac:dyDescent="0.2">
      <c r="A281" s="24" t="s">
        <v>467</v>
      </c>
    </row>
    <row r="282" spans="1:1" x14ac:dyDescent="0.2">
      <c r="A282" s="24" t="s">
        <v>506</v>
      </c>
    </row>
    <row r="283" spans="1:1" x14ac:dyDescent="0.2">
      <c r="A283" s="24" t="s">
        <v>507</v>
      </c>
    </row>
    <row r="284" spans="1:1" x14ac:dyDescent="0.2">
      <c r="A284" s="24" t="s">
        <v>504</v>
      </c>
    </row>
    <row r="285" spans="1:1" x14ac:dyDescent="0.2">
      <c r="A285" s="24" t="s">
        <v>468</v>
      </c>
    </row>
    <row r="287" spans="1:1" x14ac:dyDescent="0.2">
      <c r="A287" s="24" t="s">
        <v>508</v>
      </c>
    </row>
    <row r="288" spans="1:1" x14ac:dyDescent="0.2">
      <c r="A288" s="24" t="s">
        <v>506</v>
      </c>
    </row>
    <row r="289" spans="1:1" x14ac:dyDescent="0.2">
      <c r="A289" s="24" t="s">
        <v>509</v>
      </c>
    </row>
    <row r="291" spans="1:1" x14ac:dyDescent="0.2">
      <c r="A291" s="24" t="s">
        <v>504</v>
      </c>
    </row>
    <row r="294" spans="1:1" x14ac:dyDescent="0.2">
      <c r="A294" s="24" t="s">
        <v>510</v>
      </c>
    </row>
    <row r="295" spans="1:1" x14ac:dyDescent="0.2">
      <c r="A295" s="24" t="s">
        <v>511</v>
      </c>
    </row>
    <row r="296" spans="1:1" x14ac:dyDescent="0.2">
      <c r="A296" s="24" t="s">
        <v>512</v>
      </c>
    </row>
    <row r="298" spans="1:1" x14ac:dyDescent="0.2">
      <c r="A298" s="24" t="s">
        <v>504</v>
      </c>
    </row>
    <row r="301" spans="1:1" x14ac:dyDescent="0.2">
      <c r="A301" s="24" t="s">
        <v>513</v>
      </c>
    </row>
    <row r="302" spans="1:1" x14ac:dyDescent="0.2">
      <c r="A302" s="24" t="s">
        <v>514</v>
      </c>
    </row>
    <row r="304" spans="1:1" x14ac:dyDescent="0.2">
      <c r="A304" s="24" t="s">
        <v>515</v>
      </c>
    </row>
    <row r="305" spans="1:1" x14ac:dyDescent="0.2">
      <c r="A305" s="24" t="s">
        <v>516</v>
      </c>
    </row>
    <row r="306" spans="1:1" x14ac:dyDescent="0.2">
      <c r="A306" s="24" t="s">
        <v>504</v>
      </c>
    </row>
    <row r="309" spans="1:1" x14ac:dyDescent="0.2">
      <c r="A309" s="24" t="s">
        <v>513</v>
      </c>
    </row>
    <row r="310" spans="1:1" x14ac:dyDescent="0.2">
      <c r="A310" s="24" t="s">
        <v>517</v>
      </c>
    </row>
    <row r="311" spans="1:1" x14ac:dyDescent="0.2">
      <c r="A311" s="24" t="s">
        <v>513</v>
      </c>
    </row>
    <row r="312" spans="1:1" x14ac:dyDescent="0.2">
      <c r="A312" s="24" t="s">
        <v>518</v>
      </c>
    </row>
    <row r="314" spans="1:1" x14ac:dyDescent="0.2">
      <c r="A314" s="24" t="s">
        <v>519</v>
      </c>
    </row>
    <row r="316" spans="1:1" x14ac:dyDescent="0.2">
      <c r="A316" s="24" t="s">
        <v>504</v>
      </c>
    </row>
    <row r="319" spans="1:1" x14ac:dyDescent="0.2">
      <c r="A319" s="24" t="s">
        <v>513</v>
      </c>
    </row>
    <row r="320" spans="1:1" x14ac:dyDescent="0.2">
      <c r="A320" s="24" t="s">
        <v>520</v>
      </c>
    </row>
    <row r="321" spans="1:1" x14ac:dyDescent="0.2">
      <c r="A321" s="24" t="s">
        <v>521</v>
      </c>
    </row>
    <row r="322" spans="1:1" x14ac:dyDescent="0.2">
      <c r="A322" s="24" t="s">
        <v>522</v>
      </c>
    </row>
    <row r="324" spans="1:1" x14ac:dyDescent="0.2">
      <c r="A324" s="24" t="s">
        <v>504</v>
      </c>
    </row>
    <row r="326" spans="1:1" x14ac:dyDescent="0.2">
      <c r="A326" s="24" t="s">
        <v>463</v>
      </c>
    </row>
    <row r="329" spans="1:1" x14ac:dyDescent="0.2">
      <c r="A329" s="24" t="s">
        <v>469</v>
      </c>
    </row>
    <row r="330" spans="1:1" x14ac:dyDescent="0.2">
      <c r="A330" s="24" t="s">
        <v>470</v>
      </c>
    </row>
    <row r="331" spans="1:1" x14ac:dyDescent="0.2">
      <c r="A331" s="24" t="s">
        <v>523</v>
      </c>
    </row>
    <row r="332" spans="1:1" x14ac:dyDescent="0.2">
      <c r="A332" s="24" t="s">
        <v>524</v>
      </c>
    </row>
    <row r="333" spans="1:1" x14ac:dyDescent="0.2">
      <c r="A333" s="24" t="s">
        <v>525</v>
      </c>
    </row>
    <row r="334" spans="1:1" x14ac:dyDescent="0.2">
      <c r="A334" s="24" t="s">
        <v>526</v>
      </c>
    </row>
    <row r="335" spans="1:1" x14ac:dyDescent="0.2">
      <c r="A335" s="24" t="s">
        <v>527</v>
      </c>
    </row>
    <row r="336" spans="1:1" x14ac:dyDescent="0.2">
      <c r="A336" s="24" t="s">
        <v>480</v>
      </c>
    </row>
    <row r="337" spans="1:1" x14ac:dyDescent="0.2">
      <c r="A337" s="24" t="s">
        <v>471</v>
      </c>
    </row>
    <row r="340" spans="1:1" x14ac:dyDescent="0.2">
      <c r="A340" s="24" t="s">
        <v>472</v>
      </c>
    </row>
    <row r="342" spans="1:1" x14ac:dyDescent="0.2">
      <c r="A342" s="24" t="s">
        <v>528</v>
      </c>
    </row>
    <row r="343" spans="1:1" x14ac:dyDescent="0.2">
      <c r="A343" s="24" t="s">
        <v>529</v>
      </c>
    </row>
    <row r="344" spans="1:1" x14ac:dyDescent="0.2">
      <c r="A344" s="24" t="s">
        <v>530</v>
      </c>
    </row>
    <row r="345" spans="1:1" x14ac:dyDescent="0.2">
      <c r="A345" s="24" t="s">
        <v>531</v>
      </c>
    </row>
    <row r="346" spans="1:1" x14ac:dyDescent="0.2">
      <c r="A346" s="24" t="s">
        <v>532</v>
      </c>
    </row>
    <row r="347" spans="1:1" x14ac:dyDescent="0.2">
      <c r="A347" s="24" t="s">
        <v>480</v>
      </c>
    </row>
    <row r="348" spans="1:1" x14ac:dyDescent="0.2">
      <c r="A348" s="24" t="s">
        <v>473</v>
      </c>
    </row>
    <row r="349" spans="1:1" x14ac:dyDescent="0.2">
      <c r="A349" s="24" t="s">
        <v>533</v>
      </c>
    </row>
    <row r="350" spans="1:1" x14ac:dyDescent="0.2">
      <c r="A350" s="24" t="s">
        <v>534</v>
      </c>
    </row>
    <row r="352" spans="1:1" x14ac:dyDescent="0.2">
      <c r="A352" s="24" t="s">
        <v>504</v>
      </c>
    </row>
    <row r="355" spans="1:1" x14ac:dyDescent="0.2">
      <c r="A355" s="24" t="s">
        <v>463</v>
      </c>
    </row>
    <row r="361" spans="1:1" x14ac:dyDescent="0.2">
      <c r="A361" s="24" t="s">
        <v>474</v>
      </c>
    </row>
  </sheetData>
  <dataConsolidate/>
  <mergeCells count="56">
    <mergeCell ref="C5:D5"/>
    <mergeCell ref="H26:I26"/>
    <mergeCell ref="C17:D17"/>
    <mergeCell ref="C18:D18"/>
    <mergeCell ref="O21:P21"/>
    <mergeCell ref="M21:N21"/>
    <mergeCell ref="O19:P19"/>
    <mergeCell ref="O22:P22"/>
    <mergeCell ref="C21:D21"/>
    <mergeCell ref="C6:D6"/>
    <mergeCell ref="C14:D14"/>
    <mergeCell ref="C8:D8"/>
    <mergeCell ref="C9:D9"/>
    <mergeCell ref="O20:P20"/>
    <mergeCell ref="M23:N23"/>
    <mergeCell ref="M24:N24"/>
    <mergeCell ref="C2:D3"/>
    <mergeCell ref="C4:D4"/>
    <mergeCell ref="M22:N22"/>
    <mergeCell ref="M19:N19"/>
    <mergeCell ref="M9:N9"/>
    <mergeCell ref="M7:N7"/>
    <mergeCell ref="M8:N8"/>
    <mergeCell ref="C7:D7"/>
    <mergeCell ref="C11:D11"/>
    <mergeCell ref="M5:N5"/>
    <mergeCell ref="M6:N6"/>
    <mergeCell ref="M20:N20"/>
    <mergeCell ref="N14:O14"/>
    <mergeCell ref="N15:O15"/>
    <mergeCell ref="M17:N17"/>
    <mergeCell ref="C15:D15"/>
    <mergeCell ref="C27:D27"/>
    <mergeCell ref="C19:D19"/>
    <mergeCell ref="C20:D20"/>
    <mergeCell ref="O23:P23"/>
    <mergeCell ref="O24:P24"/>
    <mergeCell ref="C23:D23"/>
    <mergeCell ref="C22:D22"/>
    <mergeCell ref="C24:D24"/>
    <mergeCell ref="H33:I34"/>
    <mergeCell ref="M4:P4"/>
    <mergeCell ref="M2:P2"/>
    <mergeCell ref="N13:O13"/>
    <mergeCell ref="N12:O12"/>
    <mergeCell ref="O9:P9"/>
    <mergeCell ref="O8:P8"/>
    <mergeCell ref="O7:P7"/>
    <mergeCell ref="H27:I27"/>
    <mergeCell ref="M18:N18"/>
    <mergeCell ref="L3:M3"/>
    <mergeCell ref="N11:O11"/>
    <mergeCell ref="O6:P6"/>
    <mergeCell ref="O5:P5"/>
    <mergeCell ref="O17:P17"/>
    <mergeCell ref="O18:P18"/>
  </mergeCells>
  <phoneticPr fontId="8" type="noConversion"/>
  <conditionalFormatting sqref="B15:D15 B35:C35">
    <cfRule type="expression" dxfId="53" priority="21" stopIfTrue="1">
      <formula>AND(IF(RIGHT(Nb_diam,1)=",",1),IF(LEFT(Type_masquage,1)="M",1))</formula>
    </cfRule>
  </conditionalFormatting>
  <conditionalFormatting sqref="C12">
    <cfRule type="cellIs" dxfId="52" priority="25" stopIfTrue="1" operator="equal">
      <formula>359</formula>
    </cfRule>
    <cfRule type="expression" dxfId="51" priority="28" stopIfTrue="1">
      <formula>OR(MasseSans&lt;MpropuVide, MasseSans&gt;20*MpropuPlein)</formula>
    </cfRule>
  </conditionalFormatting>
  <conditionalFormatting sqref="C13">
    <cfRule type="cellIs" dxfId="50" priority="24" stopIfTrue="1" operator="equal">
      <formula>639</formula>
    </cfRule>
  </conditionalFormatting>
  <conditionalFormatting sqref="C15 C35 C24:D24">
    <cfRule type="cellIs" dxfId="49" priority="37" stopIfTrue="1" operator="equal">
      <formula>59</formula>
    </cfRule>
  </conditionalFormatting>
  <conditionalFormatting sqref="C18">
    <cfRule type="expression" dxfId="48" priority="151" stopIfTrue="1">
      <formula>C204</formula>
    </cfRule>
  </conditionalFormatting>
  <conditionalFormatting sqref="C28 C30">
    <cfRule type="cellIs" dxfId="47" priority="18" stopIfTrue="1" operator="equal">
      <formula>109</formula>
    </cfRule>
  </conditionalFormatting>
  <conditionalFormatting sqref="C29">
    <cfRule type="cellIs" dxfId="46" priority="19" stopIfTrue="1" operator="equal">
      <formula>59</formula>
    </cfRule>
  </conditionalFormatting>
  <conditionalFormatting sqref="C31">
    <cfRule type="cellIs" dxfId="45" priority="20" stopIfTrue="1" operator="equal">
      <formula>99</formula>
    </cfRule>
  </conditionalFormatting>
  <conditionalFormatting sqref="C14:D14 C19 C34">
    <cfRule type="cellIs" dxfId="44" priority="23" stopIfTrue="1" operator="equal">
      <formula>1001</formula>
    </cfRule>
  </conditionalFormatting>
  <conditionalFormatting sqref="C23:D23">
    <cfRule type="cellIs" dxfId="43" priority="22" stopIfTrue="1" operator="equal">
      <formula>199</formula>
    </cfRule>
  </conditionalFormatting>
  <conditionalFormatting sqref="D10">
    <cfRule type="expression" dxfId="42" priority="1">
      <formula>NOT(OR((LEFT(Type_fusee,4)="Mini"),(RIGHT(Type_fusee,1)=".")))</formula>
    </cfRule>
  </conditionalFormatting>
  <conditionalFormatting sqref="D18">
    <cfRule type="expression" dxfId="41" priority="11" stopIfTrue="1">
      <formula>D202</formula>
    </cfRule>
  </conditionalFormatting>
  <conditionalFormatting sqref="H28">
    <cfRule type="expression" dxfId="40" priority="47" stopIfTrue="1">
      <formula>OR(Cn&lt;CritCnmin,Cn&gt;CritCnmax)</formula>
    </cfRule>
  </conditionalFormatting>
  <conditionalFormatting sqref="H29">
    <cfRule type="expression" dxfId="39" priority="46" stopIfTrue="1">
      <formula>OR(MS_min&lt;CritMsmin,MS_min&gt;CritMsmax)</formula>
    </cfRule>
  </conditionalFormatting>
  <conditionalFormatting sqref="H30">
    <cfRule type="expression" dxfId="38" priority="44" stopIfTrue="1">
      <formula>OR(MS_Cn_min&lt;CritMsCnmin,MS_Cn_min&gt;CritMsCnmax)</formula>
    </cfRule>
  </conditionalFormatting>
  <conditionalFormatting sqref="H27:I27">
    <cfRule type="expression" dxfId="37" priority="48" stopIfTrue="1">
      <formula>OR(Finesse&lt;CritFinessemin,Finesse&gt;CritFinessemax)</formula>
    </cfRule>
  </conditionalFormatting>
  <conditionalFormatting sqref="H33:I34">
    <cfRule type="expression" dxfId="36" priority="51" stopIfTrue="1">
      <formula>$H$33="STABLE"</formula>
    </cfRule>
  </conditionalFormatting>
  <conditionalFormatting sqref="I28">
    <cfRule type="expression" dxfId="35" priority="6" stopIfTrue="1">
      <formula>OR(Cn0&lt;CritCnmin,Cn0&gt;CritCnmax)</formula>
    </cfRule>
  </conditionalFormatting>
  <conditionalFormatting sqref="I29">
    <cfRule type="expression" dxfId="34" priority="45" stopIfTrue="1">
      <formula>OR(MS_max&lt;CritMsmin,MS_max&gt;CritMsmax)</formula>
    </cfRule>
  </conditionalFormatting>
  <conditionalFormatting sqref="I30">
    <cfRule type="expression" dxfId="33" priority="43" stopIfTrue="1">
      <formula>OR(MS_Cn_max&lt;CritMsCnmin,MS_Cn_max&gt;CritMsCnmax)</formula>
    </cfRule>
  </conditionalFormatting>
  <conditionalFormatting sqref="L39:M39">
    <cfRule type="expression" dxfId="32" priority="239" stopIfTrue="1">
      <formula>OR(SUM($C$28:$C$33)=273, $H$33&lt;&gt;"STABLE")</formula>
    </cfRule>
  </conditionalFormatting>
  <conditionalFormatting sqref="L6:P9">
    <cfRule type="expression" dxfId="31" priority="49" stopIfTrue="1">
      <formula>IF(RIGHT(Nb_diam,1)=",",1)</formula>
    </cfRule>
  </conditionalFormatting>
  <conditionalFormatting sqref="L20:P22 E25 D26 E27:E35 D28:D35 B36:E36">
    <cfRule type="expression" dxfId="30" priority="84" stopIfTrue="1">
      <formula>IF(LEFT(Type_masquage,1)="M",1)</formula>
    </cfRule>
  </conditionalFormatting>
  <conditionalFormatting sqref="L23:P24">
    <cfRule type="expression" dxfId="29" priority="65" stopIfTrue="1">
      <formula>IF(RIGHT(Nb_diam,1)=",",1)</formula>
    </cfRule>
  </conditionalFormatting>
  <conditionalFormatting sqref="M37 O37">
    <cfRule type="expression" dxfId="28" priority="142" stopIfTrue="1">
      <formula>$M$37="propu NOK"</formula>
    </cfRule>
  </conditionalFormatting>
  <conditionalFormatting sqref="M5:P5">
    <cfRule type="expression" dxfId="27" priority="39" stopIfTrue="1">
      <formula>IF(RIGHT(Nb_diam,1)=",",1)</formula>
    </cfRule>
  </conditionalFormatting>
  <conditionalFormatting sqref="N37">
    <cfRule type="expression" dxfId="26" priority="27" stopIfTrue="1">
      <formula>(ROUND(SUM(C2:D35),0)=5694)</formula>
    </cfRule>
  </conditionalFormatting>
  <dataValidations count="13">
    <dataValidation type="whole" allowBlank="1" showInputMessage="1" showErrorMessage="1" error="Tapez un entier entre 3 et 6." sqref="C33:D33" xr:uid="{00000000-0002-0000-0000-000000000000}">
      <formula1>3</formula1>
      <formula2>6</formula2>
    </dataValidation>
    <dataValidation type="decimal" operator="notEqual" allowBlank="1" showInputMessage="1" showErrorMessage="1" error="Tapez uniquement la longueur, sans l'unité." sqref="C30:D30" xr:uid="{00000000-0002-0000-0000-000001000000}">
      <formula1>1E+100</formula1>
    </dataValidation>
    <dataValidation type="decimal" operator="greaterThanOrEqual" allowBlank="1" showInputMessage="1" showErrorMessage="1" error="Tapez uniquement la longueur, sans l'unité." sqref="C28:D29 C34:D35 C31:D32 M6:O9" xr:uid="{00000000-0002-0000-0000-000002000000}">
      <formula1>0</formula1>
    </dataValidation>
    <dataValidation type="list" showInputMessage="1" showErrorMessage="1" sqref="C27:D27" xr:uid="{00000000-0002-0000-0000-000003000000}">
      <formula1>Menu_Empennage</formula1>
    </dataValidation>
    <dataValidation type="list" showInputMessage="1" showErrorMessage="1" sqref="C18:D18" xr:uid="{00000000-0002-0000-0000-000004000000}">
      <formula1>Liste_propu</formula1>
    </dataValidation>
    <dataValidation type="list" showInputMessage="1" showErrorMessage="1" sqref="M2" xr:uid="{00000000-0002-0000-0000-000005000000}">
      <formula1>Menu_Lang</formula1>
    </dataValidation>
    <dataValidation type="decimal" showInputMessage="1" showErrorMessage="1" errorTitle="Masse de la Fusée" error="Tapez uniquement la masse, sans l'unité." sqref="C12" xr:uid="{591482E7-AFD6-4D58-BCBA-4575CE89FB4B}">
      <formula1>0</formula1>
      <formula2>50000</formula2>
    </dataValidation>
    <dataValidation type="decimal" operator="greaterThan" showInputMessage="1" showErrorMessage="1" error="Tapez uniquement la longueur, sans l'unité." sqref="C13 C14:D14 C23:D24" xr:uid="{00000000-0002-0000-0000-000007000000}">
      <formula1>0</formula1>
    </dataValidation>
    <dataValidation type="list" showInputMessage="1" showErrorMessage="1" sqref="D12:D13" xr:uid="{00000000-0002-0000-0000-000008000000}">
      <formula1>Menu_with_motor</formula1>
    </dataValidation>
    <dataValidation type="list" showInputMessage="1" showErrorMessage="1" sqref="C11:D11" xr:uid="{00000000-0002-0000-0000-000009000000}">
      <formula1>Menu_Type</formula1>
    </dataValidation>
    <dataValidation type="decimal" operator="greaterThan" allowBlank="1" showInputMessage="1" showErrorMessage="1" error="Tapez uniquement la longueur, sans l'unité." sqref="C19" xr:uid="{00000000-0002-0000-0000-00000A000000}">
      <formula1>0</formula1>
    </dataValidation>
    <dataValidation type="list" showInputMessage="1" showErrorMessage="1" sqref="C22:D22" xr:uid="{00000000-0002-0000-0000-00000B000000}">
      <formula1>Menu_Ogive</formula1>
    </dataValidation>
    <dataValidation type="list" showInputMessage="1" showErrorMessage="1" sqref="M4" xr:uid="{00000000-0002-0000-0000-00000C000000}">
      <formula1>Menu_Transitions</formula1>
    </dataValidation>
  </dataValidations>
  <hyperlinks>
    <hyperlink ref="M39" location="Trajecto!C25" display="Trajecto" xr:uid="{00000000-0004-0000-0000-000000000000}"/>
  </hyperlinks>
  <printOptions horizontalCentered="1" verticalCentered="1"/>
  <pageMargins left="7.874015748031496E-2" right="7.874015748031496E-2" top="7.874015748031496E-2" bottom="7.874015748031496E-2" header="0" footer="0"/>
  <pageSetup paperSize="9" orientation="landscape" horizontalDpi="200" verticalDpi="200" r:id="rId1"/>
  <headerFooter alignWithMargins="0"/>
  <ignoredErrors>
    <ignoredError sqref="D35" unlockedFormula="1"/>
    <ignoredError sqref="E180" formula="1"/>
  </ignoredErrors>
  <drawing r:id="rId2"/>
  <legacyDrawing r:id="rId3"/>
  <mc:AlternateContent xmlns:mc="http://schemas.openxmlformats.org/markup-compatibility/2006">
    <mc:Choice Requires="x14">
      <controls>
        <mc:AlternateContent xmlns:mc="http://schemas.openxmlformats.org/markup-compatibility/2006">
          <mc:Choice Requires="x14">
            <control shapeId="36775" r:id="rId4" name="Spinner 935">
              <controlPr defaultSize="0" print="0" autoPict="0">
                <anchor moveWithCells="1" sizeWithCells="1">
                  <from>
                    <xdr:col>3</xdr:col>
                    <xdr:colOff>752475</xdr:colOff>
                    <xdr:row>22</xdr:row>
                    <xdr:rowOff>0</xdr:rowOff>
                  </from>
                  <to>
                    <xdr:col>3</xdr:col>
                    <xdr:colOff>895350</xdr:colOff>
                    <xdr:row>23</xdr:row>
                    <xdr:rowOff>0</xdr:rowOff>
                  </to>
                </anchor>
              </controlPr>
            </control>
          </mc:Choice>
        </mc:AlternateContent>
        <mc:AlternateContent xmlns:mc="http://schemas.openxmlformats.org/markup-compatibility/2006">
          <mc:Choice Requires="x14">
            <control shapeId="36781" r:id="rId5" name="Spinner 941">
              <controlPr defaultSize="0" print="0" autoPict="0">
                <anchor moveWithCells="1" sizeWithCells="1">
                  <from>
                    <xdr:col>2</xdr:col>
                    <xdr:colOff>752475</xdr:colOff>
                    <xdr:row>11</xdr:row>
                    <xdr:rowOff>0</xdr:rowOff>
                  </from>
                  <to>
                    <xdr:col>2</xdr:col>
                    <xdr:colOff>895350</xdr:colOff>
                    <xdr:row>12</xdr:row>
                    <xdr:rowOff>0</xdr:rowOff>
                  </to>
                </anchor>
              </controlPr>
            </control>
          </mc:Choice>
        </mc:AlternateContent>
        <mc:AlternateContent xmlns:mc="http://schemas.openxmlformats.org/markup-compatibility/2006">
          <mc:Choice Requires="x14">
            <control shapeId="36782" r:id="rId6" name="Spinner 942">
              <controlPr defaultSize="0" print="0" autoPict="0">
                <anchor moveWithCells="1" sizeWithCells="1">
                  <from>
                    <xdr:col>2</xdr:col>
                    <xdr:colOff>752475</xdr:colOff>
                    <xdr:row>12</xdr:row>
                    <xdr:rowOff>0</xdr:rowOff>
                  </from>
                  <to>
                    <xdr:col>2</xdr:col>
                    <xdr:colOff>895350</xdr:colOff>
                    <xdr:row>13</xdr:row>
                    <xdr:rowOff>0</xdr:rowOff>
                  </to>
                </anchor>
              </controlPr>
            </control>
          </mc:Choice>
        </mc:AlternateContent>
        <mc:AlternateContent xmlns:mc="http://schemas.openxmlformats.org/markup-compatibility/2006">
          <mc:Choice Requires="x14">
            <control shapeId="36783" r:id="rId7" name="Spinner 943">
              <controlPr defaultSize="0" print="0" autoPict="0">
                <anchor moveWithCells="1" sizeWithCells="1">
                  <from>
                    <xdr:col>3</xdr:col>
                    <xdr:colOff>752475</xdr:colOff>
                    <xdr:row>22</xdr:row>
                    <xdr:rowOff>161925</xdr:rowOff>
                  </from>
                  <to>
                    <xdr:col>3</xdr:col>
                    <xdr:colOff>895350</xdr:colOff>
                    <xdr:row>24</xdr:row>
                    <xdr:rowOff>0</xdr:rowOff>
                  </to>
                </anchor>
              </controlPr>
            </control>
          </mc:Choice>
        </mc:AlternateContent>
        <mc:AlternateContent xmlns:mc="http://schemas.openxmlformats.org/markup-compatibility/2006">
          <mc:Choice Requires="x14">
            <control shapeId="36789" r:id="rId8" name="Spinner 949">
              <controlPr defaultSize="0" print="0" autoPict="0">
                <anchor moveWithCells="1" sizeWithCells="1">
                  <from>
                    <xdr:col>2</xdr:col>
                    <xdr:colOff>752475</xdr:colOff>
                    <xdr:row>27</xdr:row>
                    <xdr:rowOff>0</xdr:rowOff>
                  </from>
                  <to>
                    <xdr:col>3</xdr:col>
                    <xdr:colOff>0</xdr:colOff>
                    <xdr:row>28</xdr:row>
                    <xdr:rowOff>9525</xdr:rowOff>
                  </to>
                </anchor>
              </controlPr>
            </control>
          </mc:Choice>
        </mc:AlternateContent>
        <mc:AlternateContent xmlns:mc="http://schemas.openxmlformats.org/markup-compatibility/2006">
          <mc:Choice Requires="x14">
            <control shapeId="36795" r:id="rId9" name="Spinner 955">
              <controlPr defaultSize="0" print="0" autoPict="0">
                <anchor moveWithCells="1" sizeWithCells="1">
                  <from>
                    <xdr:col>2</xdr:col>
                    <xdr:colOff>752475</xdr:colOff>
                    <xdr:row>28</xdr:row>
                    <xdr:rowOff>0</xdr:rowOff>
                  </from>
                  <to>
                    <xdr:col>3</xdr:col>
                    <xdr:colOff>0</xdr:colOff>
                    <xdr:row>29</xdr:row>
                    <xdr:rowOff>9525</xdr:rowOff>
                  </to>
                </anchor>
              </controlPr>
            </control>
          </mc:Choice>
        </mc:AlternateContent>
        <mc:AlternateContent xmlns:mc="http://schemas.openxmlformats.org/markup-compatibility/2006">
          <mc:Choice Requires="x14">
            <control shapeId="36796" r:id="rId10" name="Spinner 956">
              <controlPr defaultSize="0" print="0" autoPict="0">
                <anchor moveWithCells="1" sizeWithCells="1">
                  <from>
                    <xdr:col>2</xdr:col>
                    <xdr:colOff>752475</xdr:colOff>
                    <xdr:row>28</xdr:row>
                    <xdr:rowOff>161925</xdr:rowOff>
                  </from>
                  <to>
                    <xdr:col>3</xdr:col>
                    <xdr:colOff>0</xdr:colOff>
                    <xdr:row>30</xdr:row>
                    <xdr:rowOff>0</xdr:rowOff>
                  </to>
                </anchor>
              </controlPr>
            </control>
          </mc:Choice>
        </mc:AlternateContent>
        <mc:AlternateContent xmlns:mc="http://schemas.openxmlformats.org/markup-compatibility/2006">
          <mc:Choice Requires="x14">
            <control shapeId="36797" r:id="rId11" name="Spinner 957">
              <controlPr defaultSize="0" print="0" autoPict="0">
                <anchor moveWithCells="1" sizeWithCells="1">
                  <from>
                    <xdr:col>2</xdr:col>
                    <xdr:colOff>752475</xdr:colOff>
                    <xdr:row>30</xdr:row>
                    <xdr:rowOff>0</xdr:rowOff>
                  </from>
                  <to>
                    <xdr:col>3</xdr:col>
                    <xdr:colOff>0</xdr:colOff>
                    <xdr:row>30</xdr:row>
                    <xdr:rowOff>161925</xdr:rowOff>
                  </to>
                </anchor>
              </controlPr>
            </control>
          </mc:Choice>
        </mc:AlternateContent>
        <mc:AlternateContent xmlns:mc="http://schemas.openxmlformats.org/markup-compatibility/2006">
          <mc:Choice Requires="x14">
            <control shapeId="36798" r:id="rId12" name="Spinner 958">
              <controlPr defaultSize="0" print="0" autoPict="0">
                <anchor moveWithCells="1" sizeWithCells="1">
                  <from>
                    <xdr:col>2</xdr:col>
                    <xdr:colOff>752475</xdr:colOff>
                    <xdr:row>31</xdr:row>
                    <xdr:rowOff>0</xdr:rowOff>
                  </from>
                  <to>
                    <xdr:col>2</xdr:col>
                    <xdr:colOff>895350</xdr:colOff>
                    <xdr:row>32</xdr:row>
                    <xdr:rowOff>0</xdr:rowOff>
                  </to>
                </anchor>
              </controlPr>
            </control>
          </mc:Choice>
        </mc:AlternateContent>
        <mc:AlternateContent xmlns:mc="http://schemas.openxmlformats.org/markup-compatibility/2006">
          <mc:Choice Requires="x14">
            <control shapeId="36799" r:id="rId13" name="Spinner 959">
              <controlPr defaultSize="0" print="0" autoPict="0">
                <anchor moveWithCells="1" sizeWithCells="1">
                  <from>
                    <xdr:col>2</xdr:col>
                    <xdr:colOff>752475</xdr:colOff>
                    <xdr:row>32</xdr:row>
                    <xdr:rowOff>0</xdr:rowOff>
                  </from>
                  <to>
                    <xdr:col>3</xdr:col>
                    <xdr:colOff>0</xdr:colOff>
                    <xdr:row>33</xdr:row>
                    <xdr:rowOff>0</xdr:rowOff>
                  </to>
                </anchor>
              </controlPr>
            </control>
          </mc:Choice>
        </mc:AlternateContent>
        <mc:AlternateContent xmlns:mc="http://schemas.openxmlformats.org/markup-compatibility/2006">
          <mc:Choice Requires="x14">
            <control shapeId="36801" r:id="rId14" name="Spinner 961">
              <controlPr defaultSize="0" print="0" autoPict="0">
                <anchor moveWithCells="1" sizeWithCells="1">
                  <from>
                    <xdr:col>3</xdr:col>
                    <xdr:colOff>752475</xdr:colOff>
                    <xdr:row>12</xdr:row>
                    <xdr:rowOff>161925</xdr:rowOff>
                  </from>
                  <to>
                    <xdr:col>4</xdr:col>
                    <xdr:colOff>0</xdr:colOff>
                    <xdr:row>13</xdr:row>
                    <xdr:rowOff>161925</xdr:rowOff>
                  </to>
                </anchor>
              </controlPr>
            </control>
          </mc:Choice>
        </mc:AlternateContent>
        <mc:AlternateContent xmlns:mc="http://schemas.openxmlformats.org/markup-compatibility/2006">
          <mc:Choice Requires="x14">
            <control shapeId="5096691" r:id="rId15" name="Spinner 3315">
              <controlPr defaultSize="0" print="0" autoPict="0">
                <anchor moveWithCells="1" sizeWithCells="1">
                  <from>
                    <xdr:col>19</xdr:col>
                    <xdr:colOff>0</xdr:colOff>
                    <xdr:row>35</xdr:row>
                    <xdr:rowOff>9525</xdr:rowOff>
                  </from>
                  <to>
                    <xdr:col>19</xdr:col>
                    <xdr:colOff>0</xdr:colOff>
                    <xdr:row>36</xdr:row>
                    <xdr:rowOff>0</xdr:rowOff>
                  </to>
                </anchor>
              </controlPr>
            </control>
          </mc:Choice>
        </mc:AlternateContent>
        <mc:AlternateContent xmlns:mc="http://schemas.openxmlformats.org/markup-compatibility/2006">
          <mc:Choice Requires="x14">
            <control shapeId="5096692" r:id="rId16" name="Spinner 3316">
              <controlPr defaultSize="0" print="0" autoPict="0">
                <anchor moveWithCells="1" sizeWithCells="1">
                  <from>
                    <xdr:col>19</xdr:col>
                    <xdr:colOff>0</xdr:colOff>
                    <xdr:row>35</xdr:row>
                    <xdr:rowOff>9525</xdr:rowOff>
                  </from>
                  <to>
                    <xdr:col>19</xdr:col>
                    <xdr:colOff>0</xdr:colOff>
                    <xdr:row>36</xdr:row>
                    <xdr:rowOff>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Feuil1">
    <pageSetUpPr fitToPage="1"/>
  </sheetPr>
  <dimension ref="A1:R201"/>
  <sheetViews>
    <sheetView showGridLines="0" tabSelected="1" topLeftCell="A7" zoomScaleNormal="100" workbookViewId="0">
      <selection activeCell="T22" sqref="T22"/>
    </sheetView>
  </sheetViews>
  <sheetFormatPr baseColWidth="10" defaultColWidth="11.42578125" defaultRowHeight="12.75" x14ac:dyDescent="0.2"/>
  <cols>
    <col min="1" max="1" width="2.140625" style="1" customWidth="1"/>
    <col min="2" max="2" width="16.140625" style="1" customWidth="1"/>
    <col min="3" max="4" width="12.85546875" style="1" customWidth="1"/>
    <col min="5" max="5" width="2.85546875" style="1" customWidth="1"/>
    <col min="6" max="7" width="12.85546875" style="1" customWidth="1"/>
    <col min="8" max="13" width="10.85546875" style="1" customWidth="1"/>
    <col min="14" max="15" width="2.140625" style="1" customWidth="1"/>
    <col min="16" max="17" width="14.140625" style="1" customWidth="1"/>
    <col min="18" max="16384" width="11.42578125" style="1"/>
  </cols>
  <sheetData>
    <row r="1" spans="1:14" x14ac:dyDescent="0.2">
      <c r="A1" s="51"/>
      <c r="B1" s="52"/>
      <c r="C1" s="53"/>
      <c r="D1" s="52"/>
      <c r="E1" s="54"/>
      <c r="F1" s="54"/>
      <c r="G1" s="54"/>
      <c r="H1" s="54"/>
      <c r="I1" s="54"/>
      <c r="J1" s="54"/>
      <c r="K1" s="54"/>
      <c r="L1" s="54"/>
      <c r="M1" s="54"/>
      <c r="N1" s="55"/>
    </row>
    <row r="2" spans="1:14" ht="12.75" customHeight="1" x14ac:dyDescent="0.2">
      <c r="A2" s="56"/>
      <c r="B2" s="2"/>
      <c r="C2" s="542" t="s">
        <v>0</v>
      </c>
      <c r="D2" s="542"/>
      <c r="F2" s="3"/>
      <c r="J2" s="4"/>
      <c r="N2" s="57"/>
    </row>
    <row r="3" spans="1:14" ht="12.75" customHeight="1" x14ac:dyDescent="0.2">
      <c r="A3" s="56"/>
      <c r="B3" s="2"/>
      <c r="C3" s="542"/>
      <c r="D3" s="542"/>
      <c r="H3" s="5"/>
      <c r="J3" s="4"/>
      <c r="N3" s="57"/>
    </row>
    <row r="4" spans="1:14" ht="12.75" customHeight="1" x14ac:dyDescent="0.2">
      <c r="A4" s="56"/>
      <c r="B4" s="2"/>
      <c r="C4" s="547" t="str">
        <f>IF(Lang="Français","Trajectographie de fusée",IF(Lang="English","Rocket Trajectography",""))</f>
        <v>Trajectographie de fusée</v>
      </c>
      <c r="D4" s="547"/>
      <c r="H4" s="5"/>
      <c r="J4" s="4"/>
      <c r="N4" s="57"/>
    </row>
    <row r="5" spans="1:14" ht="12.75" customHeight="1" x14ac:dyDescent="0.2">
      <c r="A5" s="56"/>
      <c r="B5" s="2"/>
      <c r="C5" s="541"/>
      <c r="D5" s="541"/>
      <c r="J5" s="4"/>
      <c r="N5" s="57"/>
    </row>
    <row r="6" spans="1:14" ht="12.95" customHeight="1" x14ac:dyDescent="0.2">
      <c r="A6" s="56"/>
      <c r="B6" s="87"/>
      <c r="C6" s="546" t="str">
        <f>IF(Lang="Français","Remplir les cases jaunes",IF(Lang="English","Fill-in yellow cells only",""))</f>
        <v>Remplir les cases jaunes</v>
      </c>
      <c r="D6" s="546"/>
      <c r="J6" s="4"/>
      <c r="N6" s="57"/>
    </row>
    <row r="7" spans="1:14" x14ac:dyDescent="0.2">
      <c r="A7" s="56"/>
      <c r="B7" s="6"/>
      <c r="C7" s="543" t="str">
        <f>IF(Lang="Français","Fusée",IF(Lang="English","Rocket",""))</f>
        <v>Fusée</v>
      </c>
      <c r="D7" s="543"/>
      <c r="N7" s="58"/>
    </row>
    <row r="8" spans="1:14" ht="12.75" customHeight="1" x14ac:dyDescent="0.25">
      <c r="A8" s="56"/>
      <c r="B8" s="140" t="str">
        <f>IF(Lang="Français","Nom",IF(Lang="English","Name",""))</f>
        <v>Nom</v>
      </c>
      <c r="C8" s="544" t="str">
        <f>Nom</f>
        <v>SP02</v>
      </c>
      <c r="D8" s="544"/>
      <c r="E8" s="5"/>
      <c r="F8" s="5"/>
      <c r="J8" s="4"/>
      <c r="N8" s="57"/>
    </row>
    <row r="9" spans="1:14" ht="12.75" customHeight="1" x14ac:dyDescent="0.25">
      <c r="A9" s="59"/>
      <c r="B9" s="140" t="s">
        <v>4</v>
      </c>
      <c r="C9" s="545" t="str">
        <f>Club</f>
        <v>L'AéroIPSA</v>
      </c>
      <c r="D9" s="545"/>
      <c r="F9" s="5"/>
      <c r="N9" s="58"/>
    </row>
    <row r="10" spans="1:14" ht="12.75" customHeight="1" x14ac:dyDescent="0.25">
      <c r="A10" s="59"/>
      <c r="B10" s="141" t="s">
        <v>562</v>
      </c>
      <c r="C10" s="540" t="str">
        <f>Matricule</f>
        <v>FX0</v>
      </c>
      <c r="D10" s="540"/>
      <c r="F10" s="5"/>
      <c r="N10" s="58"/>
    </row>
    <row r="11" spans="1:14" ht="12.75" customHeight="1" x14ac:dyDescent="0.2">
      <c r="A11" s="59"/>
      <c r="B11" s="140" t="str">
        <f>IF(Lang="Français","Masse totale",IF(Lang="English","Total Mass",""))</f>
        <v>Masse totale</v>
      </c>
      <c r="C11" s="569">
        <f ca="1">MassePlein</f>
        <v>4.3411</v>
      </c>
      <c r="D11" s="569"/>
      <c r="F11" s="5"/>
      <c r="N11" s="58"/>
    </row>
    <row r="12" spans="1:14" ht="12.75" customHeight="1" x14ac:dyDescent="0.2">
      <c r="A12" s="59"/>
      <c r="B12" s="227" t="str">
        <f>IF(Lang="Français","Propulseur",IF(Lang="English","Motor",""))</f>
        <v>Propulseur</v>
      </c>
      <c r="C12" s="572" t="str">
        <f>Propu</f>
        <v>Aucun (2e ét. inerte)</v>
      </c>
      <c r="D12" s="573"/>
      <c r="F12" s="5"/>
      <c r="N12" s="58"/>
    </row>
    <row r="13" spans="1:14" ht="12.75" customHeight="1" x14ac:dyDescent="0.2">
      <c r="A13" s="59"/>
      <c r="N13" s="58"/>
    </row>
    <row r="14" spans="1:14" ht="12.75" customHeight="1" x14ac:dyDescent="0.2">
      <c r="A14" s="59"/>
      <c r="B14"/>
      <c r="C14" s="543" t="str">
        <f>IF(Lang="Français","Traînée Aérdynamique",IF(Lang="English","Drag",""))</f>
        <v>Traînée Aérdynamique</v>
      </c>
      <c r="D14" s="543"/>
      <c r="N14" s="58"/>
    </row>
    <row r="15" spans="1:14" ht="12.75" customHeight="1" x14ac:dyDescent="0.2">
      <c r="A15" s="59"/>
      <c r="B15" s="140" t="s">
        <v>40</v>
      </c>
      <c r="C15" s="574">
        <f>(PI()*D_ref^2/4+E_ail*ep_ail*Q_ail)/10^6</f>
        <v>1.0814866535306802E-2</v>
      </c>
      <c r="D15" s="574"/>
      <c r="N15" s="58"/>
    </row>
    <row r="16" spans="1:14" ht="12.75" customHeight="1" x14ac:dyDescent="0.2">
      <c r="A16" s="59"/>
      <c r="B16" s="141" t="s">
        <v>5</v>
      </c>
      <c r="C16" s="567">
        <v>0.6</v>
      </c>
      <c r="D16" s="568"/>
      <c r="N16" s="58"/>
    </row>
    <row r="17" spans="1:18" ht="12.75" customHeight="1" x14ac:dyDescent="0.2">
      <c r="A17" s="59"/>
      <c r="N17" s="58"/>
    </row>
    <row r="18" spans="1:18" ht="12.75" customHeight="1" x14ac:dyDescent="0.2">
      <c r="A18" s="59"/>
      <c r="B18"/>
      <c r="C18" s="543" t="str">
        <f>IF(Lang="Français","Rampe de Lancement",IF(Lang="English","Launch Pad",""))</f>
        <v>Rampe de Lancement</v>
      </c>
      <c r="D18" s="543"/>
      <c r="N18" s="58"/>
    </row>
    <row r="19" spans="1:18" ht="12.75" customHeight="1" x14ac:dyDescent="0.2">
      <c r="A19" s="59"/>
      <c r="B19" s="140" t="str">
        <f>IF(Lang="Français","Longueur",IF(Lang="English","Length",""))</f>
        <v>Longueur</v>
      </c>
      <c r="C19" s="571">
        <f>IF(RIGHT(Type_fusee,1)=".",4, IF(LEFT(Type_fusee,4)="Mini",2.5, IF(LEFT(Type_fusee,5)="Micro",1, IF(RIGHT(Type_fusee,1)=" ",0.1,IF(LEFT(Type_fusee,1)="R",3, 2.5)))))</f>
        <v>4</v>
      </c>
      <c r="D19" s="571"/>
      <c r="N19" s="58"/>
    </row>
    <row r="20" spans="1:18" ht="12.75" customHeight="1" x14ac:dyDescent="0.2">
      <c r="A20" s="59"/>
      <c r="B20" s="140" t="str">
        <f>IF(Lang="Français","Élévation",IF(Lang="English","Angle /horizon",""))</f>
        <v>Élévation</v>
      </c>
      <c r="C20" s="570">
        <v>75.473742154207713</v>
      </c>
      <c r="D20" s="570"/>
      <c r="N20" s="58"/>
    </row>
    <row r="21" spans="1:18" ht="12.75" customHeight="1" x14ac:dyDescent="0.2">
      <c r="A21" s="59"/>
      <c r="B21" s="140" t="s">
        <v>6</v>
      </c>
      <c r="C21" s="571">
        <v>0</v>
      </c>
      <c r="D21" s="571"/>
      <c r="N21" s="58"/>
    </row>
    <row r="22" spans="1:18" x14ac:dyDescent="0.2">
      <c r="A22" s="59"/>
      <c r="F22" s="384" t="e">
        <f ca="1">IF( OR( AND(Vsortie_de_rampe&lt;18, RIGHT(Type_fusee,1)=";"), AND(Vsortie_de_rampe&lt;20, RIGHT(Type_fusee,1)=".")), IF(Lang="Français","Vitesse en Sortie de Rampe trop faible, alléger la fusée ou choisir un propu plus puissant.","Speed at Launch Pad Exit too low, lighten the rocket or choose a bigger motor."), "")</f>
        <v>#N/A</v>
      </c>
      <c r="N22" s="58"/>
    </row>
    <row r="23" spans="1:18" x14ac:dyDescent="0.2">
      <c r="A23" s="59"/>
      <c r="C23" s="557" t="str">
        <f>IF(Lang="Français","DescenteSousParachute",IF(Lang="English","Over Parachute",""))</f>
        <v>DescenteSousParachute</v>
      </c>
      <c r="D23" s="558"/>
      <c r="F23" s="4"/>
      <c r="G23" s="50">
        <f ca="1">TODAY()</f>
        <v>46139</v>
      </c>
      <c r="H23" s="489" t="str">
        <f>IF(Lang="Français","Temps",IF(Lang="English","Time",""))</f>
        <v>Temps</v>
      </c>
      <c r="I23" s="489" t="s">
        <v>12</v>
      </c>
      <c r="J23" s="489" t="str">
        <f>IF(Lang="Français","Portée x",IF(Lang="English","Range x",""))</f>
        <v>Portée x</v>
      </c>
      <c r="K23" s="489" t="str">
        <f>IF(Lang="Français","Vitesse",IF(Lang="English","Velocity",""))</f>
        <v>Vitesse</v>
      </c>
      <c r="L23" s="490" t="s">
        <v>13</v>
      </c>
      <c r="M23" s="499" t="s">
        <v>421</v>
      </c>
      <c r="N23" s="58"/>
    </row>
    <row r="24" spans="1:18" x14ac:dyDescent="0.2">
      <c r="A24" s="59"/>
      <c r="B24"/>
      <c r="C24" s="142" t="str">
        <f>C7</f>
        <v>Fusée</v>
      </c>
      <c r="D24" s="220" t="s">
        <v>120</v>
      </c>
      <c r="E24" s="18" t="str">
        <f>IF(ABS(T_satellite-0.11-T_para)&lt;0.1,"Pb!","")</f>
        <v/>
      </c>
      <c r="F24" s="559" t="str">
        <f>IF(Lang="Français","Sortie de Rampe",IF(Lang="English","Launch-Pad Exit",""))</f>
        <v>Sortie de Rampe</v>
      </c>
      <c r="G24" s="560"/>
      <c r="H24" s="491"/>
      <c r="I24" s="491"/>
      <c r="J24" s="491"/>
      <c r="K24" s="492" t="e">
        <f ca="1">INDEX(vit_xz,MATCH("Sortie de rampe",Event,0))</f>
        <v>#N/A</v>
      </c>
      <c r="L24" s="493"/>
      <c r="M24" s="500"/>
      <c r="N24" s="58"/>
    </row>
    <row r="25" spans="1:18" x14ac:dyDescent="0.2">
      <c r="A25" s="59"/>
      <c r="B25" s="466" t="str">
        <f>IF(Lang="Français","Masse",IF(Lang="English","Mass",""))</f>
        <v>Masse</v>
      </c>
      <c r="C25" s="467">
        <f ca="1">IF(Nb_sat="0 satellite",MasseVide,MasseVide-m_satellite)</f>
        <v>4.3410000000000002</v>
      </c>
      <c r="D25" s="480">
        <f>IF(RIGHT(Type_fusee,1)=".",1,0.15)</f>
        <v>1</v>
      </c>
      <c r="F25" s="563" t="str">
        <f>IF(Lang="Français","Vit max &amp; Acc max",IF(Lang="English","Max Velocity &amp; Acc",""))</f>
        <v>Vit max &amp; Acc max</v>
      </c>
      <c r="G25" s="564"/>
      <c r="H25" s="115"/>
      <c r="I25" s="115"/>
      <c r="J25" s="115"/>
      <c r="K25" s="158">
        <f ca="1">MAX(vit_xz)</f>
        <v>154.77051376708334</v>
      </c>
      <c r="L25" s="494">
        <f ca="1">MAX(acc_xz)</f>
        <v>30.311316779788786</v>
      </c>
      <c r="M25" s="500"/>
      <c r="N25" s="58"/>
    </row>
    <row r="26" spans="1:18" x14ac:dyDescent="0.2">
      <c r="A26" s="59"/>
      <c r="B26" s="469" t="str">
        <f>IF(Lang="Français","Dépotage",IF(Lang="English","Delay",""))</f>
        <v>Dépotage</v>
      </c>
      <c r="C26" s="505" t="s">
        <v>407</v>
      </c>
      <c r="D26" s="535"/>
      <c r="F26" s="565" t="str">
        <f>IF(Lang="Français","Largage du satellite",IF(Lang="English","Satellite separation",""))</f>
        <v>Largage du satellite</v>
      </c>
      <c r="G26" s="566"/>
      <c r="H26" s="152">
        <f>IF(T_satellite&lt;&gt;0,T_satellite,"")</f>
        <v>4.7</v>
      </c>
      <c r="I26" s="156">
        <f ca="1">IF(T_satellite&lt;&gt;0,INDEX(pos_z,MATCH("Satellite",Event_sat,0)),"")</f>
        <v>1034.0146656063216</v>
      </c>
      <c r="J26" s="154">
        <f ca="1">IF(T_satellite&lt;&gt;0,INDEX(pos_x,MATCH("Satellite",Event_sat,0)),"")</f>
        <v>276.93333831840658</v>
      </c>
      <c r="K26" s="159">
        <f ca="1">IF(T_satellite&lt;&gt;0,INDEX(vit_xz,MATCH("Satellite",Event_sat,0)),"")</f>
        <v>65.159625182603349</v>
      </c>
      <c r="L26" s="495"/>
      <c r="M26" s="485">
        <f ca="1">1/2*Rho_moyen*1*V_ouv_sat^2*S_satellite</f>
        <v>260.05382617866309</v>
      </c>
      <c r="N26" s="58"/>
    </row>
    <row r="27" spans="1:18" x14ac:dyDescent="0.2">
      <c r="A27" s="59"/>
      <c r="B27" s="468" t="str">
        <f>IF(Lang="Français","Ouverture para",IF(Lang="English","Opening time",""))</f>
        <v>Ouverture para</v>
      </c>
      <c r="C27" s="507">
        <v>11.1</v>
      </c>
      <c r="D27" s="507">
        <v>4.7</v>
      </c>
      <c r="F27" s="563" t="s">
        <v>15</v>
      </c>
      <c r="G27" s="564"/>
      <c r="H27" s="153">
        <f ca="1">INDEX(t,MATCH("Apogée",Event,0))</f>
        <v>10.099999999999982</v>
      </c>
      <c r="I27" s="157">
        <f ca="1">INDEX(pos_z,MATCH("Apogée",Event,0))</f>
        <v>1190.5018925981813</v>
      </c>
      <c r="J27" s="155">
        <f ca="1">INDEX(pos_x,MATCH("Apogée",Event,0))</f>
        <v>401.90974781648515</v>
      </c>
      <c r="K27" s="160">
        <f ca="1">INDEX(vit_xz,MATCH("Apogée",Event,0))</f>
        <v>21.585604693456549</v>
      </c>
      <c r="L27" s="496"/>
      <c r="M27" s="500"/>
      <c r="N27" s="58"/>
    </row>
    <row r="28" spans="1:18" x14ac:dyDescent="0.2">
      <c r="A28" s="59"/>
      <c r="B28" s="534" t="s">
        <v>557</v>
      </c>
      <c r="C28" s="507" t="s">
        <v>559</v>
      </c>
      <c r="D28" s="507"/>
      <c r="F28" s="561" t="str">
        <f>IF(Lang="Français","Ouverture parachute fusée",IF(Lang="English","Rocket parachute opening",""))</f>
        <v>Ouverture parachute fusée</v>
      </c>
      <c r="G28" s="562"/>
      <c r="H28" s="152">
        <f>T_para</f>
        <v>11.1</v>
      </c>
      <c r="I28" s="156">
        <f ca="1">INDEX(pos_z,MATCH("Para",Event_para,0))</f>
        <v>1186.4550165517999</v>
      </c>
      <c r="J28" s="486">
        <f ca="1">INDEX(pos_x,MATCH("Para",Event_para,0))</f>
        <v>423.28997895346538</v>
      </c>
      <c r="K28" s="159">
        <f ca="1">INDEX(vit_xz,MATCH("Para",Event_para,0))</f>
        <v>22.984123087201485</v>
      </c>
      <c r="L28" s="495"/>
      <c r="M28" s="485">
        <f ca="1">1/2*Rho_moyen*1*V_ouverture^2*S_para</f>
        <v>155.47313740295206</v>
      </c>
      <c r="N28" s="58"/>
      <c r="P28" s="384" t="str">
        <f ca="1">IF(V_para&lt;5, IF(Lang="Français","Parachute fusée trop grand !","Parachute too big!"), IF( V_para&gt;15, IF(Lang="Français","Parachute fusée trop petit !","Parachute too small!"), ""))</f>
        <v/>
      </c>
      <c r="R28" s="384" t="str">
        <f>IF(AND(Nb_sat="1 satellite", OR(V_satellite&lt;5)), IF(Lang="Français","Parachute satéllite trop grand !","Parachute too big"), IF(AND(Nb_sat="1 satellite",OR(V_satellite&gt;15)), IF(Lang="Français","Parachute satéllite trop petit !","Parachute too small!"), ""))</f>
        <v/>
      </c>
    </row>
    <row r="29" spans="1:18" x14ac:dyDescent="0.2">
      <c r="A29" s="59"/>
      <c r="B29" s="141" t="s">
        <v>9</v>
      </c>
      <c r="C29" s="225">
        <f>IF(C28="rond",S_para_rond,IF(C28="Croix",S_para_croix,0.5))</f>
        <v>0.48049999999999998</v>
      </c>
      <c r="D29" s="17">
        <f>IF(RIGHT(Type_fusee,1)=".",0.1,0.02)</f>
        <v>0.1</v>
      </c>
      <c r="F29" s="550" t="str">
        <f>IF(Lang="Français","Impact balistique",IF(Lang="English","Balistic Impact",""))</f>
        <v>Impact balistique</v>
      </c>
      <c r="G29" s="551"/>
      <c r="H29" s="497">
        <f ca="1">INDEX(t,MATCH("Impact balistique",Event,0))</f>
        <v>28.60000000000014</v>
      </c>
      <c r="I29" s="517" t="s">
        <v>427</v>
      </c>
      <c r="J29" s="487">
        <f ca="1">INDEX(pos_x,MATCH("Impact balistique",Event,0))</f>
        <v>678.53524446899166</v>
      </c>
      <c r="K29" s="501">
        <f ca="1">K47</f>
        <v>98.729464439531725</v>
      </c>
      <c r="L29" s="498"/>
      <c r="M29" s="502">
        <f ca="1">0.5*m_vide*K29^2</f>
        <v>21156.964265855626</v>
      </c>
      <c r="N29" s="58"/>
      <c r="P29" s="384" t="str">
        <f ca="1">IF( OR( V_para&lt;5, V_para&gt;15, AND(Nb_sat="1 satellite", OR(V_satellite&lt;5, V_satellite&gt;15))), IF(Lang="Français","La Vitesse de descente sous parachute doit être comprise entre 5 &amp; 15 m/s.","Fall Velocity with parachute must be between 5 &amp; 15 m/s."), "")</f>
        <v/>
      </c>
    </row>
    <row r="30" spans="1:18" x14ac:dyDescent="0.2">
      <c r="A30" s="59"/>
      <c r="B30" s="141" t="s">
        <v>10</v>
      </c>
      <c r="C30" s="143">
        <v>1</v>
      </c>
      <c r="D30" s="143">
        <v>1</v>
      </c>
      <c r="E30" s="18" t="str">
        <f>IF(AND(T_satellite=0,m_satellite&lt;&gt;0),"Erreur !","")</f>
        <v/>
      </c>
      <c r="G30" s="483"/>
      <c r="H30" s="484"/>
      <c r="I30" s="488"/>
      <c r="N30" s="58"/>
      <c r="P30" s="384" t="str">
        <f ca="1">IF(AND(Portee_balistique&gt;200,LEFT(Type_propu,4)="Mini"),IF(Lang="Français","Fusée trop lègère !","Rocket too light"),"")</f>
        <v/>
      </c>
    </row>
    <row r="31" spans="1:18" x14ac:dyDescent="0.2">
      <c r="A31" s="59"/>
      <c r="B31" s="141" t="str">
        <f>IF(Lang="Français","Vitesse du vent",IF(Lang="English","Wind speed",""))</f>
        <v>Vitesse du vent</v>
      </c>
      <c r="C31" s="144">
        <v>5</v>
      </c>
      <c r="D31" s="144">
        <f>V_vent</f>
        <v>5</v>
      </c>
      <c r="G31" s="483"/>
      <c r="H31" s="484"/>
      <c r="I31" s="488"/>
      <c r="N31" s="58"/>
      <c r="P31" s="384" t="e">
        <f ca="1">IF(OR(AND(Vsortie_de_rampe&lt;20,LEFT(Type_fusee,1)="F"),AND(Vsortie_de_rampe&lt;18, OR(LEFT(Type_fusee,1)=",",LEFT(Type_fusee,4)="Mini",LEFT(Type_fusee,1)="R"))),IF(Lang="Français","Fusée trop lourde ou rampe trop courte !","Rocket too heavy or launch pad too small!"),"")</f>
        <v>#N/A</v>
      </c>
    </row>
    <row r="32" spans="1:18" x14ac:dyDescent="0.2">
      <c r="A32" s="59"/>
      <c r="B32" s="133" t="str">
        <f>IF(Lang="Français","Vitesse descente",IF(Lang="English","Fall velocity",""))</f>
        <v>Vitesse descente</v>
      </c>
      <c r="C32" s="424">
        <f ca="1">SQRT(2*m_vide*g/Rho_moyen/S_para/Cx_para)</f>
        <v>12.029003578663529</v>
      </c>
      <c r="D32" s="424">
        <f>SQRT(2*m_satellite*g/Rho_moyen/S_satellite/Cx_satellite)</f>
        <v>12.655562623057198</v>
      </c>
      <c r="F32" s="384"/>
      <c r="K32" s="388"/>
      <c r="N32" s="395"/>
      <c r="P32" s="384" t="str">
        <f ca="1">IF(Temps_culmi-T_para&gt;2,IF(Lang="Français","Ouverture parachute fusée précoce.","Early rocket parachute opening."),IF(Temps_culmi-T_para&lt;-2,IF(Lang="Français","Ouverture parachute fusée tardive.","Late rocket parachute opening."),""))</f>
        <v/>
      </c>
    </row>
    <row r="33" spans="1:16" x14ac:dyDescent="0.2">
      <c r="A33" s="59"/>
      <c r="B33" s="133" t="str">
        <f>IF(Lang="Français","Durée descente",IF(Lang="English","Fall duration",""))</f>
        <v>Durée descente</v>
      </c>
      <c r="C33" s="132">
        <f ca="1">Alt_para/V_para</f>
        <v>98.632859221712849</v>
      </c>
      <c r="D33" s="132">
        <f ca="1">IF(V_satellite&lt;&gt;0,Alt_sat/V_satellite,0)</f>
        <v>81.704361663261651</v>
      </c>
      <c r="H33" s="552" t="str">
        <f>IF(Lang="Français","Pour localiser la fusée","To locate the rocket")</f>
        <v>Pour localiser la fusée</v>
      </c>
      <c r="I33" s="552"/>
      <c r="J33" s="482"/>
      <c r="N33" s="395"/>
      <c r="P33" s="384" t="str">
        <f ca="1">IF(ABS(Temps_culmi-T_para)&gt;2,IF(Lang="Français","Attention, aux efforts sur le parachute lors de l'ouverture !","Becarefull to the opening chute efforts!"),"")</f>
        <v/>
      </c>
    </row>
    <row r="34" spans="1:16" customFormat="1" x14ac:dyDescent="0.2">
      <c r="A34" s="59"/>
      <c r="B34" s="133" t="str">
        <f>IF(Lang="Français","Durée du vol",IF(Lang="English","Fligth duration",""))</f>
        <v>Durée du vol</v>
      </c>
      <c r="C34" s="132">
        <f ca="1">T_para+Dt_para</f>
        <v>109.73285922171284</v>
      </c>
      <c r="D34" s="132">
        <f ca="1">T_satellite+Dt_satellite</f>
        <v>86.404361663261653</v>
      </c>
      <c r="F34" s="552" t="str">
        <f>IF(Lang="Français","Couleur fuselage/coiffe","Body/Nose color")</f>
        <v>Couleur fuselage/coiffe</v>
      </c>
      <c r="G34" s="552"/>
      <c r="H34" s="548" t="s">
        <v>266</v>
      </c>
      <c r="I34" s="549"/>
      <c r="J34" s="1"/>
      <c r="K34" s="1"/>
      <c r="L34" s="1"/>
      <c r="M34" s="1"/>
      <c r="N34" s="394"/>
    </row>
    <row r="35" spans="1:16" x14ac:dyDescent="0.2">
      <c r="A35" s="74"/>
      <c r="B35" s="133" t="str">
        <f>IF(Lang="Français","Déport latéral",IF(Lang="English","Lateral shift",""))</f>
        <v>Déport latéral</v>
      </c>
      <c r="C35" s="151">
        <f ca="1">Alt_para*V_vent/V_para</f>
        <v>493.1642961085642</v>
      </c>
      <c r="D35" s="151">
        <f ca="1">IF(V_satellite&lt;&gt;0,Alt_sat*V_vent_sat/V_satellite,0)</f>
        <v>408.52180831630824</v>
      </c>
      <c r="F35" s="552" t="str">
        <f>IF(Lang="Français","Couleur parachute fusée","Rocket parachute color")</f>
        <v>Couleur parachute fusée</v>
      </c>
      <c r="G35" s="552"/>
      <c r="H35" s="548" t="s">
        <v>267</v>
      </c>
      <c r="I35" s="549"/>
      <c r="J35"/>
      <c r="K35"/>
      <c r="L35"/>
      <c r="M35"/>
      <c r="N35" s="394" t="str">
        <f>IF(Lang="Français","fichier initial","Initial file")</f>
        <v>fichier initial</v>
      </c>
      <c r="P35"/>
    </row>
    <row r="36" spans="1:16" x14ac:dyDescent="0.2">
      <c r="A36" s="59"/>
      <c r="F36" s="552" t="str">
        <f>IF(Lang="Français","Couleur parachute satellite","Satellite parachute color")</f>
        <v>Couleur parachute satellite</v>
      </c>
      <c r="G36" s="552"/>
      <c r="H36" s="556" t="s">
        <v>158</v>
      </c>
      <c r="I36" s="556"/>
      <c r="N36" s="393" t="str">
        <f>IF(ROUND(SUM(Propu!5:1228),0)=437735,"propu OK","propu NOK")</f>
        <v>propu OK</v>
      </c>
      <c r="P36"/>
    </row>
    <row r="37" spans="1:16" ht="13.5" thickBot="1" x14ac:dyDescent="0.25">
      <c r="A37" s="60"/>
      <c r="B37" s="181" t="str">
        <f>IF(Lang="Français","Commentaire libre :",IF(Lang="English","Free comment:",""))</f>
        <v>Commentaire libre :</v>
      </c>
      <c r="C37" s="61"/>
      <c r="D37" s="61"/>
      <c r="E37" s="61"/>
      <c r="F37" s="61"/>
      <c r="G37" s="61"/>
      <c r="H37" s="61"/>
      <c r="I37" s="61"/>
      <c r="J37" s="61"/>
      <c r="K37" s="61"/>
      <c r="L37" s="61"/>
      <c r="M37" s="61"/>
      <c r="N37" s="290" t="s">
        <v>566</v>
      </c>
    </row>
    <row r="40" spans="1:16" x14ac:dyDescent="0.2">
      <c r="A40" s="553" t="str">
        <f>IF(Lang="Français","Calcul de la surface d'un parachute","Parachute surface calculation")</f>
        <v>Calcul de la surface d'un parachute</v>
      </c>
      <c r="B40" s="554"/>
      <c r="C40" s="554"/>
      <c r="D40" s="555"/>
      <c r="F40" s="553" t="str">
        <f>IF(Lang="Français","Résultats détaillés","Detailled results")</f>
        <v>Résultats détaillés</v>
      </c>
      <c r="G40" s="555"/>
      <c r="H40" s="170" t="str">
        <f>IF(Lang="Français","Temps",IF(Lang="English","Time",""))</f>
        <v>Temps</v>
      </c>
      <c r="I40" s="134" t="s">
        <v>12</v>
      </c>
      <c r="J40" s="134" t="str">
        <f>IF(Lang="Français","Portée x",IF(Lang="English","Range x",""))</f>
        <v>Portée x</v>
      </c>
      <c r="K40" s="134" t="str">
        <f>IF(Lang="Français","Vitesse",IF(Lang="English","Velocity",""))</f>
        <v>Vitesse</v>
      </c>
      <c r="L40" s="135" t="s">
        <v>13</v>
      </c>
      <c r="M40" s="134" t="s">
        <v>41</v>
      </c>
    </row>
    <row r="41" spans="1:16" x14ac:dyDescent="0.2">
      <c r="A41" s="161"/>
      <c r="D41" s="162"/>
      <c r="F41" s="172"/>
      <c r="G41" s="173"/>
      <c r="H41" s="171" t="s">
        <v>153</v>
      </c>
      <c r="I41" s="136" t="s">
        <v>38</v>
      </c>
      <c r="J41" s="136" t="s">
        <v>38</v>
      </c>
      <c r="K41" s="136" t="s">
        <v>154</v>
      </c>
      <c r="L41" s="136" t="s">
        <v>7</v>
      </c>
      <c r="M41" s="136" t="s">
        <v>155</v>
      </c>
    </row>
    <row r="42" spans="1:16" x14ac:dyDescent="0.2">
      <c r="A42" s="161"/>
      <c r="D42" s="162"/>
      <c r="F42" s="577" t="str">
        <f>IF(Lang="Français","Décollage",IF(Lang="English","Lift-Off",""))</f>
        <v>Décollage</v>
      </c>
      <c r="G42" s="577"/>
      <c r="H42" s="150">
        <v>0</v>
      </c>
      <c r="I42" s="150">
        <v>570.20506866099674</v>
      </c>
      <c r="J42" s="150">
        <v>132.07618777215259</v>
      </c>
      <c r="K42" s="150">
        <v>154.77051376708334</v>
      </c>
      <c r="L42" s="148" t="s">
        <v>14</v>
      </c>
      <c r="M42" s="149">
        <f>Beta_rampe</f>
        <v>75.473742154207713</v>
      </c>
    </row>
    <row r="43" spans="1:16" x14ac:dyDescent="0.2">
      <c r="A43" s="161"/>
      <c r="B43" s="166" t="str">
        <f>IF(Lang="Français","Bord   'a'","Side length 'a'")</f>
        <v>Bord   'a'</v>
      </c>
      <c r="D43" s="162"/>
      <c r="F43" s="564" t="str">
        <f>IF(Lang="Français","Sortie de Rampe",IF(Lang="English","Launch-Pad Exit",""))</f>
        <v>Sortie de Rampe</v>
      </c>
      <c r="G43" s="564"/>
      <c r="H43" s="115" t="e">
        <f ca="1">INDEX(t,MATCH("Sortie de rampe",Event,0))</f>
        <v>#N/A</v>
      </c>
      <c r="I43" s="115" t="e">
        <f ca="1">INDEX(pos_z,MATCH("Sortie de rampe",Event,0))</f>
        <v>#N/A</v>
      </c>
      <c r="J43" s="115" t="e">
        <f ca="1">INDEX(pos_x,MATCH("Sortie de rampe",Event,0))</f>
        <v>#N/A</v>
      </c>
      <c r="K43" s="116" t="e">
        <f ca="1">INDEX(vit_xz,MATCH("Sortie de rampe",Event,0))</f>
        <v>#N/A</v>
      </c>
      <c r="L43" s="116" t="e">
        <f ca="1">INDEX(acc_xz,MATCH("Sortie de rampe",Event,0))</f>
        <v>#N/A</v>
      </c>
      <c r="M43" s="116" t="e">
        <f ca="1">INDEX(BetaD,MATCH("Sortie de rampe",Event,0))</f>
        <v>#N/A</v>
      </c>
    </row>
    <row r="44" spans="1:16" x14ac:dyDescent="0.2">
      <c r="A44" s="161"/>
      <c r="B44" s="167">
        <v>310</v>
      </c>
      <c r="D44" s="162"/>
      <c r="F44" s="564" t="str">
        <f>IF(Lang="Français","Vit max &amp; Acc max",IF(Lang="English","Max Velocity &amp; Acc",""))</f>
        <v>Vit max &amp; Acc max</v>
      </c>
      <c r="G44" s="564"/>
      <c r="H44" s="115" t="s">
        <v>14</v>
      </c>
      <c r="I44" s="115" t="s">
        <v>14</v>
      </c>
      <c r="J44" s="115" t="s">
        <v>14</v>
      </c>
      <c r="K44" s="117">
        <f ca="1">MAX(vit_xz)</f>
        <v>154.77051376708334</v>
      </c>
      <c r="L44" s="118">
        <f ca="1">MAX(acc_xz)</f>
        <v>30.311316779788786</v>
      </c>
      <c r="M44" s="116" t="s">
        <v>14</v>
      </c>
    </row>
    <row r="45" spans="1:16" x14ac:dyDescent="0.2">
      <c r="A45" s="161"/>
      <c r="B45" s="166" t="str">
        <f>IF(Lang="Français","Coté   'b'","Side width 'b'")</f>
        <v>Coté   'b'</v>
      </c>
      <c r="D45" s="162"/>
      <c r="F45" s="564" t="str">
        <f>IF(Lang="Français","Fin de Propulsion",IF(Lang="English","Motor Burn-Out",""))</f>
        <v>Fin de Propulsion</v>
      </c>
      <c r="G45" s="564"/>
      <c r="H45" s="116">
        <f ca="1">INDEX(t,MATCH("Fin de propulsion",Event,0))</f>
        <v>0.21000000000000005</v>
      </c>
      <c r="I45" s="119">
        <f ca="1">INDEX(pos_z,MATCH("Fin de propulsion",Event,0))</f>
        <v>601.02093890362949</v>
      </c>
      <c r="J45" s="119">
        <f ca="1">INDEX(pos_x,MATCH("Fin de propulsion",Event,0))</f>
        <v>140.11635506196703</v>
      </c>
      <c r="K45" s="119">
        <f ca="1">INDEX(vit_xz,MATCH("Fin de propulsion",Event,0))</f>
        <v>148.59799139912775</v>
      </c>
      <c r="L45" s="116">
        <f ca="1">INDEX(acc_xz,MATCH("Fin de propulsion",Event,0))</f>
        <v>28.710015801990295</v>
      </c>
      <c r="M45" s="116">
        <f ca="1">INDEX(BetaD,MATCH("Fin de propulsion",Event,0))</f>
        <v>75.277076639976841</v>
      </c>
    </row>
    <row r="46" spans="1:16" x14ac:dyDescent="0.2">
      <c r="A46" s="161"/>
      <c r="B46" s="168">
        <v>310</v>
      </c>
      <c r="D46" s="162"/>
      <c r="F46" s="564" t="s">
        <v>15</v>
      </c>
      <c r="G46" s="564"/>
      <c r="H46" s="118">
        <f ca="1">INDEX(t,MATCH("Apogée",Event,0))</f>
        <v>10.099999999999982</v>
      </c>
      <c r="I46" s="117">
        <f ca="1">INDEX(pos_z,MATCH("Apogée",Event,0))</f>
        <v>1190.5018925981813</v>
      </c>
      <c r="J46" s="120">
        <f ca="1">INDEX(pos_x,MATCH("Apogée",Event,0))</f>
        <v>401.90974781648515</v>
      </c>
      <c r="K46" s="120">
        <f ca="1">INDEX(vit_xz,MATCH("Apogée",Event,0))</f>
        <v>21.585604693456549</v>
      </c>
      <c r="L46" s="116">
        <f ca="1">INDEX(acc_xz,MATCH("Apogée",Event,0))</f>
        <v>9.8495246437005974</v>
      </c>
      <c r="M46" s="121">
        <f ca="1">INDEX(BetaD,MATCH("Apogée",Event,0))</f>
        <v>2.2322765002969391</v>
      </c>
    </row>
    <row r="47" spans="1:16" x14ac:dyDescent="0.2">
      <c r="A47" s="161"/>
      <c r="B47" s="169" t="s">
        <v>9</v>
      </c>
      <c r="D47" s="162"/>
      <c r="F47" s="579" t="str">
        <f>IF(Lang="Français","Impact balistique",IF(Lang="English","Balistic Impact",""))</f>
        <v>Impact balistique</v>
      </c>
      <c r="G47" s="579"/>
      <c r="H47" s="116">
        <f ca="1">INDEX(t,MATCH("Impact balistique",Event,0))</f>
        <v>28.60000000000014</v>
      </c>
      <c r="I47" s="148" t="s">
        <v>16</v>
      </c>
      <c r="J47" s="117">
        <f ca="1">INDEX(pos_x,MATCH("Impact balistique",Event,0))</f>
        <v>678.53524446899166</v>
      </c>
      <c r="K47" s="119">
        <f ca="1">INDEX(vit_xz,MATCH("Impact balistique",Event,0))</f>
        <v>98.729464439531725</v>
      </c>
      <c r="L47" s="116">
        <f ca="1">INDEX(acc_xz,MATCH("Impact balistique",Event,0))</f>
        <v>1.1452240196618841</v>
      </c>
      <c r="M47" s="116">
        <f ca="1">INDEX(BetaD,MATCH("Impact balistique",Event,0))</f>
        <v>-85.759831074873119</v>
      </c>
    </row>
    <row r="48" spans="1:16" x14ac:dyDescent="0.2">
      <c r="A48" s="161"/>
      <c r="B48" s="174">
        <f>(4*B44*B46+B44^2)/10^6</f>
        <v>0.48049999999999998</v>
      </c>
      <c r="D48" s="162"/>
      <c r="F48" s="562" t="str">
        <f>IF(Lang="Français","Ouverture parachute fusée",IF(Lang="English","Rocket parachute opening",""))</f>
        <v>Ouverture parachute fusée</v>
      </c>
      <c r="G48" s="562"/>
      <c r="H48" s="122">
        <f>T_para</f>
        <v>11.1</v>
      </c>
      <c r="I48" s="123">
        <f ca="1">INDEX(pos_z,MATCH("Para",Event_para,0))</f>
        <v>1186.4550165517999</v>
      </c>
      <c r="J48" s="123">
        <f ca="1">INDEX(pos_x,MATCH("Para",Event_para,0))</f>
        <v>423.28997895346538</v>
      </c>
      <c r="K48" s="123">
        <f ca="1">INDEX(vit_xz,MATCH("Para",Event_para,0))</f>
        <v>22.984123087201485</v>
      </c>
      <c r="L48" s="122">
        <f ca="1">INDEX(acc_xz,MATCH("Para",Event_para,0))</f>
        <v>9.6716424675813411</v>
      </c>
      <c r="M48" s="124">
        <f ca="1">INDEX(BetaD,MATCH("Para",Event_para,0))</f>
        <v>-22.795810900331727</v>
      </c>
    </row>
    <row r="49" spans="1:13" x14ac:dyDescent="0.2">
      <c r="A49" s="161"/>
      <c r="D49" s="162"/>
      <c r="F49" s="580" t="str">
        <f>IF(Lang="Français","Impact fusée sous para.",IF(Lang="English","Impact of rocket with para. ",""))</f>
        <v>Impact fusée sous para.</v>
      </c>
      <c r="G49" s="580"/>
      <c r="H49" s="125">
        <f ca="1">T_para+Dt_para</f>
        <v>109.73285922171284</v>
      </c>
      <c r="I49" s="127" t="s">
        <v>16</v>
      </c>
      <c r="J49" s="126" t="str">
        <f ca="1">CONCATENATE(TEXT(X_para-Dx_para,"0")," | ",TEXT(X_para+Dx_para,"0"))</f>
        <v>-70 | 916</v>
      </c>
      <c r="K49" s="126">
        <f ca="1">V_para</f>
        <v>12.029003578663529</v>
      </c>
      <c r="L49" s="128">
        <f>g</f>
        <v>9.81</v>
      </c>
      <c r="M49" s="128" t="s">
        <v>14</v>
      </c>
    </row>
    <row r="50" spans="1:13" x14ac:dyDescent="0.2">
      <c r="A50" s="161"/>
      <c r="D50" s="162"/>
      <c r="F50" s="578" t="str">
        <f>IF(Lang="Français","Largage du satellite",IF(Lang="English","Satellite separation",""))</f>
        <v>Largage du satellite</v>
      </c>
      <c r="G50" s="566"/>
      <c r="H50" s="122">
        <f>IF(T_satellite&lt;&gt;0,T_satellite,"")</f>
        <v>4.7</v>
      </c>
      <c r="I50" s="123">
        <f ca="1">IF(T_satellite&lt;&gt;0,INDEX(pos_z,MATCH("Satellite",Event_sat,0)),"")</f>
        <v>1034.0146656063216</v>
      </c>
      <c r="J50" s="129">
        <f ca="1">IF(T_satellite&lt;&gt;0,INDEX(pos_x,MATCH("Satellite",Event_sat,0)),"")</f>
        <v>276.93333831840658</v>
      </c>
      <c r="K50" s="123">
        <f ca="1">IF(T_satellite&lt;&gt;0,INDEX(vit_xz,MATCH("Satellite",Event_sat,0)),"")</f>
        <v>65.159625182603349</v>
      </c>
      <c r="L50" s="122">
        <f ca="1">IF(T_satellite&lt;&gt;0,INDEX(acc_xz,MATCH("Satellite",Event_sat,0)),"")</f>
        <v>13.245151447813885</v>
      </c>
      <c r="M50" s="124">
        <f ca="1">IF(T_satellite&lt;&gt;0,INDEX(BetaD,MATCH("Satellite",Event_sat,0)),"")</f>
        <v>66.834455076412297</v>
      </c>
    </row>
    <row r="51" spans="1:13" x14ac:dyDescent="0.2">
      <c r="A51" s="161"/>
      <c r="B51" s="166" t="str">
        <f>IF(Lang="Français","Rayon exterieur","Half-diameter ext")</f>
        <v>Rayon exterieur</v>
      </c>
      <c r="D51" s="162"/>
      <c r="F51" s="575" t="str">
        <f>IF(Lang="Français","Impact du satellite",IF(Lang="English","Satellite impact",""))</f>
        <v>Impact du satellite</v>
      </c>
      <c r="G51" s="576"/>
      <c r="H51" s="125">
        <f ca="1">IF(T_satellite&lt;&gt;0,T_satellite+Dt_satellite,"")</f>
        <v>86.404361663261653</v>
      </c>
      <c r="I51" s="130" t="str">
        <f>IF(T_satellite&lt;&gt;0,"~0","")</f>
        <v>~0</v>
      </c>
      <c r="J51" s="130" t="str">
        <f ca="1">IF(T_satellite&lt;&gt;0,CONCATENATE(TEXT(X_satellite-Dx_sat,"0")," | ",TEXT(X_satellite+Dx_sat,"0")),"")</f>
        <v>-132 | 685</v>
      </c>
      <c r="K51" s="130">
        <f>IF(T_satellite&lt;&gt;0,V_satellite,"")</f>
        <v>12.655562623057198</v>
      </c>
      <c r="L51" s="128">
        <f>IF(T_satellite&lt;&gt;0,g,"")</f>
        <v>9.81</v>
      </c>
      <c r="M51" s="131" t="str">
        <f>IF(T_satellite&lt;&gt;0,"-","")</f>
        <v>-</v>
      </c>
    </row>
    <row r="52" spans="1:13" x14ac:dyDescent="0.2">
      <c r="A52" s="161"/>
      <c r="B52" s="168">
        <v>299</v>
      </c>
      <c r="D52" s="162"/>
    </row>
    <row r="53" spans="1:13" x14ac:dyDescent="0.2">
      <c r="A53" s="161"/>
      <c r="B53" s="166" t="str">
        <f>IF(Lang="Français","Rayon intérieur","Half-diameter int")</f>
        <v>Rayon intérieur</v>
      </c>
      <c r="D53" s="162"/>
    </row>
    <row r="54" spans="1:13" x14ac:dyDescent="0.2">
      <c r="A54" s="161"/>
      <c r="B54" s="168">
        <v>29</v>
      </c>
      <c r="D54" s="162"/>
    </row>
    <row r="55" spans="1:13" x14ac:dyDescent="0.2">
      <c r="A55" s="161"/>
      <c r="B55" s="169" t="s">
        <v>9</v>
      </c>
      <c r="D55" s="162"/>
    </row>
    <row r="56" spans="1:13" x14ac:dyDescent="0.2">
      <c r="A56" s="161"/>
      <c r="B56" s="174">
        <f>PI()*(B52^2-B54^2)/10^6</f>
        <v>0.27821944540191207</v>
      </c>
      <c r="D56" s="162"/>
    </row>
    <row r="57" spans="1:13" x14ac:dyDescent="0.2">
      <c r="A57" s="163"/>
      <c r="B57" s="164"/>
      <c r="C57" s="164"/>
      <c r="D57" s="165"/>
    </row>
    <row r="94" spans="2:2" x14ac:dyDescent="0.2">
      <c r="B94" s="24" t="str">
        <f>IF(Lang="Français","Vitesse de descente sous parachute :",IF(Lang="English","Fall velocity over parachute:",""))</f>
        <v>Vitesse de descente sous parachute :</v>
      </c>
    </row>
    <row r="103" spans="2:9" x14ac:dyDescent="0.2">
      <c r="B103" s="24" t="str">
        <f>IF(Lang="Français","Textes pour les listes déroulantes et graphiques :","Texts for drop-down lists &amp; graphics :")</f>
        <v>Textes pour les listes déroulantes et graphiques :</v>
      </c>
    </row>
    <row r="104" spans="2:9" x14ac:dyDescent="0.2">
      <c r="F104" s="221" t="s">
        <v>407</v>
      </c>
      <c r="G104" s="1" t="s">
        <v>414</v>
      </c>
      <c r="I104" s="1" t="s">
        <v>558</v>
      </c>
    </row>
    <row r="105" spans="2:9" x14ac:dyDescent="0.2">
      <c r="B105" s="1" t="s">
        <v>120</v>
      </c>
      <c r="F105" s="477">
        <f ca="1">Combustion+Depotage-9</f>
        <v>-9</v>
      </c>
      <c r="G105" s="478" t="s">
        <v>409</v>
      </c>
      <c r="I105" s="1" t="s">
        <v>559</v>
      </c>
    </row>
    <row r="106" spans="2:9" x14ac:dyDescent="0.2">
      <c r="B106" s="1" t="s">
        <v>121</v>
      </c>
      <c r="F106" s="477">
        <f ca="1">Combustion+Depotage-7</f>
        <v>-7</v>
      </c>
      <c r="G106" s="478" t="s">
        <v>410</v>
      </c>
      <c r="I106" s="1" t="s">
        <v>560</v>
      </c>
    </row>
    <row r="107" spans="2:9" x14ac:dyDescent="0.2">
      <c r="B107" s="1" t="str">
        <f>IF(T_para&gt;0,IF(Lang="Français","Phase ascendante","Climbing phase"),"")</f>
        <v>Phase ascendante</v>
      </c>
      <c r="F107" s="477">
        <f ca="1">Combustion+Depotage-5</f>
        <v>-5</v>
      </c>
      <c r="G107" s="478" t="s">
        <v>411</v>
      </c>
    </row>
    <row r="108" spans="2:9" x14ac:dyDescent="0.2">
      <c r="B108" s="1" t="str">
        <f>IF(Lang="Français","Descente balistique","Balistic fall")</f>
        <v>Descente balistique</v>
      </c>
      <c r="F108" s="477">
        <f ca="1">Combustion+Depotage-3</f>
        <v>-3</v>
      </c>
      <c r="G108" s="478" t="s">
        <v>412</v>
      </c>
    </row>
    <row r="109" spans="2:9" x14ac:dyDescent="0.2">
      <c r="B109" s="1" t="str">
        <f>IF(T_para&gt;0,IF(Lang="Français","Fusée sous parachute","Rocket under parachute"),"")</f>
        <v>Fusée sous parachute</v>
      </c>
      <c r="F109" s="477">
        <f ca="1">Combustion+Depotage</f>
        <v>0</v>
      </c>
      <c r="G109" s="478" t="s">
        <v>413</v>
      </c>
    </row>
    <row r="110" spans="2:9" x14ac:dyDescent="0.2">
      <c r="B110" s="1" t="str">
        <f>IF(AND(Nb_sat="1 satellite",T_satellite&gt;0),IF(Lang="Français","Satellite sous parachute","Satellite over parachute"),"")</f>
        <v/>
      </c>
      <c r="F110" s="479" t="str">
        <f>IF(Lang="Français","autre",IF(Lang="English","other",""))</f>
        <v>autre</v>
      </c>
    </row>
    <row r="111" spans="2:9" x14ac:dyDescent="0.2">
      <c r="B111" s="1" t="str">
        <f>IF(Lang="Français","Trajectoire (x z)","Trajectory (x z)")</f>
        <v>Trajectoire (x z)</v>
      </c>
    </row>
    <row r="112" spans="2:9" x14ac:dyDescent="0.2">
      <c r="B112" s="1" t="str">
        <f>IF(Lang="Français","Portée x [m]","Range x [m]")</f>
        <v>Portée x [m]</v>
      </c>
    </row>
    <row r="113" spans="2:3" x14ac:dyDescent="0.2">
      <c r="B113" s="1" t="str">
        <f>IF(Lang="Français","Temps [s]","Time [s]")</f>
        <v>Temps [s]</v>
      </c>
    </row>
    <row r="114" spans="2:3" x14ac:dyDescent="0.2">
      <c r="B114" s="1" t="str">
        <f>IF(Lang="Français","Altitude z  /  Temps","Altitude z  /  Time")</f>
        <v>Altitude z  /  Temps</v>
      </c>
      <c r="C114" s="1">
        <f>IF(OR(C26=F104,C26=F110),C27,C26)</f>
        <v>11.1</v>
      </c>
    </row>
    <row r="116" spans="2:3" x14ac:dyDescent="0.2">
      <c r="B116" s="1" t="s">
        <v>408</v>
      </c>
    </row>
    <row r="118" spans="2:3" x14ac:dyDescent="0.2">
      <c r="B118" s="24" t="str">
        <f>IF(Lang="Français","Données pour les graphiques :","Data for plots:")</f>
        <v>Données pour les graphiques :</v>
      </c>
    </row>
    <row r="120" spans="2:3" x14ac:dyDescent="0.2">
      <c r="B120" s="210" t="s">
        <v>47</v>
      </c>
      <c r="C120" s="211" t="s">
        <v>47</v>
      </c>
    </row>
    <row r="121" spans="2:3" x14ac:dyDescent="0.2">
      <c r="B121" s="218">
        <f ca="1">MAX(Altitude_culmi,Portee_balistique)</f>
        <v>1190.5018925981813</v>
      </c>
      <c r="C121" s="216">
        <f ca="1">MAX(Altitude_culmi,Portee_balistique)</f>
        <v>1190.5018925981813</v>
      </c>
    </row>
    <row r="123" spans="2:3" x14ac:dyDescent="0.2">
      <c r="B123" s="210" t="s">
        <v>49</v>
      </c>
      <c r="C123" s="211" t="s">
        <v>45</v>
      </c>
    </row>
    <row r="124" spans="2:3" x14ac:dyDescent="0.2">
      <c r="B124" s="217">
        <f ca="1">X_para</f>
        <v>423.28997895346538</v>
      </c>
      <c r="C124" s="214">
        <f ca="1">Alt_para</f>
        <v>1186.4550165517999</v>
      </c>
    </row>
    <row r="125" spans="2:3" x14ac:dyDescent="0.2">
      <c r="B125" s="217">
        <f ca="1">X_para</f>
        <v>423.28997895346538</v>
      </c>
      <c r="C125" s="214">
        <f ca="1">Alt_para/2</f>
        <v>593.22750827589994</v>
      </c>
    </row>
    <row r="126" spans="2:3" x14ac:dyDescent="0.2">
      <c r="B126" s="217">
        <f ca="1">X_para</f>
        <v>423.28997895346538</v>
      </c>
      <c r="C126" s="214">
        <v>0</v>
      </c>
    </row>
    <row r="127" spans="2:3" x14ac:dyDescent="0.2">
      <c r="B127" s="217">
        <f ca="1">X_para+Alt_para/40</f>
        <v>452.95135436726036</v>
      </c>
      <c r="C127" s="214">
        <f ca="1">Alt_para/20</f>
        <v>59.322750827589992</v>
      </c>
    </row>
    <row r="128" spans="2:3" x14ac:dyDescent="0.2">
      <c r="B128" s="217">
        <f ca="1">X_para</f>
        <v>423.28997895346538</v>
      </c>
      <c r="C128" s="214">
        <v>0</v>
      </c>
    </row>
    <row r="129" spans="2:6" x14ac:dyDescent="0.2">
      <c r="B129" s="217">
        <f ca="1">X_para-Alt_para/40</f>
        <v>393.62860353967039</v>
      </c>
      <c r="C129" s="214">
        <f ca="1">Alt_para/20</f>
        <v>59.322750827589992</v>
      </c>
    </row>
    <row r="130" spans="2:6" x14ac:dyDescent="0.2">
      <c r="B130" s="218">
        <f ca="1">X_para</f>
        <v>423.28997895346538</v>
      </c>
      <c r="C130" s="219">
        <v>0</v>
      </c>
    </row>
    <row r="131" spans="2:6" x14ac:dyDescent="0.2">
      <c r="B131" s="210" t="s">
        <v>48</v>
      </c>
      <c r="C131" s="211" t="s">
        <v>45</v>
      </c>
    </row>
    <row r="132" spans="2:6" x14ac:dyDescent="0.2">
      <c r="B132" s="213">
        <f>T_para</f>
        <v>11.1</v>
      </c>
      <c r="C132" s="214">
        <f ca="1">Alt_para</f>
        <v>1186.4550165517999</v>
      </c>
    </row>
    <row r="133" spans="2:6" x14ac:dyDescent="0.2">
      <c r="B133" s="213">
        <f ca="1">(B132+B134)/2</f>
        <v>60.416429610856419</v>
      </c>
      <c r="C133" s="214">
        <f ca="1">(C132+C134)/2</f>
        <v>593.22750827589994</v>
      </c>
      <c r="E133" s="232">
        <v>1</v>
      </c>
      <c r="F133" s="233" t="s">
        <v>175</v>
      </c>
    </row>
    <row r="134" spans="2:6" x14ac:dyDescent="0.2">
      <c r="B134" s="213">
        <f ca="1">H49</f>
        <v>109.73285922171284</v>
      </c>
      <c r="C134" s="214">
        <f>0</f>
        <v>0</v>
      </c>
      <c r="E134" s="161">
        <v>1</v>
      </c>
      <c r="F134" s="234" t="s">
        <v>176</v>
      </c>
    </row>
    <row r="135" spans="2:6" x14ac:dyDescent="0.2">
      <c r="B135" s="213">
        <f ca="1">H49+E133*sS/2*zZ_fus-E134*sS*tT_fus</f>
        <v>108.59216180824126</v>
      </c>
      <c r="C135" s="214">
        <f ca="1">Alt_para-V_para*(H49-T_para)+E133*sS*Altitude_culmi/H49*zZ_fus+E134*sS/2*Altitude_culmi/H49*tT_fus</f>
        <v>44.973269773981343</v>
      </c>
      <c r="E135" s="161"/>
      <c r="F135" s="241" t="s">
        <v>177</v>
      </c>
    </row>
    <row r="136" spans="2:6" x14ac:dyDescent="0.2">
      <c r="B136" s="213">
        <f ca="1">H49</f>
        <v>109.73285922171284</v>
      </c>
      <c r="C136" s="214">
        <f ca="1">Alt_para-V_para*(H49-T_para)</f>
        <v>0</v>
      </c>
      <c r="E136" s="235" t="s">
        <v>172</v>
      </c>
      <c r="F136" s="236">
        <f ca="1">T_balistique/10</f>
        <v>2.8600000000000141</v>
      </c>
    </row>
    <row r="137" spans="2:6" x14ac:dyDescent="0.2">
      <c r="B137" s="213">
        <f ca="1">H49-E133*sS/2*zZ_fus-E134*sS*tT_fus</f>
        <v>105.73216180824124</v>
      </c>
      <c r="C137" s="214">
        <f ca="1">Alt_para-V_para*(H49-T_para)+E133*sS*Altitude_culmi/H49*zZ_fus-E134*sS/2*Altitude_culmi/H49*tT_fus</f>
        <v>17.083536855861766</v>
      </c>
      <c r="E137" s="235" t="s">
        <v>173</v>
      </c>
      <c r="F137" s="236">
        <f ca="1">(H49-T_para)/H49</f>
        <v>0.89884524946558908</v>
      </c>
    </row>
    <row r="138" spans="2:6" x14ac:dyDescent="0.2">
      <c r="B138" s="215">
        <f ca="1">H49</f>
        <v>109.73285922171284</v>
      </c>
      <c r="C138" s="216">
        <f ca="1">Alt_para-V_para*(H49-T_para)</f>
        <v>0</v>
      </c>
      <c r="E138" s="237" t="s">
        <v>174</v>
      </c>
      <c r="F138" s="238">
        <f ca="1">V_para*(H49-T_para)/Alt_para</f>
        <v>1</v>
      </c>
    </row>
    <row r="140" spans="2:6" x14ac:dyDescent="0.2">
      <c r="B140" s="210" t="s">
        <v>51</v>
      </c>
      <c r="C140" s="211" t="s">
        <v>46</v>
      </c>
    </row>
    <row r="141" spans="2:6" x14ac:dyDescent="0.2">
      <c r="B141" s="217" t="b">
        <f>IF(Nb_sat="1 satellite",X_satellite)</f>
        <v>0</v>
      </c>
      <c r="C141" s="214" t="b">
        <f>IF(Nb_sat="1 satellite",Alt_sat)</f>
        <v>0</v>
      </c>
    </row>
    <row r="142" spans="2:6" x14ac:dyDescent="0.2">
      <c r="B142" s="217" t="b">
        <f>IF(Nb_sat="1 satellite",X_satellite)</f>
        <v>0</v>
      </c>
      <c r="C142" s="214" t="b">
        <f>IF(Nb_sat="1 satellite",Alt_sat*1/4)</f>
        <v>0</v>
      </c>
    </row>
    <row r="143" spans="2:6" x14ac:dyDescent="0.2">
      <c r="B143" s="217" t="b">
        <f>IF(Nb_sat="1 satellite",X_satellite)</f>
        <v>0</v>
      </c>
      <c r="C143" s="214" t="b">
        <f>IF(Nb_sat="1 satellite",0)</f>
        <v>0</v>
      </c>
    </row>
    <row r="144" spans="2:6" x14ac:dyDescent="0.2">
      <c r="B144" s="217" t="b">
        <f>IF(Nb_sat="1 satellite",X_satellite+Alt_sat/40)</f>
        <v>0</v>
      </c>
      <c r="C144" s="214" t="b">
        <f>IF(Nb_sat="1 satellite",Alt_sat/20)</f>
        <v>0</v>
      </c>
    </row>
    <row r="145" spans="2:6" x14ac:dyDescent="0.2">
      <c r="B145" s="217" t="b">
        <f>IF(Nb_sat="1 satellite",X_satellite)</f>
        <v>0</v>
      </c>
      <c r="C145" s="214" t="b">
        <f>IF(Nb_sat="1 satellite",0)</f>
        <v>0</v>
      </c>
    </row>
    <row r="146" spans="2:6" x14ac:dyDescent="0.2">
      <c r="B146" s="217" t="b">
        <f>IF(Nb_sat="1 satellite",X_satellite-Alt_sat/40)</f>
        <v>0</v>
      </c>
      <c r="C146" s="214" t="b">
        <f>IF(Nb_sat="1 satellite",Alt_sat/20)</f>
        <v>0</v>
      </c>
    </row>
    <row r="147" spans="2:6" x14ac:dyDescent="0.2">
      <c r="B147" s="218" t="b">
        <f>IF(Nb_sat="1 satellite",X_satellite)</f>
        <v>0</v>
      </c>
      <c r="C147" s="214" t="b">
        <f>IF(Nb_sat="1 satellite",0)</f>
        <v>0</v>
      </c>
    </row>
    <row r="148" spans="2:6" x14ac:dyDescent="0.2">
      <c r="B148" s="210" t="s">
        <v>50</v>
      </c>
      <c r="C148" s="211" t="s">
        <v>46</v>
      </c>
    </row>
    <row r="149" spans="2:6" x14ac:dyDescent="0.2">
      <c r="B149" s="213" t="b">
        <f>IF(Nb_sat="1 satellite",T_satellite)</f>
        <v>0</v>
      </c>
      <c r="C149" s="214" t="b">
        <f>IF(Nb_sat="1 satellite",Alt_sat)</f>
        <v>0</v>
      </c>
      <c r="D149" s="221"/>
    </row>
    <row r="150" spans="2:6" x14ac:dyDescent="0.2">
      <c r="B150" s="213">
        <f>(B149+B151)/2</f>
        <v>0</v>
      </c>
      <c r="C150" s="214">
        <f>(C149+C151)/2</f>
        <v>0</v>
      </c>
      <c r="D150" s="221"/>
    </row>
    <row r="151" spans="2:6" x14ac:dyDescent="0.2">
      <c r="B151" s="213" t="b">
        <f>IF(Nb_sat="1 satellite",H51)</f>
        <v>0</v>
      </c>
      <c r="C151" s="214" t="b">
        <f>IF(Nb_sat="1 satellite",0)</f>
        <v>0</v>
      </c>
    </row>
    <row r="152" spans="2:6" x14ac:dyDescent="0.2">
      <c r="B152" s="213" t="b">
        <f>IF(Nb_sat="1 satellite",H51+E133*sS/2*zZ_sat-E134*sS*tT_sat)</f>
        <v>0</v>
      </c>
      <c r="C152" s="214" t="b">
        <f>IF(Nb_sat="1 satellite",Alt_sat-V_satellite*(H51-T_satellite)+E133*sS*Altitude_culmi/H51*zZ_sat+E134*sS/2*Altitude_culmi/H51*tT_sat)</f>
        <v>0</v>
      </c>
      <c r="D152" s="221"/>
    </row>
    <row r="153" spans="2:6" x14ac:dyDescent="0.2">
      <c r="B153" s="213" t="b">
        <f>IF(Nb_sat="1 satellite",H51)</f>
        <v>0</v>
      </c>
      <c r="C153" s="214" t="b">
        <f>IF(Nb_sat="1 satellite",0)</f>
        <v>0</v>
      </c>
    </row>
    <row r="154" spans="2:6" x14ac:dyDescent="0.2">
      <c r="B154" s="213" t="b">
        <f>IF(Nb_sat="1 satellite",H51-sS/2*zZ_sat-E134*sS*tT_sat)</f>
        <v>0</v>
      </c>
      <c r="C154" s="214" t="b">
        <f>IF(Nb_sat="1 satellite",Alt_sat-V_satellite*(H51-T_satellite)+E133*sS*Altitude_culmi/H51*zZ_sat-E134*sS/2*Altitude_culmi/H51*tT_sat)</f>
        <v>0</v>
      </c>
      <c r="E154" s="239" t="s">
        <v>173</v>
      </c>
      <c r="F154" s="240">
        <f ca="1">(T_balistique-T_satellite)/T_balistique</f>
        <v>0.83566433566433651</v>
      </c>
    </row>
    <row r="155" spans="2:6" x14ac:dyDescent="0.2">
      <c r="B155" s="215" t="b">
        <f>IF(Nb_sat="1 satellite",H51)</f>
        <v>0</v>
      </c>
      <c r="C155" s="216" t="b">
        <f>IF(Nb_sat="1 satellite",0)</f>
        <v>0</v>
      </c>
      <c r="E155" s="237" t="s">
        <v>174</v>
      </c>
      <c r="F155" s="238">
        <f ca="1">V_satellite*(T_balistique-T_satellite)/Alt_sat</f>
        <v>0.29251804326557479</v>
      </c>
    </row>
    <row r="157" spans="2:6" x14ac:dyDescent="0.2">
      <c r="B157" s="210" t="s">
        <v>2</v>
      </c>
      <c r="C157" s="228" t="s">
        <v>29</v>
      </c>
      <c r="D157" s="211" t="s">
        <v>3</v>
      </c>
    </row>
    <row r="158" spans="2:6" x14ac:dyDescent="0.2">
      <c r="B158" s="231">
        <f>T_para/4</f>
        <v>2.7749999999999999</v>
      </c>
      <c r="C158" s="82">
        <f ca="1">Alt_para/2</f>
        <v>593.22750827589994</v>
      </c>
      <c r="D158" s="214">
        <f ca="1">X_para/4</f>
        <v>105.82249473836634</v>
      </c>
    </row>
    <row r="159" spans="2:6" x14ac:dyDescent="0.2">
      <c r="B159" s="229">
        <f ca="1">Temps_culmi + (T_balistique-Temps_culmi)/2</f>
        <v>19.350000000000058</v>
      </c>
      <c r="C159" s="230">
        <f ca="1">Altitude_culmi/2</f>
        <v>595.25094629909063</v>
      </c>
      <c r="D159" s="216">
        <f ca="1">X_culmi+(Portee_balistique-X_culmi)*2/3</f>
        <v>586.32674558482279</v>
      </c>
    </row>
    <row r="161" spans="2:6" x14ac:dyDescent="0.2">
      <c r="B161" s="210" t="s">
        <v>304</v>
      </c>
      <c r="C161" s="228" t="s">
        <v>303</v>
      </c>
      <c r="D161" s="422" t="s">
        <v>305</v>
      </c>
    </row>
    <row r="162" spans="2:6" x14ac:dyDescent="0.2">
      <c r="B162" s="231" t="e">
        <f ca="1">IF(AND(Altitude_culmi&gt;80, Altitude_culmi&lt;=350), 49, NA())</f>
        <v>#N/A</v>
      </c>
      <c r="C162" s="5">
        <v>0</v>
      </c>
      <c r="D162" s="82">
        <f t="shared" ref="D162:D177" ca="1" si="0">X_culmi+C162</f>
        <v>401.90974781648515</v>
      </c>
      <c r="E162" s="422"/>
      <c r="F162" s="423" t="s">
        <v>305</v>
      </c>
    </row>
    <row r="163" spans="2:6" x14ac:dyDescent="0.2">
      <c r="B163" s="231" t="e">
        <f ca="1">IF(AND(Altitude_culmi&gt;80, Altitude_culmi&lt;=350), 49, NA())</f>
        <v>#N/A</v>
      </c>
      <c r="C163" s="5">
        <v>23</v>
      </c>
      <c r="D163" s="82">
        <f t="shared" ca="1" si="0"/>
        <v>424.90974781648515</v>
      </c>
      <c r="E163" s="82"/>
      <c r="F163" s="214">
        <f t="shared" ref="F163:F178" ca="1" si="1">X_culmi-C162</f>
        <v>401.90974781648515</v>
      </c>
    </row>
    <row r="164" spans="2:6" x14ac:dyDescent="0.2">
      <c r="B164" s="231" t="e">
        <f ca="1">IF(AND(Altitude_culmi&gt;80, Altitude_culmi&lt;=350), 43, NA())</f>
        <v>#N/A</v>
      </c>
      <c r="C164" s="5">
        <v>23</v>
      </c>
      <c r="D164" s="82">
        <f t="shared" ca="1" si="0"/>
        <v>424.90974781648515</v>
      </c>
      <c r="E164" s="82"/>
      <c r="F164" s="214">
        <f t="shared" ca="1" si="1"/>
        <v>378.90974781648515</v>
      </c>
    </row>
    <row r="165" spans="2:6" x14ac:dyDescent="0.2">
      <c r="B165" s="231" t="e">
        <f ca="1">IF(AND(Altitude_culmi&gt;80, Altitude_culmi&lt;=350), 43, NA())</f>
        <v>#N/A</v>
      </c>
      <c r="C165" s="5">
        <v>0</v>
      </c>
      <c r="D165" s="82">
        <f t="shared" ca="1" si="0"/>
        <v>401.90974781648515</v>
      </c>
      <c r="E165" s="82"/>
      <c r="F165" s="214">
        <f t="shared" ca="1" si="1"/>
        <v>378.90974781648515</v>
      </c>
    </row>
    <row r="166" spans="2:6" x14ac:dyDescent="0.2">
      <c r="B166" s="231" t="e">
        <f ca="1">IF(AND(Altitude_culmi&gt;80, Altitude_culmi&lt;=350), 43, NA())</f>
        <v>#N/A</v>
      </c>
      <c r="C166" s="5">
        <v>23</v>
      </c>
      <c r="D166" s="82">
        <f t="shared" ca="1" si="0"/>
        <v>424.90974781648515</v>
      </c>
      <c r="E166" s="82"/>
      <c r="F166" s="214">
        <f t="shared" ca="1" si="1"/>
        <v>401.90974781648515</v>
      </c>
    </row>
    <row r="167" spans="2:6" x14ac:dyDescent="0.2">
      <c r="B167" s="231" t="e">
        <f ca="1">IF(AND(Altitude_culmi&gt;80, Altitude_culmi&lt;=350), 0.5, NA())</f>
        <v>#N/A</v>
      </c>
      <c r="C167" s="5">
        <v>23</v>
      </c>
      <c r="D167" s="82">
        <f t="shared" ca="1" si="0"/>
        <v>424.90974781648515</v>
      </c>
      <c r="E167" s="82"/>
      <c r="F167" s="214">
        <f t="shared" ca="1" si="1"/>
        <v>378.90974781648515</v>
      </c>
    </row>
    <row r="168" spans="2:6" x14ac:dyDescent="0.2">
      <c r="B168" s="231" t="e">
        <f ca="1">IF(AND(Altitude_culmi&gt;80, Altitude_culmi&lt;=350), 0.5, NA())</f>
        <v>#N/A</v>
      </c>
      <c r="C168" s="5">
        <v>8</v>
      </c>
      <c r="D168" s="82">
        <f t="shared" ca="1" si="0"/>
        <v>409.90974781648515</v>
      </c>
      <c r="E168" s="82"/>
      <c r="F168" s="214">
        <f t="shared" ca="1" si="1"/>
        <v>378.90974781648515</v>
      </c>
    </row>
    <row r="169" spans="2:6" x14ac:dyDescent="0.2">
      <c r="B169" s="231" t="e">
        <f ca="1">IF(AND(Altitude_culmi&gt;80, Altitude_culmi&lt;=350), 27, NA())</f>
        <v>#N/A</v>
      </c>
      <c r="C169" s="5">
        <v>8</v>
      </c>
      <c r="D169" s="82">
        <f t="shared" ca="1" si="0"/>
        <v>409.90974781648515</v>
      </c>
      <c r="E169" s="82"/>
      <c r="F169" s="214">
        <f t="shared" ca="1" si="1"/>
        <v>393.90974781648515</v>
      </c>
    </row>
    <row r="170" spans="2:6" x14ac:dyDescent="0.2">
      <c r="B170" s="231" t="e">
        <f ca="1">IF(AND(Altitude_culmi&gt;80, Altitude_culmi&lt;=350), 27, NA())</f>
        <v>#N/A</v>
      </c>
      <c r="C170" s="5">
        <v>23</v>
      </c>
      <c r="D170" s="82">
        <f t="shared" ca="1" si="0"/>
        <v>424.90974781648515</v>
      </c>
      <c r="E170" s="82"/>
      <c r="F170" s="214">
        <f t="shared" ca="1" si="1"/>
        <v>393.90974781648515</v>
      </c>
    </row>
    <row r="171" spans="2:6" x14ac:dyDescent="0.2">
      <c r="B171" s="231" t="e">
        <f ca="1">IF(AND(Altitude_culmi&gt;80, Altitude_culmi&lt;=350), 27, NA())</f>
        <v>#N/A</v>
      </c>
      <c r="C171" s="5">
        <v>8</v>
      </c>
      <c r="D171" s="82">
        <f t="shared" ca="1" si="0"/>
        <v>409.90974781648515</v>
      </c>
      <c r="E171" s="82"/>
      <c r="F171" s="214">
        <f t="shared" ca="1" si="1"/>
        <v>378.90974781648515</v>
      </c>
    </row>
    <row r="172" spans="2:6" x14ac:dyDescent="0.2">
      <c r="B172" s="231" t="e">
        <f ca="1">IF(AND(Altitude_culmi&gt;80, Altitude_culmi&lt;=350), 29, NA())</f>
        <v>#N/A</v>
      </c>
      <c r="C172" s="5">
        <v>7.6</v>
      </c>
      <c r="D172" s="82">
        <f t="shared" ca="1" si="0"/>
        <v>409.50974781648517</v>
      </c>
      <c r="E172" s="82"/>
      <c r="F172" s="214">
        <f t="shared" ca="1" si="1"/>
        <v>393.90974781648515</v>
      </c>
    </row>
    <row r="173" spans="2:6" x14ac:dyDescent="0.2">
      <c r="B173" s="231" t="e">
        <f ca="1">IF(AND(Altitude_culmi&gt;80, Altitude_culmi&lt;=350), 31, NA())</f>
        <v>#N/A</v>
      </c>
      <c r="C173" s="5">
        <v>6.8</v>
      </c>
      <c r="D173" s="82">
        <f t="shared" ca="1" si="0"/>
        <v>408.70974781648516</v>
      </c>
      <c r="E173" s="82"/>
      <c r="F173" s="214">
        <f t="shared" ca="1" si="1"/>
        <v>394.30974781648513</v>
      </c>
    </row>
    <row r="174" spans="2:6" x14ac:dyDescent="0.2">
      <c r="B174" s="231" t="e">
        <f ca="1">IF(AND(Altitude_culmi&gt;80, Altitude_culmi&lt;=350), 32, NA())</f>
        <v>#N/A</v>
      </c>
      <c r="C174" s="5">
        <v>6</v>
      </c>
      <c r="D174" s="82">
        <f t="shared" ca="1" si="0"/>
        <v>407.90974781648515</v>
      </c>
      <c r="E174" s="82"/>
      <c r="F174" s="214">
        <f t="shared" ca="1" si="1"/>
        <v>395.10974781648514</v>
      </c>
    </row>
    <row r="175" spans="2:6" x14ac:dyDescent="0.2">
      <c r="B175" s="231" t="e">
        <f ca="1">IF(AND(Altitude_culmi&gt;80, Altitude_culmi&lt;=350), 33, NA())</f>
        <v>#N/A</v>
      </c>
      <c r="C175" s="5">
        <v>5</v>
      </c>
      <c r="D175" s="82">
        <f t="shared" ca="1" si="0"/>
        <v>406.90974781648515</v>
      </c>
      <c r="E175" s="82"/>
      <c r="F175" s="214">
        <f t="shared" ca="1" si="1"/>
        <v>395.90974781648515</v>
      </c>
    </row>
    <row r="176" spans="2:6" x14ac:dyDescent="0.2">
      <c r="B176" s="231" t="e">
        <f ca="1">IF(AND(Altitude_culmi&gt;80, Altitude_culmi&lt;=350), 34, NA())</f>
        <v>#N/A</v>
      </c>
      <c r="C176" s="5">
        <v>3.8</v>
      </c>
      <c r="D176" s="82">
        <f t="shared" ca="1" si="0"/>
        <v>405.70974781648516</v>
      </c>
      <c r="E176" s="82"/>
      <c r="F176" s="214">
        <f t="shared" ca="1" si="1"/>
        <v>396.90974781648515</v>
      </c>
    </row>
    <row r="177" spans="2:6" x14ac:dyDescent="0.2">
      <c r="B177" s="229" t="e">
        <f ca="1">IF(AND(Altitude_culmi&gt;80, Altitude_culmi&lt;=350), 35, NA())</f>
        <v>#N/A</v>
      </c>
      <c r="C177" s="421">
        <v>0</v>
      </c>
      <c r="D177" s="230">
        <f t="shared" ca="1" si="0"/>
        <v>401.90974781648515</v>
      </c>
      <c r="E177" s="82"/>
      <c r="F177" s="214">
        <f t="shared" ca="1" si="1"/>
        <v>398.10974781648514</v>
      </c>
    </row>
    <row r="178" spans="2:6" x14ac:dyDescent="0.2">
      <c r="E178" s="230"/>
      <c r="F178" s="216">
        <f t="shared" ca="1" si="1"/>
        <v>401.90974781648515</v>
      </c>
    </row>
    <row r="179" spans="2:6" x14ac:dyDescent="0.2">
      <c r="B179" s="210" t="s">
        <v>306</v>
      </c>
      <c r="C179" s="228" t="s">
        <v>307</v>
      </c>
      <c r="D179" s="228" t="s">
        <v>308</v>
      </c>
    </row>
    <row r="180" spans="2:6" x14ac:dyDescent="0.2">
      <c r="B180" s="231">
        <f ca="1">IF(Altitude_culmi&gt;350, 324, NA())</f>
        <v>324</v>
      </c>
      <c r="C180" s="5">
        <v>0</v>
      </c>
      <c r="D180" s="82">
        <f t="shared" ref="D180:D200" ca="1" si="2">X_culmi+C180</f>
        <v>401.90974781648515</v>
      </c>
      <c r="E180" s="228"/>
      <c r="F180" s="211" t="s">
        <v>308</v>
      </c>
    </row>
    <row r="181" spans="2:6" x14ac:dyDescent="0.2">
      <c r="B181" s="231">
        <f ca="1">IF(Altitude_culmi&gt;350, 300, NA())</f>
        <v>300</v>
      </c>
      <c r="C181" s="5">
        <v>0</v>
      </c>
      <c r="D181" s="82">
        <f t="shared" ca="1" si="2"/>
        <v>401.90974781648515</v>
      </c>
      <c r="E181" s="82"/>
      <c r="F181" s="214">
        <f t="shared" ref="F181:F201" ca="1" si="3">X_culmi-C180</f>
        <v>401.90974781648515</v>
      </c>
    </row>
    <row r="182" spans="2:6" x14ac:dyDescent="0.2">
      <c r="B182" s="231">
        <f ca="1">IF(Altitude_culmi&gt;350, 280, NA())</f>
        <v>280</v>
      </c>
      <c r="C182" s="5">
        <v>10</v>
      </c>
      <c r="D182" s="82">
        <f t="shared" ca="1" si="2"/>
        <v>411.90974781648515</v>
      </c>
      <c r="E182" s="82"/>
      <c r="F182" s="214">
        <f t="shared" ca="1" si="3"/>
        <v>401.90974781648515</v>
      </c>
    </row>
    <row r="183" spans="2:6" x14ac:dyDescent="0.2">
      <c r="B183" s="231">
        <f ca="1">IF(Altitude_culmi&gt;350, 280, NA())</f>
        <v>280</v>
      </c>
      <c r="C183" s="5">
        <v>0</v>
      </c>
      <c r="D183" s="82">
        <f t="shared" ca="1" si="2"/>
        <v>401.90974781648515</v>
      </c>
      <c r="E183" s="82"/>
      <c r="F183" s="214">
        <f t="shared" ca="1" si="3"/>
        <v>391.90974781648515</v>
      </c>
    </row>
    <row r="184" spans="2:6" x14ac:dyDescent="0.2">
      <c r="B184" s="231">
        <f ca="1">IF(Altitude_culmi&gt;350, 280, NA())</f>
        <v>280</v>
      </c>
      <c r="C184" s="5">
        <v>10</v>
      </c>
      <c r="D184" s="82">
        <f t="shared" ca="1" si="2"/>
        <v>411.90974781648515</v>
      </c>
      <c r="E184" s="82"/>
      <c r="F184" s="214">
        <f t="shared" ca="1" si="3"/>
        <v>401.90974781648515</v>
      </c>
    </row>
    <row r="185" spans="2:6" x14ac:dyDescent="0.2">
      <c r="B185" s="231">
        <f ca="1">IF(Altitude_culmi&gt;350, 200, NA())</f>
        <v>200</v>
      </c>
      <c r="C185" s="5">
        <v>13</v>
      </c>
      <c r="D185" s="82">
        <f t="shared" ca="1" si="2"/>
        <v>414.90974781648515</v>
      </c>
      <c r="E185" s="82"/>
      <c r="F185" s="214">
        <f t="shared" ca="1" si="3"/>
        <v>391.90974781648515</v>
      </c>
    </row>
    <row r="186" spans="2:6" x14ac:dyDescent="0.2">
      <c r="B186" s="231">
        <f ca="1">IF(Altitude_culmi&gt;350, 160, NA())</f>
        <v>160</v>
      </c>
      <c r="C186" s="5">
        <v>17</v>
      </c>
      <c r="D186" s="82">
        <f t="shared" ca="1" si="2"/>
        <v>418.90974781648515</v>
      </c>
      <c r="E186" s="82"/>
      <c r="F186" s="214">
        <f t="shared" ca="1" si="3"/>
        <v>388.90974781648515</v>
      </c>
    </row>
    <row r="187" spans="2:6" x14ac:dyDescent="0.2">
      <c r="B187" s="231">
        <f ca="1">IF(Altitude_culmi&gt;350, 115, NA())</f>
        <v>115</v>
      </c>
      <c r="C187" s="5">
        <v>20</v>
      </c>
      <c r="D187" s="82">
        <f t="shared" ca="1" si="2"/>
        <v>421.90974781648515</v>
      </c>
      <c r="E187" s="82"/>
      <c r="F187" s="214">
        <f t="shared" ca="1" si="3"/>
        <v>384.90974781648515</v>
      </c>
    </row>
    <row r="188" spans="2:6" x14ac:dyDescent="0.2">
      <c r="B188" s="231">
        <f ca="1">IF(Altitude_culmi&gt;350, 90, NA())</f>
        <v>90</v>
      </c>
      <c r="C188" s="5">
        <v>25</v>
      </c>
      <c r="D188" s="82">
        <f t="shared" ca="1" si="2"/>
        <v>426.90974781648515</v>
      </c>
      <c r="E188" s="82"/>
      <c r="F188" s="214">
        <f t="shared" ca="1" si="3"/>
        <v>381.90974781648515</v>
      </c>
    </row>
    <row r="189" spans="2:6" x14ac:dyDescent="0.2">
      <c r="B189" s="231">
        <f ca="1">IF(Altitude_culmi&gt;350, 57, NA())</f>
        <v>57</v>
      </c>
      <c r="C189" s="5">
        <v>30</v>
      </c>
      <c r="D189" s="82">
        <f t="shared" ca="1" si="2"/>
        <v>431.90974781648515</v>
      </c>
      <c r="E189" s="82"/>
      <c r="F189" s="214">
        <f t="shared" ca="1" si="3"/>
        <v>376.90974781648515</v>
      </c>
    </row>
    <row r="190" spans="2:6" x14ac:dyDescent="0.2">
      <c r="B190" s="231">
        <f ca="1">IF(Altitude_culmi&gt;350, 40, NA())</f>
        <v>40</v>
      </c>
      <c r="C190" s="5">
        <v>36</v>
      </c>
      <c r="D190" s="82">
        <f t="shared" ca="1" si="2"/>
        <v>437.90974781648515</v>
      </c>
      <c r="E190" s="82"/>
      <c r="F190" s="214">
        <f t="shared" ca="1" si="3"/>
        <v>371.90974781648515</v>
      </c>
    </row>
    <row r="191" spans="2:6" x14ac:dyDescent="0.2">
      <c r="B191" s="231">
        <f ca="1">IF(Altitude_culmi&gt;350, 20, NA())</f>
        <v>20</v>
      </c>
      <c r="C191" s="5">
        <v>48</v>
      </c>
      <c r="D191" s="82">
        <f t="shared" ca="1" si="2"/>
        <v>449.90974781648515</v>
      </c>
      <c r="E191" s="82"/>
      <c r="F191" s="214">
        <f t="shared" ca="1" si="3"/>
        <v>365.90974781648515</v>
      </c>
    </row>
    <row r="192" spans="2:6" x14ac:dyDescent="0.2">
      <c r="B192" s="231">
        <f ca="1">IF(Altitude_culmi&gt;350, 0.5, NA())</f>
        <v>0.5</v>
      </c>
      <c r="C192" s="5">
        <v>62</v>
      </c>
      <c r="D192" s="82">
        <f t="shared" ca="1" si="2"/>
        <v>463.90974781648515</v>
      </c>
      <c r="E192" s="82"/>
      <c r="F192" s="214">
        <f t="shared" ca="1" si="3"/>
        <v>353.90974781648515</v>
      </c>
    </row>
    <row r="193" spans="2:6" x14ac:dyDescent="0.2">
      <c r="B193" s="231">
        <f ca="1">IF(Altitude_culmi&gt;350, 0.5, NA())</f>
        <v>0.5</v>
      </c>
      <c r="C193" s="5">
        <v>37</v>
      </c>
      <c r="D193" s="82">
        <f t="shared" ca="1" si="2"/>
        <v>438.90974781648515</v>
      </c>
      <c r="E193" s="82"/>
      <c r="F193" s="214">
        <f t="shared" ca="1" si="3"/>
        <v>339.90974781648515</v>
      </c>
    </row>
    <row r="194" spans="2:6" x14ac:dyDescent="0.2">
      <c r="B194" s="231">
        <f ca="1">IF(Altitude_culmi&gt;350, 15, NA())</f>
        <v>15</v>
      </c>
      <c r="C194" s="5">
        <v>30</v>
      </c>
      <c r="D194" s="82">
        <f t="shared" ca="1" si="2"/>
        <v>431.90974781648515</v>
      </c>
      <c r="E194" s="82"/>
      <c r="F194" s="214">
        <f t="shared" ca="1" si="3"/>
        <v>364.90974781648515</v>
      </c>
    </row>
    <row r="195" spans="2:6" x14ac:dyDescent="0.2">
      <c r="B195" s="231">
        <f ca="1">IF(Altitude_culmi&gt;350, 30, NA())</f>
        <v>30</v>
      </c>
      <c r="C195" s="5">
        <v>15</v>
      </c>
      <c r="D195" s="82">
        <f t="shared" ca="1" si="2"/>
        <v>416.90974781648515</v>
      </c>
      <c r="E195" s="82"/>
      <c r="F195" s="214">
        <f t="shared" ca="1" si="3"/>
        <v>371.90974781648515</v>
      </c>
    </row>
    <row r="196" spans="2:6" x14ac:dyDescent="0.2">
      <c r="B196" s="231">
        <f ca="1">IF(Altitude_culmi&gt;350, 37, NA())</f>
        <v>37</v>
      </c>
      <c r="C196" s="5">
        <v>0</v>
      </c>
      <c r="D196" s="82">
        <f t="shared" ca="1" si="2"/>
        <v>401.90974781648515</v>
      </c>
      <c r="E196" s="82"/>
      <c r="F196" s="214">
        <f t="shared" ca="1" si="3"/>
        <v>386.90974781648515</v>
      </c>
    </row>
    <row r="197" spans="2:6" x14ac:dyDescent="0.2">
      <c r="B197" s="231">
        <f ca="1">IF(Altitude_culmi&gt;350, 67, NA())</f>
        <v>67</v>
      </c>
      <c r="C197" s="5">
        <v>0</v>
      </c>
      <c r="D197" s="82">
        <f t="shared" ca="1" si="2"/>
        <v>401.90974781648515</v>
      </c>
      <c r="E197" s="82"/>
      <c r="F197" s="214">
        <f t="shared" ca="1" si="3"/>
        <v>401.90974781648515</v>
      </c>
    </row>
    <row r="198" spans="2:6" x14ac:dyDescent="0.2">
      <c r="B198" s="231">
        <f ca="1">IF(Altitude_culmi&gt;350, 67, NA())</f>
        <v>67</v>
      </c>
      <c r="C198" s="5">
        <v>17</v>
      </c>
      <c r="D198" s="82">
        <f t="shared" ca="1" si="2"/>
        <v>418.90974781648515</v>
      </c>
      <c r="E198" s="82"/>
      <c r="F198" s="214">
        <f t="shared" ca="1" si="3"/>
        <v>401.90974781648515</v>
      </c>
    </row>
    <row r="199" spans="2:6" x14ac:dyDescent="0.2">
      <c r="B199" s="231">
        <f ca="1">IF(Altitude_culmi&gt;350, 100, NA())</f>
        <v>100</v>
      </c>
      <c r="C199" s="5">
        <v>11</v>
      </c>
      <c r="D199" s="82">
        <f t="shared" ca="1" si="2"/>
        <v>412.90974781648515</v>
      </c>
      <c r="E199" s="82"/>
      <c r="F199" s="214">
        <f t="shared" ca="1" si="3"/>
        <v>384.90974781648515</v>
      </c>
    </row>
    <row r="200" spans="2:6" x14ac:dyDescent="0.2">
      <c r="B200" s="229">
        <f ca="1">IF(Altitude_culmi&gt;350, 100, NA())</f>
        <v>100</v>
      </c>
      <c r="C200" s="421">
        <v>0</v>
      </c>
      <c r="D200" s="230">
        <f t="shared" ca="1" si="2"/>
        <v>401.90974781648515</v>
      </c>
      <c r="E200" s="82"/>
      <c r="F200" s="214">
        <f t="shared" ca="1" si="3"/>
        <v>390.90974781648515</v>
      </c>
    </row>
    <row r="201" spans="2:6" x14ac:dyDescent="0.2">
      <c r="E201" s="230"/>
      <c r="F201" s="216">
        <f t="shared" ca="1" si="3"/>
        <v>401.90974781648515</v>
      </c>
    </row>
  </sheetData>
  <sheetProtection algorithmName="SHA-512" hashValue="54/g8dQ2RC65LqncMwJ2cd0LY+Ermcd3MHxRhdQ+5eIlTGzg9ayjpzMYUZU3QN55EKjPPfR4x04d0m+MFsILQw==" saltValue="8KZEyW6NBSE9XCBw0cMAWg==" spinCount="100000" sheet="1" objects="1" scenarios="1"/>
  <protectedRanges>
    <protectedRange sqref="C26" name="Plage1"/>
  </protectedRanges>
  <mergeCells count="43">
    <mergeCell ref="F51:G51"/>
    <mergeCell ref="F42:G42"/>
    <mergeCell ref="F43:G43"/>
    <mergeCell ref="F44:G44"/>
    <mergeCell ref="F45:G45"/>
    <mergeCell ref="F50:G50"/>
    <mergeCell ref="F46:G46"/>
    <mergeCell ref="F47:G47"/>
    <mergeCell ref="F49:G49"/>
    <mergeCell ref="F48:G48"/>
    <mergeCell ref="C16:D16"/>
    <mergeCell ref="C11:D11"/>
    <mergeCell ref="C20:D20"/>
    <mergeCell ref="C21:D21"/>
    <mergeCell ref="C12:D12"/>
    <mergeCell ref="C14:D14"/>
    <mergeCell ref="C15:D15"/>
    <mergeCell ref="C19:D19"/>
    <mergeCell ref="C23:D23"/>
    <mergeCell ref="C18:D18"/>
    <mergeCell ref="F24:G24"/>
    <mergeCell ref="F28:G28"/>
    <mergeCell ref="F27:G27"/>
    <mergeCell ref="F25:G25"/>
    <mergeCell ref="F26:G26"/>
    <mergeCell ref="H35:I35"/>
    <mergeCell ref="H34:I34"/>
    <mergeCell ref="F29:G29"/>
    <mergeCell ref="H33:I33"/>
    <mergeCell ref="A40:D40"/>
    <mergeCell ref="H36:I36"/>
    <mergeCell ref="F36:G36"/>
    <mergeCell ref="F35:G35"/>
    <mergeCell ref="F34:G34"/>
    <mergeCell ref="F40:G40"/>
    <mergeCell ref="C10:D10"/>
    <mergeCell ref="C5:D5"/>
    <mergeCell ref="C2:D3"/>
    <mergeCell ref="C7:D7"/>
    <mergeCell ref="C8:D8"/>
    <mergeCell ref="C9:D9"/>
    <mergeCell ref="C6:D6"/>
    <mergeCell ref="C4:D4"/>
  </mergeCells>
  <phoneticPr fontId="8" type="noConversion"/>
  <conditionalFormatting sqref="C27">
    <cfRule type="expression" dxfId="25" priority="247" stopIfTrue="1">
      <formula>NOT(OR(C26=F110,C26=F104))</formula>
    </cfRule>
  </conditionalFormatting>
  <conditionalFormatting sqref="C32">
    <cfRule type="cellIs" dxfId="24" priority="42" stopIfTrue="1" operator="notBetween">
      <formula>5</formula>
      <formula>15</formula>
    </cfRule>
  </conditionalFormatting>
  <conditionalFormatting sqref="D25">
    <cfRule type="expression" dxfId="23" priority="39" stopIfTrue="1">
      <formula>Nb_sat="0 satellite"</formula>
    </cfRule>
  </conditionalFormatting>
  <conditionalFormatting sqref="D26">
    <cfRule type="expression" dxfId="22" priority="2" stopIfTrue="1">
      <formula>Nb_sat="0 satellite"</formula>
    </cfRule>
  </conditionalFormatting>
  <conditionalFormatting sqref="D27:D31 D33:D35">
    <cfRule type="expression" dxfId="21" priority="59" stopIfTrue="1">
      <formula>Nb_sat="0 satellite"</formula>
    </cfRule>
  </conditionalFormatting>
  <conditionalFormatting sqref="D32">
    <cfRule type="expression" dxfId="20" priority="40" stopIfTrue="1">
      <formula>Nb_sat="0 satellite"</formula>
    </cfRule>
    <cfRule type="cellIs" dxfId="19" priority="49" stopIfTrue="1" operator="notBetween">
      <formula>5</formula>
      <formula>15</formula>
    </cfRule>
  </conditionalFormatting>
  <conditionalFormatting sqref="F26">
    <cfRule type="expression" dxfId="18" priority="26" stopIfTrue="1">
      <formula>Nb_sat="0 satellite"</formula>
    </cfRule>
  </conditionalFormatting>
  <conditionalFormatting sqref="F36:I36 F50:M50">
    <cfRule type="expression" dxfId="17" priority="22" stopIfTrue="1">
      <formula>Nb_sat="0 satellite"</formula>
    </cfRule>
  </conditionalFormatting>
  <conditionalFormatting sqref="F51:M51">
    <cfRule type="expression" dxfId="16" priority="21" stopIfTrue="1">
      <formula>Nb_sat="0 satellite"</formula>
    </cfRule>
  </conditionalFormatting>
  <conditionalFormatting sqref="H28 H48">
    <cfRule type="expression" dxfId="15" priority="4" stopIfTrue="1">
      <formula>ABS(Temps_culmi-T_para)&gt;2</formula>
    </cfRule>
  </conditionalFormatting>
  <conditionalFormatting sqref="H34:I34">
    <cfRule type="cellIs" dxfId="14" priority="14" stopIfTrue="1" operator="equal">
      <formula>"Brun/Orange…"</formula>
    </cfRule>
  </conditionalFormatting>
  <conditionalFormatting sqref="H35:I35">
    <cfRule type="cellIs" dxfId="13" priority="13" stopIfTrue="1" operator="equal">
      <formula>"Rouge…"</formula>
    </cfRule>
  </conditionalFormatting>
  <conditionalFormatting sqref="H26:M26">
    <cfRule type="expression" dxfId="12" priority="41" stopIfTrue="1">
      <formula>Nb_sat="0 satellite"</formula>
    </cfRule>
  </conditionalFormatting>
  <conditionalFormatting sqref="J29 J47">
    <cfRule type="expression" dxfId="11" priority="6" stopIfTrue="1">
      <formula>AND(Portee_balistique&gt;200,LEFT(Type_propu,4)="Mini")</formula>
    </cfRule>
  </conditionalFormatting>
  <conditionalFormatting sqref="K24 K43">
    <cfRule type="expression" dxfId="10" priority="44" stopIfTrue="1">
      <formula>AND(Vsortie_de_rampe&lt;18, OR(LEFT(Type_fusee,1)=",",LEFT(Type_fusee,4)="Mini",LEFT(Type_fusee,1)="R"))</formula>
    </cfRule>
    <cfRule type="expression" dxfId="9" priority="45" stopIfTrue="1">
      <formula>AND(Vsortie_de_rampe&lt;20, RIGHT(Type_fusee,1)=".")</formula>
    </cfRule>
  </conditionalFormatting>
  <conditionalFormatting sqref="K42">
    <cfRule type="expression" dxfId="8" priority="34" stopIfTrue="1">
      <formula>AND( $K$22=0, OR( $I$22&gt;0, $J$22&gt;0 ) )</formula>
    </cfRule>
  </conditionalFormatting>
  <conditionalFormatting sqref="N35">
    <cfRule type="expression" dxfId="7" priority="15" stopIfTrue="1">
      <formula>ROUND(SUM(C24:L36),0)=2221</formula>
    </cfRule>
  </conditionalFormatting>
  <conditionalFormatting sqref="N36">
    <cfRule type="expression" dxfId="6" priority="244" stopIfTrue="1">
      <formula>$N$36="propu NOK"</formula>
    </cfRule>
  </conditionalFormatting>
  <dataValidations count="15">
    <dataValidation type="decimal" operator="greaterThanOrEqual" showErrorMessage="1" sqref="H42:K42 C31 D27:D29 C27" xr:uid="{00000000-0002-0000-0100-000000000000}">
      <formula1>0</formula1>
    </dataValidation>
    <dataValidation type="list" allowBlank="1" showInputMessage="1" showErrorMessage="1" sqref="H52" xr:uid="{00000000-0002-0000-0100-000001000000}">
      <formula1>gao</formula1>
    </dataValidation>
    <dataValidation operator="greaterThanOrEqual" showErrorMessage="1" sqref="D31 C29" xr:uid="{00000000-0002-0000-0100-000002000000}"/>
    <dataValidation type="decimal" errorStyle="warning" allowBlank="1" showErrorMessage="1" errorTitle="Cx para" error="Le Cx du parachute est souvent compris entre 0 et 2._x000a_Cx of parachute might be between 0 a 2." sqref="C30:D30" xr:uid="{00000000-0002-0000-0100-000003000000}">
      <formula1>0</formula1>
      <formula2>2</formula2>
    </dataValidation>
    <dataValidation sqref="C12:D12" xr:uid="{00000000-0002-0000-0100-000004000000}"/>
    <dataValidation operator="greaterThanOrEqual" sqref="C11:D11" xr:uid="{00000000-0002-0000-0100-000005000000}"/>
    <dataValidation type="decimal" errorStyle="warning" showErrorMessage="1" errorTitle="Cx" error="Le Cx est souvent compris entre 0,3 et 0,7._x000a_Cx may be between 0,3 &amp; 0,7." sqref="C16:D16" xr:uid="{00000000-0002-0000-0100-000006000000}">
      <formula1>0.3</formula1>
      <formula2>0.7</formula2>
    </dataValidation>
    <dataValidation type="decimal" operator="greaterThanOrEqual" allowBlank="1" showErrorMessage="1" sqref="C19:D19" xr:uid="{00000000-0002-0000-0100-000007000000}">
      <formula1>0</formula1>
    </dataValidation>
    <dataValidation type="decimal" errorStyle="information" allowBlank="1" showInputMessage="1" showErrorMessage="1" errorTitle="Angle de la rampe" error="Il est conseillé d'incliner à rampe entre 75° et 85° par rapport à l'horizontale._x000a_This Angle is recommended between 75° &amp; 85°." sqref="C20:D20" xr:uid="{00000000-0002-0000-0100-000008000000}">
      <formula1>75</formula1>
      <formula2>85</formula2>
    </dataValidation>
    <dataValidation type="whole" operator="greaterThanOrEqual" allowBlank="1" showErrorMessage="1" sqref="C21:D21" xr:uid="{00000000-0002-0000-0100-000009000000}">
      <formula1>0</formula1>
    </dataValidation>
    <dataValidation type="whole" allowBlank="1" showErrorMessage="1" sqref="M42" xr:uid="{00000000-0002-0000-0100-00000A000000}">
      <formula1>-360</formula1>
      <formula2>360</formula2>
    </dataValidation>
    <dataValidation type="list" showInputMessage="1" showErrorMessage="1" sqref="D24" xr:uid="{00000000-0002-0000-0100-00000B000000}">
      <formula1>Menu_sat</formula1>
    </dataValidation>
    <dataValidation type="whole" operator="greaterThanOrEqual" showErrorMessage="1" sqref="B44 B46 B52 B54" xr:uid="{00000000-0002-0000-0100-00000C000000}">
      <formula1>0</formula1>
    </dataValidation>
    <dataValidation type="list" showInputMessage="1" showErrorMessage="1" sqref="C26" xr:uid="{00000000-0002-0000-0100-00000D000000}">
      <formula1>IF(Depotage&lt;&gt;0,IF(LEFT(Type_propu,5)="Micro",$F$110,$F$105:$F$110),$F$104)</formula1>
    </dataValidation>
    <dataValidation type="list" operator="greaterThanOrEqual" showErrorMessage="1" sqref="C28" xr:uid="{901BEB42-9630-4910-AFF4-B844211D2B99}">
      <formula1>Liste_Type_para</formula1>
    </dataValidation>
  </dataValidations>
  <hyperlinks>
    <hyperlink ref="B12" location="Stabilito!C17" display="Stabilito!C17" xr:uid="{00000000-0004-0000-0100-000000000000}"/>
  </hyperlinks>
  <printOptions horizontalCentered="1" verticalCentered="1"/>
  <pageMargins left="7.874015748031496E-2" right="7.874015748031496E-2" top="7.874015748031496E-2" bottom="7.874015748031496E-2" header="0" footer="0"/>
  <pageSetup paperSize="9" firstPageNumber="0" orientation="landscape" horizontalDpi="300" verticalDpi="300" r:id="rId1"/>
  <headerFooter alignWithMargins="0"/>
  <ignoredErrors>
    <ignoredError sqref="B127:B133 B139:B150 C152 C154 C139:C141 C143:C150 C127:C133" formula="1"/>
    <ignoredError sqref="H46:I46 H49 J46:M46" evalError="1"/>
    <ignoredError sqref="G105:G109" numberStoredAsText="1"/>
    <ignoredError sqref="D25" unlockedFormula="1"/>
  </ignoredErrors>
  <drawing r:id="rId2"/>
  <legacyDrawing r:id="rId3"/>
  <oleObjects>
    <mc:AlternateContent xmlns:mc="http://schemas.openxmlformats.org/markup-compatibility/2006">
      <mc:Choice Requires="x14">
        <oleObject progId="Equation.3" shapeId="1425294" r:id="rId4">
          <objectPr defaultSize="0" autoPict="0" r:id="rId5">
            <anchor moveWithCells="1">
              <from>
                <xdr:col>1</xdr:col>
                <xdr:colOff>28575</xdr:colOff>
                <xdr:row>94</xdr:row>
                <xdr:rowOff>76200</xdr:rowOff>
              </from>
              <to>
                <xdr:col>3</xdr:col>
                <xdr:colOff>762000</xdr:colOff>
                <xdr:row>100</xdr:row>
                <xdr:rowOff>95250</xdr:rowOff>
              </to>
            </anchor>
          </objectPr>
        </oleObject>
      </mc:Choice>
      <mc:Fallback>
        <oleObject progId="Equation.3" shapeId="1425294" r:id="rId4"/>
      </mc:Fallback>
    </mc:AlternateContent>
  </oleObjects>
  <mc:AlternateContent xmlns:mc="http://schemas.openxmlformats.org/markup-compatibility/2006">
    <mc:Choice Requires="x14">
      <controls>
        <mc:AlternateContent xmlns:mc="http://schemas.openxmlformats.org/markup-compatibility/2006">
          <mc:Choice Requires="x14">
            <control shapeId="1424424" r:id="rId6" name="Spinner 1064">
              <controlPr defaultSize="0" print="0" autoPict="0">
                <anchor moveWithCells="1" sizeWithCells="1">
                  <from>
                    <xdr:col>3</xdr:col>
                    <xdr:colOff>647700</xdr:colOff>
                    <xdr:row>9</xdr:row>
                    <xdr:rowOff>161925</xdr:rowOff>
                  </from>
                  <to>
                    <xdr:col>4</xdr:col>
                    <xdr:colOff>0</xdr:colOff>
                    <xdr:row>11</xdr:row>
                    <xdr:rowOff>9525</xdr:rowOff>
                  </to>
                </anchor>
              </controlPr>
            </control>
          </mc:Choice>
        </mc:AlternateContent>
        <mc:AlternateContent xmlns:mc="http://schemas.openxmlformats.org/markup-compatibility/2006">
          <mc:Choice Requires="x14">
            <control shapeId="1424589" r:id="rId7" name="Spinner 1229">
              <controlPr defaultSize="0" print="0" autoPict="0">
                <anchor moveWithCells="1" sizeWithCells="1">
                  <from>
                    <xdr:col>1</xdr:col>
                    <xdr:colOff>1181100</xdr:colOff>
                    <xdr:row>43</xdr:row>
                    <xdr:rowOff>9525</xdr:rowOff>
                  </from>
                  <to>
                    <xdr:col>2</xdr:col>
                    <xdr:colOff>0</xdr:colOff>
                    <xdr:row>44</xdr:row>
                    <xdr:rowOff>0</xdr:rowOff>
                  </to>
                </anchor>
              </controlPr>
            </control>
          </mc:Choice>
        </mc:AlternateContent>
        <mc:AlternateContent xmlns:mc="http://schemas.openxmlformats.org/markup-compatibility/2006">
          <mc:Choice Requires="x14">
            <control shapeId="1424590" r:id="rId8" name="Spinner 1230">
              <controlPr defaultSize="0" print="0" autoPict="0">
                <anchor moveWithCells="1" sizeWithCells="1">
                  <from>
                    <xdr:col>1</xdr:col>
                    <xdr:colOff>1181100</xdr:colOff>
                    <xdr:row>45</xdr:row>
                    <xdr:rowOff>9525</xdr:rowOff>
                  </from>
                  <to>
                    <xdr:col>2</xdr:col>
                    <xdr:colOff>0</xdr:colOff>
                    <xdr:row>46</xdr:row>
                    <xdr:rowOff>0</xdr:rowOff>
                  </to>
                </anchor>
              </controlPr>
            </control>
          </mc:Choice>
        </mc:AlternateContent>
        <mc:AlternateContent xmlns:mc="http://schemas.openxmlformats.org/markup-compatibility/2006">
          <mc:Choice Requires="x14">
            <control shapeId="1424591" r:id="rId9" name="Spinner 1231">
              <controlPr defaultSize="0" print="0" autoPict="0">
                <anchor moveWithCells="1" sizeWithCells="1">
                  <from>
                    <xdr:col>1</xdr:col>
                    <xdr:colOff>1181100</xdr:colOff>
                    <xdr:row>51</xdr:row>
                    <xdr:rowOff>9525</xdr:rowOff>
                  </from>
                  <to>
                    <xdr:col>2</xdr:col>
                    <xdr:colOff>0</xdr:colOff>
                    <xdr:row>52</xdr:row>
                    <xdr:rowOff>0</xdr:rowOff>
                  </to>
                </anchor>
              </controlPr>
            </control>
          </mc:Choice>
        </mc:AlternateContent>
        <mc:AlternateContent xmlns:mc="http://schemas.openxmlformats.org/markup-compatibility/2006">
          <mc:Choice Requires="x14">
            <control shapeId="4779462" r:id="rId10" name="Spinner 4550">
              <controlPr defaultSize="0" print="0" autoPict="0">
                <anchor moveWithCells="1" sizeWithCells="1">
                  <from>
                    <xdr:col>1</xdr:col>
                    <xdr:colOff>1181100</xdr:colOff>
                    <xdr:row>53</xdr:row>
                    <xdr:rowOff>9525</xdr:rowOff>
                  </from>
                  <to>
                    <xdr:col>2</xdr:col>
                    <xdr:colOff>0</xdr:colOff>
                    <xdr:row>54</xdr:row>
                    <xdr:rowOff>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Feuil3">
    <pageSetUpPr fitToPage="1"/>
  </sheetPr>
  <dimension ref="B75:B146"/>
  <sheetViews>
    <sheetView showGridLines="0" zoomScaleNormal="100" workbookViewId="0">
      <selection activeCell="M48" sqref="M48"/>
    </sheetView>
  </sheetViews>
  <sheetFormatPr baseColWidth="10" defaultRowHeight="12.75" x14ac:dyDescent="0.2"/>
  <sheetData>
    <row r="75" spans="2:2" x14ac:dyDescent="0.2">
      <c r="B75" t="s">
        <v>43</v>
      </c>
    </row>
    <row r="76" spans="2:2" x14ac:dyDescent="0.2">
      <c r="B76" t="str">
        <f>IF(Lang="Français","Ces courbes représentent la trajectoire de la fusée dans l'hypothèse d'une descente balistique (sans ouverture du parachute). ","These curves show the rocket trajectory in case of ballistic fall (without parachute).")</f>
        <v xml:space="preserve">Ces courbes représentent la trajectoire de la fusée dans l'hypothèse d'une descente balistique (sans ouverture du parachute). </v>
      </c>
    </row>
    <row r="77" spans="2:2" x14ac:dyDescent="0.2">
      <c r="B77" t="str">
        <f>IF(Lang="Français","L'accélération longitudinale gravitationnelle définit le mouvement (dérivée de la vitesse) : Acc = (Poussee - Traînée ± Poids) / m",IF(Lang="English","Longitudinal Gravitaionnal Acceleration defines the motion (velocity derivative) : Acc = (Thrust - Drag ± Weight)/m",""))</f>
        <v>L'accélération longitudinale gravitationnelle définit le mouvement (dérivée de la vitesse) : Acc = (Poussee - Traînée ± Poids) / m</v>
      </c>
    </row>
    <row r="78" spans="2:2" x14ac:dyDescent="0.2">
      <c r="B78" t="str">
        <f>IF(Lang="Français","La charge ''non-gravitationnelle'' vue par un capteur d'accélération (masse-ressort) est : Charge = (Poussée - Traînée) / m",IF(Lang="English","''Non-Gravitaionnal'' Load seen by an acceleration sensor (mass-spring) is : Load = (Thrust - Drag) / m",""))</f>
        <v>La charge ''non-gravitationnelle'' vue par un capteur d'accélération (masse-ressort) est : Charge = (Poussée - Traînée) / m</v>
      </c>
    </row>
    <row r="79" spans="2:2" x14ac:dyDescent="0.2">
      <c r="B79" t="str">
        <f>IF(Lang="Français","Exemples : Si Poussée = Poids, Vitesse constante, Acc nulle, Charge = 1G ; En chute libre, Acc = -1G, Charge = 0",IF(Lang="English","",""))</f>
        <v>Exemples : Si Poussée = Poids, Vitesse constante, Acc nulle, Charge = 1G ; En chute libre, Acc = -1G, Charge = 0</v>
      </c>
    </row>
    <row r="131" spans="2:2" x14ac:dyDescent="0.2">
      <c r="B131" s="24" t="str">
        <f>IF(Lang="Français","Textes pour les graphiques :","Texts for graphics :")</f>
        <v>Textes pour les graphiques :</v>
      </c>
    </row>
    <row r="133" spans="2:2" x14ac:dyDescent="0.2">
      <c r="B133" t="str">
        <f>IF(Lang="Français","Traînée",IF(Lang="English","Drag",""))</f>
        <v>Traînée</v>
      </c>
    </row>
    <row r="134" spans="2:2" x14ac:dyDescent="0.2">
      <c r="B134" t="str">
        <f>IF(Lang="Français","Poussée",IF(Lang="English","Thrust",""))</f>
        <v>Poussée</v>
      </c>
    </row>
    <row r="135" spans="2:2" x14ac:dyDescent="0.2">
      <c r="B135" t="str">
        <f>IF(Lang="Français","Poids",IF(Lang="English","Weight",""))</f>
        <v>Poids</v>
      </c>
    </row>
    <row r="137" spans="2:2" x14ac:dyDescent="0.2">
      <c r="B137" t="str">
        <f>IF(Lang="Français","Accélération longitudinale",IF(Lang="English","Longitudinal Acceleration",""))</f>
        <v>Accélération longitudinale</v>
      </c>
    </row>
    <row r="138" spans="2:2" x14ac:dyDescent="0.2">
      <c r="B138" t="str">
        <f>IF(Lang="Français","Charge vue par un capteur",IF(Lang="English","Load seen by a sensor",""))</f>
        <v>Charge vue par un capteur</v>
      </c>
    </row>
    <row r="140" spans="2:2" x14ac:dyDescent="0.2">
      <c r="B140" t="str">
        <f>IF(Lang="Français","Vitesse",IF(Lang="English","Velocity",""))</f>
        <v>Vitesse</v>
      </c>
    </row>
    <row r="141" spans="2:2" x14ac:dyDescent="0.2">
      <c r="B141" t="str">
        <f>IF(Lang="Français","Vitesse [m/s]",IF(Lang="English","Velocity [m/s]",""))</f>
        <v>Vitesse [m/s]</v>
      </c>
    </row>
    <row r="143" spans="2:2" x14ac:dyDescent="0.2">
      <c r="B143" t="s">
        <v>6</v>
      </c>
    </row>
    <row r="144" spans="2:2" x14ac:dyDescent="0.2">
      <c r="B144" t="str">
        <f>IF(Lang="Français","Portée",IF(Lang="English","Range",""))</f>
        <v>Portée</v>
      </c>
    </row>
    <row r="146" spans="2:2" x14ac:dyDescent="0.2">
      <c r="B146" t="str">
        <f>IF(Lang="Français","Temps [s]",IF(Lang="English","Time [s]",""))</f>
        <v>Temps [s]</v>
      </c>
    </row>
  </sheetData>
  <sheetProtection password="C6AC" sheet="1"/>
  <phoneticPr fontId="8" type="noConversion"/>
  <printOptions horizontalCentered="1" verticalCentered="1"/>
  <pageMargins left="0.39370078740157483" right="0.39370078740157483" top="0.39370078740157483" bottom="0.39370078740157483" header="0" footer="0"/>
  <pageSetup scale="76" firstPageNumber="0" orientation="portrait" horizontalDpi="300" verticalDpi="300"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Feuil5">
    <pageSetUpPr fitToPage="1"/>
  </sheetPr>
  <dimension ref="A1:Z346"/>
  <sheetViews>
    <sheetView showGridLines="0" topLeftCell="A304" zoomScale="80" zoomScaleNormal="80" workbookViewId="0">
      <selection activeCell="B2" sqref="B2"/>
    </sheetView>
  </sheetViews>
  <sheetFormatPr baseColWidth="10" defaultRowHeight="12.75" x14ac:dyDescent="0.2"/>
  <cols>
    <col min="1" max="1" width="22.5703125" bestFit="1" customWidth="1"/>
  </cols>
  <sheetData>
    <row r="1" spans="1:26" ht="13.5" thickBot="1" x14ac:dyDescent="0.25">
      <c r="A1" s="362" t="str">
        <f>IF(Lang="Français","Moteur sélectionné","Selected motor")</f>
        <v>Moteur sélectionné</v>
      </c>
      <c r="B1" s="362" t="s">
        <v>32</v>
      </c>
    </row>
    <row r="2" spans="1:26" ht="13.5" thickBot="1" x14ac:dyDescent="0.25">
      <c r="A2" s="352" t="str">
        <f>Propu</f>
        <v>Aucun (2e ét. inerte)</v>
      </c>
      <c r="B2" s="352">
        <f>VLOOKUP(A2,A26:B314,2,FALSE)</f>
        <v>309</v>
      </c>
      <c r="C2" s="363" t="s">
        <v>115</v>
      </c>
      <c r="D2" s="353">
        <f ca="1">INDIRECT(ADDRESS(B2,4))</f>
        <v>1E-3</v>
      </c>
      <c r="E2" s="363" t="s">
        <v>114</v>
      </c>
      <c r="F2" s="354">
        <f ca="1">INDIRECT(ADDRESS(B2,6))</f>
        <v>1.019367991845056</v>
      </c>
      <c r="G2" s="363" t="s">
        <v>56</v>
      </c>
      <c r="H2" s="355">
        <f ca="1">INDIRECT(ADDRESS(B2,8))</f>
        <v>1E-4</v>
      </c>
      <c r="I2" s="363" t="s">
        <v>273</v>
      </c>
      <c r="J2" s="356">
        <f ca="1">INDIRECT(ADDRESS(B2,10))</f>
        <v>1E-4</v>
      </c>
      <c r="K2" s="363" t="s">
        <v>58</v>
      </c>
      <c r="L2" s="355">
        <f ca="1">INDIRECT(ADDRESS(B2,12))</f>
        <v>0</v>
      </c>
      <c r="M2" s="363" t="s">
        <v>57</v>
      </c>
      <c r="N2" s="357">
        <f ca="1">INDIRECT(ADDRESS(B2,14))</f>
        <v>0</v>
      </c>
      <c r="O2" s="363" t="s">
        <v>59</v>
      </c>
      <c r="P2" s="357">
        <f ca="1">INDIRECT(ADDRESS(B2,16))</f>
        <v>0</v>
      </c>
      <c r="Q2" s="363" t="s">
        <v>60</v>
      </c>
      <c r="R2" s="357">
        <f ca="1">INDIRECT(ADDRESS(B2,18))</f>
        <v>0</v>
      </c>
      <c r="S2" s="363" t="s">
        <v>61</v>
      </c>
      <c r="T2" s="357">
        <f ca="1">INDIRECT(ADDRESS(B2,20))</f>
        <v>0</v>
      </c>
      <c r="U2" s="363" t="s">
        <v>54</v>
      </c>
      <c r="V2" s="358" t="str">
        <f ca="1">INDIRECT(ADDRESS(B2,22))</f>
        <v>Fusex</v>
      </c>
      <c r="W2" s="463" t="s">
        <v>394</v>
      </c>
      <c r="X2" s="464">
        <f ca="1">INDIRECT(ADDRESS(B2,24))</f>
        <v>0</v>
      </c>
      <c r="Y2" s="463" t="s">
        <v>393</v>
      </c>
      <c r="Z2" s="358">
        <f ca="1">INDIRECT(ADDRESS(B2,26))</f>
        <v>0</v>
      </c>
    </row>
    <row r="3" spans="1:26" x14ac:dyDescent="0.2">
      <c r="A3" s="362" t="str">
        <f>IF(Lang="Français","Temps (en s)","Time (s)")</f>
        <v>Temps (en s)</v>
      </c>
      <c r="B3" s="364">
        <f t="shared" ref="B3:Y3" ca="1" si="0">INDIRECT(ADDRESS($B2+1,COLUMN(B3)))</f>
        <v>0</v>
      </c>
      <c r="C3" s="365">
        <f t="shared" ca="1" si="0"/>
        <v>0.1</v>
      </c>
      <c r="D3" s="365">
        <f t="shared" ca="1" si="0"/>
        <v>0.2</v>
      </c>
      <c r="E3" s="365">
        <f t="shared" ca="1" si="0"/>
        <v>1</v>
      </c>
      <c r="F3" s="365">
        <f t="shared" ca="1" si="0"/>
        <v>1</v>
      </c>
      <c r="G3" s="365">
        <f t="shared" ca="1" si="0"/>
        <v>1</v>
      </c>
      <c r="H3" s="365">
        <f t="shared" ca="1" si="0"/>
        <v>1</v>
      </c>
      <c r="I3" s="365">
        <f t="shared" ca="1" si="0"/>
        <v>1</v>
      </c>
      <c r="J3" s="365">
        <f t="shared" ca="1" si="0"/>
        <v>1</v>
      </c>
      <c r="K3" s="365">
        <f t="shared" ca="1" si="0"/>
        <v>1</v>
      </c>
      <c r="L3" s="365">
        <f t="shared" ca="1" si="0"/>
        <v>1</v>
      </c>
      <c r="M3" s="365">
        <f t="shared" ca="1" si="0"/>
        <v>1</v>
      </c>
      <c r="N3" s="365">
        <f t="shared" ca="1" si="0"/>
        <v>1</v>
      </c>
      <c r="O3" s="365">
        <f t="shared" ca="1" si="0"/>
        <v>1</v>
      </c>
      <c r="P3" s="365">
        <f t="shared" ca="1" si="0"/>
        <v>1</v>
      </c>
      <c r="Q3" s="365">
        <f t="shared" ca="1" si="0"/>
        <v>1</v>
      </c>
      <c r="R3" s="365">
        <f t="shared" ca="1" si="0"/>
        <v>1</v>
      </c>
      <c r="S3" s="365">
        <f t="shared" ca="1" si="0"/>
        <v>1</v>
      </c>
      <c r="T3" s="365">
        <f t="shared" ca="1" si="0"/>
        <v>1</v>
      </c>
      <c r="U3" s="365">
        <f t="shared" ca="1" si="0"/>
        <v>1</v>
      </c>
      <c r="V3" s="365">
        <f t="shared" ca="1" si="0"/>
        <v>1</v>
      </c>
      <c r="W3" s="365">
        <f t="shared" ca="1" si="0"/>
        <v>1</v>
      </c>
      <c r="X3" s="365">
        <f ca="1">INDIRECT(ADDRESS($B2+1,COLUMN(X3)))</f>
        <v>1</v>
      </c>
      <c r="Y3" s="366">
        <f t="shared" ca="1" si="0"/>
        <v>1000</v>
      </c>
    </row>
    <row r="4" spans="1:26" ht="13.5" thickBot="1" x14ac:dyDescent="0.25">
      <c r="A4" s="379" t="str">
        <f>IF(Lang="Français","Poussée (en N)","Thrust (N)")</f>
        <v>Poussée (en N)</v>
      </c>
      <c r="B4" s="367">
        <f t="shared" ref="B4:Y4" ca="1" si="1">INDIRECT(ADDRESS($B2+2,COLUMN(B3)))</f>
        <v>0</v>
      </c>
      <c r="C4" s="368">
        <f t="shared" ca="1" si="1"/>
        <v>0.01</v>
      </c>
      <c r="D4" s="368">
        <f t="shared" ca="1" si="1"/>
        <v>0</v>
      </c>
      <c r="E4" s="368">
        <f t="shared" ca="1" si="1"/>
        <v>0</v>
      </c>
      <c r="F4" s="368">
        <f t="shared" ca="1" si="1"/>
        <v>0</v>
      </c>
      <c r="G4" s="368">
        <f t="shared" ca="1" si="1"/>
        <v>0</v>
      </c>
      <c r="H4" s="368">
        <f t="shared" ca="1" si="1"/>
        <v>0</v>
      </c>
      <c r="I4" s="368">
        <f t="shared" ca="1" si="1"/>
        <v>0</v>
      </c>
      <c r="J4" s="368">
        <f t="shared" ca="1" si="1"/>
        <v>0</v>
      </c>
      <c r="K4" s="368">
        <f t="shared" ca="1" si="1"/>
        <v>0</v>
      </c>
      <c r="L4" s="368">
        <f t="shared" ca="1" si="1"/>
        <v>0</v>
      </c>
      <c r="M4" s="368">
        <f t="shared" ca="1" si="1"/>
        <v>0</v>
      </c>
      <c r="N4" s="368">
        <f t="shared" ca="1" si="1"/>
        <v>0</v>
      </c>
      <c r="O4" s="368">
        <f t="shared" ca="1" si="1"/>
        <v>0</v>
      </c>
      <c r="P4" s="368">
        <f t="shared" ca="1" si="1"/>
        <v>0</v>
      </c>
      <c r="Q4" s="368">
        <f t="shared" ca="1" si="1"/>
        <v>0</v>
      </c>
      <c r="R4" s="368">
        <f t="shared" ca="1" si="1"/>
        <v>0</v>
      </c>
      <c r="S4" s="368">
        <f t="shared" ca="1" si="1"/>
        <v>0</v>
      </c>
      <c r="T4" s="368">
        <f t="shared" ca="1" si="1"/>
        <v>0</v>
      </c>
      <c r="U4" s="368">
        <f t="shared" ca="1" si="1"/>
        <v>0</v>
      </c>
      <c r="V4" s="368">
        <f t="shared" ca="1" si="1"/>
        <v>0</v>
      </c>
      <c r="W4" s="368">
        <f t="shared" ca="1" si="1"/>
        <v>0</v>
      </c>
      <c r="X4" s="368">
        <f ca="1">INDIRECT(ADDRESS($B2+2,COLUMN(X3)))</f>
        <v>0</v>
      </c>
      <c r="Y4" s="369">
        <f t="shared" ca="1" si="1"/>
        <v>0</v>
      </c>
    </row>
    <row r="5" spans="1:26" x14ac:dyDescent="0.2">
      <c r="B5" s="12"/>
      <c r="C5" s="12"/>
      <c r="D5" s="12"/>
      <c r="E5" s="12"/>
      <c r="F5" s="12"/>
      <c r="G5" s="12"/>
      <c r="H5" s="12"/>
      <c r="I5" s="12"/>
      <c r="J5" s="12"/>
      <c r="K5" s="12"/>
      <c r="L5" s="12"/>
      <c r="M5" s="12"/>
      <c r="N5" s="12"/>
      <c r="O5" s="12"/>
      <c r="P5" s="12"/>
      <c r="Q5" s="12"/>
      <c r="R5" s="12"/>
      <c r="S5" s="12"/>
      <c r="T5" s="12"/>
      <c r="U5" s="12"/>
      <c r="V5" s="12"/>
      <c r="W5" s="12"/>
      <c r="X5" s="12"/>
      <c r="Y5" s="12"/>
    </row>
    <row r="6" spans="1:26" x14ac:dyDescent="0.2">
      <c r="B6" s="12"/>
      <c r="C6" s="12"/>
      <c r="D6" s="12"/>
      <c r="E6" s="12"/>
      <c r="F6" s="12"/>
      <c r="G6" s="12"/>
      <c r="H6" s="12"/>
      <c r="I6" s="12"/>
      <c r="J6" s="12"/>
      <c r="K6" s="12"/>
      <c r="L6" s="12"/>
      <c r="M6" s="12"/>
      <c r="N6" s="12"/>
      <c r="O6" s="12"/>
      <c r="P6" s="12"/>
      <c r="Q6" s="12"/>
      <c r="R6" s="12"/>
      <c r="S6" s="12"/>
      <c r="T6" s="12"/>
      <c r="U6" s="12"/>
      <c r="V6" s="12"/>
      <c r="W6" s="12"/>
      <c r="X6" s="12"/>
      <c r="Y6" s="12"/>
    </row>
    <row r="7" spans="1:26" x14ac:dyDescent="0.2">
      <c r="B7" s="12"/>
      <c r="C7" s="12"/>
      <c r="D7" s="12"/>
      <c r="E7" s="12"/>
      <c r="F7" s="12"/>
      <c r="G7" s="12"/>
      <c r="H7" s="12"/>
      <c r="I7" s="12"/>
      <c r="J7" s="12"/>
      <c r="K7" s="12"/>
      <c r="L7" s="12"/>
      <c r="M7" s="12"/>
    </row>
    <row r="8" spans="1:26" x14ac:dyDescent="0.2">
      <c r="B8" s="12"/>
      <c r="C8" s="12"/>
      <c r="D8" s="12"/>
      <c r="E8" s="12"/>
      <c r="F8" s="12"/>
      <c r="G8" s="12"/>
      <c r="H8" s="12"/>
      <c r="I8" s="12"/>
      <c r="J8" s="12"/>
      <c r="K8" s="12"/>
      <c r="L8" s="12"/>
      <c r="M8" s="12"/>
    </row>
    <row r="9" spans="1:26" x14ac:dyDescent="0.2">
      <c r="B9" s="12"/>
      <c r="C9" s="12"/>
      <c r="D9" s="12"/>
      <c r="E9" s="12"/>
      <c r="F9" s="12"/>
      <c r="G9" s="12"/>
      <c r="H9" s="12"/>
      <c r="I9" s="12"/>
      <c r="J9" s="12"/>
      <c r="K9" s="12"/>
      <c r="L9" s="12"/>
      <c r="M9" s="12"/>
    </row>
    <row r="10" spans="1:26" x14ac:dyDescent="0.2">
      <c r="B10" s="12"/>
      <c r="C10" s="12"/>
      <c r="D10" s="12"/>
      <c r="E10" s="12"/>
      <c r="F10" s="12"/>
      <c r="G10" s="12"/>
      <c r="H10" s="12"/>
      <c r="I10" s="12"/>
      <c r="J10" s="12"/>
    </row>
    <row r="11" spans="1:26" x14ac:dyDescent="0.2">
      <c r="B11" s="12"/>
      <c r="C11" s="12"/>
      <c r="D11" s="12"/>
      <c r="E11" s="12"/>
      <c r="F11" s="12"/>
      <c r="G11" s="12"/>
      <c r="H11" s="12"/>
      <c r="I11" s="12"/>
      <c r="J11" s="12"/>
    </row>
    <row r="12" spans="1:26" x14ac:dyDescent="0.2">
      <c r="B12" s="12"/>
      <c r="C12" s="12"/>
      <c r="D12" s="12"/>
      <c r="E12" s="12"/>
      <c r="F12" s="12"/>
      <c r="G12" s="12"/>
      <c r="H12" s="12"/>
      <c r="I12" s="12"/>
      <c r="J12" s="12"/>
    </row>
    <row r="13" spans="1:26" x14ac:dyDescent="0.2">
      <c r="B13" s="12"/>
      <c r="C13" s="12"/>
      <c r="D13" s="12"/>
      <c r="E13" s="12"/>
      <c r="F13" s="12"/>
      <c r="G13" s="12"/>
      <c r="H13" s="12"/>
      <c r="I13" s="12"/>
      <c r="J13" s="12"/>
    </row>
    <row r="14" spans="1:26" x14ac:dyDescent="0.2">
      <c r="B14" s="12"/>
      <c r="C14" s="12"/>
      <c r="D14" s="12"/>
      <c r="E14" s="12"/>
      <c r="F14" s="12"/>
      <c r="G14" s="12"/>
      <c r="H14" s="12"/>
      <c r="I14" s="12"/>
      <c r="J14" s="12"/>
    </row>
    <row r="15" spans="1:26" x14ac:dyDescent="0.2">
      <c r="B15" s="12"/>
      <c r="C15" s="12"/>
      <c r="D15" s="12"/>
      <c r="E15" s="12"/>
      <c r="F15" s="12"/>
      <c r="G15" s="12"/>
      <c r="H15" s="12"/>
      <c r="I15" s="12"/>
      <c r="J15" s="12"/>
      <c r="K15" s="12"/>
      <c r="L15" s="12"/>
      <c r="M15" s="12"/>
    </row>
    <row r="16" spans="1:26" x14ac:dyDescent="0.2">
      <c r="B16" s="12"/>
      <c r="C16" s="12"/>
      <c r="D16" s="12"/>
      <c r="E16" s="12"/>
      <c r="F16" s="12"/>
      <c r="G16" s="12"/>
      <c r="H16" s="12"/>
      <c r="I16" s="12"/>
      <c r="J16" s="12"/>
      <c r="K16" s="12"/>
      <c r="L16" s="12"/>
      <c r="M16" s="12"/>
    </row>
    <row r="17" spans="1:25" x14ac:dyDescent="0.2">
      <c r="B17" s="12"/>
      <c r="C17" s="12"/>
      <c r="D17" s="12"/>
      <c r="E17" s="12"/>
      <c r="F17" s="12"/>
      <c r="G17" s="12"/>
      <c r="H17" s="12"/>
      <c r="I17" s="12"/>
      <c r="J17" s="12"/>
      <c r="K17" s="12"/>
      <c r="L17" s="12"/>
      <c r="M17" s="12"/>
    </row>
    <row r="18" spans="1:25" x14ac:dyDescent="0.2">
      <c r="B18" s="12"/>
      <c r="C18" s="12"/>
      <c r="D18" s="12"/>
      <c r="E18" s="12"/>
      <c r="F18" s="12"/>
      <c r="G18" s="12"/>
      <c r="H18" s="12"/>
      <c r="I18" s="12"/>
      <c r="J18" s="12"/>
      <c r="K18" s="12"/>
      <c r="L18" s="12"/>
      <c r="M18" s="12"/>
      <c r="N18" s="12"/>
      <c r="O18" s="12"/>
      <c r="P18" s="12"/>
      <c r="Q18" s="12"/>
      <c r="R18" s="12"/>
      <c r="S18" s="12"/>
      <c r="T18" s="12"/>
      <c r="U18" s="12"/>
      <c r="V18" s="12"/>
      <c r="W18" s="12"/>
      <c r="X18" s="12"/>
      <c r="Y18" s="12"/>
    </row>
    <row r="19" spans="1:25" x14ac:dyDescent="0.2">
      <c r="B19" s="12"/>
      <c r="C19" s="12"/>
      <c r="D19" s="12"/>
      <c r="E19" s="12"/>
      <c r="F19" s="12"/>
      <c r="G19" s="12"/>
      <c r="H19" s="12"/>
      <c r="I19" s="12"/>
      <c r="J19" s="12"/>
      <c r="K19" s="12"/>
      <c r="L19" s="12"/>
      <c r="M19" s="12"/>
      <c r="N19" s="12"/>
      <c r="O19" s="12"/>
      <c r="P19" s="12"/>
      <c r="Q19" s="12"/>
      <c r="R19" s="12"/>
      <c r="S19" s="12"/>
      <c r="T19" s="12"/>
      <c r="U19" s="12"/>
      <c r="V19" s="12"/>
      <c r="W19" s="12"/>
      <c r="X19" s="12"/>
      <c r="Y19" s="12"/>
    </row>
    <row r="20" spans="1:25" x14ac:dyDescent="0.2">
      <c r="B20" s="12"/>
      <c r="C20" s="12"/>
      <c r="D20" s="12"/>
      <c r="E20" s="12"/>
      <c r="F20" s="12"/>
      <c r="G20" s="12"/>
      <c r="H20" s="12"/>
      <c r="I20" s="12"/>
      <c r="J20" s="12"/>
      <c r="K20" s="12"/>
      <c r="L20" s="12"/>
      <c r="M20" s="12"/>
      <c r="N20" s="12"/>
      <c r="O20" s="12"/>
      <c r="P20" s="12"/>
      <c r="Q20" s="12"/>
      <c r="R20" s="12"/>
      <c r="S20" s="12"/>
      <c r="T20" s="12"/>
      <c r="U20" s="12"/>
      <c r="V20" s="12"/>
      <c r="W20" s="12"/>
      <c r="X20" s="12"/>
      <c r="Y20" s="12"/>
    </row>
    <row r="21" spans="1:25" x14ac:dyDescent="0.2">
      <c r="B21" s="12"/>
      <c r="C21" s="12"/>
      <c r="D21" s="12"/>
      <c r="E21" s="12"/>
      <c r="F21" s="12"/>
      <c r="G21" s="12"/>
      <c r="H21" s="12"/>
      <c r="I21" s="12"/>
      <c r="J21" s="12"/>
      <c r="K21" s="12"/>
      <c r="L21" s="12"/>
      <c r="M21" s="12"/>
      <c r="N21" s="12"/>
      <c r="O21" s="12"/>
      <c r="P21" s="12"/>
      <c r="Q21" s="12"/>
      <c r="R21" s="12"/>
      <c r="S21" s="12"/>
      <c r="T21" s="12"/>
      <c r="U21" s="12"/>
      <c r="V21" s="12"/>
      <c r="W21" s="12"/>
      <c r="X21" s="12"/>
      <c r="Y21" s="12"/>
    </row>
    <row r="22" spans="1:25" x14ac:dyDescent="0.2">
      <c r="B22" s="12"/>
      <c r="C22" s="12"/>
      <c r="D22" s="12"/>
      <c r="E22" s="12"/>
      <c r="F22" s="12"/>
      <c r="G22" s="12"/>
      <c r="H22" s="12"/>
      <c r="I22" s="12"/>
      <c r="J22" s="12"/>
      <c r="K22" s="12"/>
      <c r="L22" s="12"/>
      <c r="M22" s="12"/>
      <c r="N22" s="12"/>
      <c r="O22" s="12"/>
      <c r="P22" s="12"/>
      <c r="Q22" s="12"/>
      <c r="R22" s="12"/>
      <c r="S22" s="12"/>
      <c r="T22" s="12"/>
      <c r="U22" s="12"/>
      <c r="V22" s="12"/>
      <c r="W22" s="12"/>
      <c r="X22" s="12"/>
      <c r="Y22" s="12"/>
    </row>
    <row r="23" spans="1:25" x14ac:dyDescent="0.2">
      <c r="B23" s="12"/>
      <c r="C23" s="12"/>
      <c r="D23" s="12"/>
      <c r="E23" s="12"/>
      <c r="F23" s="12"/>
      <c r="G23" s="12"/>
      <c r="H23" s="12"/>
      <c r="I23" s="12"/>
      <c r="J23" s="12"/>
      <c r="K23" s="12"/>
      <c r="L23" s="12"/>
      <c r="M23" s="12"/>
      <c r="N23" s="12"/>
      <c r="O23" s="12"/>
      <c r="P23" s="12"/>
      <c r="Q23" s="12"/>
      <c r="R23" s="12"/>
      <c r="S23" s="12"/>
      <c r="T23" s="12"/>
      <c r="U23" s="12"/>
      <c r="V23" s="12"/>
      <c r="W23" s="12"/>
      <c r="X23" s="12"/>
      <c r="Y23" s="12"/>
    </row>
    <row r="25" spans="1:25" ht="13.5" thickBot="1" x14ac:dyDescent="0.25">
      <c r="A25" s="6" t="s">
        <v>276</v>
      </c>
    </row>
    <row r="26" spans="1:25" ht="13.5" thickBot="1" x14ac:dyDescent="0.25">
      <c r="A26" s="361" t="s">
        <v>309</v>
      </c>
      <c r="B26" s="359">
        <f>ROW(A26)</f>
        <v>26</v>
      </c>
      <c r="C26" s="363" t="s">
        <v>115</v>
      </c>
      <c r="D26" s="353">
        <f>SUM(B29:Y29)</f>
        <v>9.8449999999999989</v>
      </c>
      <c r="E26" s="363" t="s">
        <v>114</v>
      </c>
      <c r="F26" s="399">
        <f>D26/g/J26</f>
        <v>3.3452259599048584</v>
      </c>
      <c r="G26" s="363" t="s">
        <v>56</v>
      </c>
      <c r="H26" s="64">
        <v>0.3</v>
      </c>
      <c r="I26" s="363" t="s">
        <v>271</v>
      </c>
      <c r="J26" s="355">
        <f>H26-L26</f>
        <v>0.3</v>
      </c>
      <c r="K26" s="363" t="s">
        <v>272</v>
      </c>
      <c r="L26" s="64">
        <v>0</v>
      </c>
      <c r="M26" s="363" t="s">
        <v>57</v>
      </c>
      <c r="N26" s="65">
        <f>0.2*R26</f>
        <v>60</v>
      </c>
      <c r="O26" s="363" t="s">
        <v>59</v>
      </c>
      <c r="P26" s="65">
        <v>150</v>
      </c>
      <c r="Q26" s="363" t="s">
        <v>60</v>
      </c>
      <c r="R26" s="65">
        <v>300</v>
      </c>
      <c r="S26" s="363" t="s">
        <v>61</v>
      </c>
      <c r="T26" s="65">
        <v>90</v>
      </c>
      <c r="U26" s="363" t="s">
        <v>54</v>
      </c>
      <c r="V26" s="66" t="s">
        <v>276</v>
      </c>
      <c r="W26" s="12"/>
      <c r="X26" s="12"/>
      <c r="Y26" s="12"/>
    </row>
    <row r="27" spans="1:25" x14ac:dyDescent="0.2">
      <c r="A27" s="362" t="s">
        <v>33</v>
      </c>
      <c r="B27" s="370">
        <v>0</v>
      </c>
      <c r="C27" s="371">
        <v>1E-3</v>
      </c>
      <c r="D27" s="371">
        <v>0.02</v>
      </c>
      <c r="E27" s="371">
        <v>3.7999999999999999E-2</v>
      </c>
      <c r="F27" s="371">
        <v>0.04</v>
      </c>
      <c r="G27" s="371">
        <v>0.04</v>
      </c>
      <c r="H27" s="371">
        <v>0.04</v>
      </c>
      <c r="I27" s="371">
        <v>0.04</v>
      </c>
      <c r="J27" s="371">
        <v>0.04</v>
      </c>
      <c r="K27" s="371">
        <v>0.04</v>
      </c>
      <c r="L27" s="371">
        <v>0.04</v>
      </c>
      <c r="M27" s="371">
        <v>0.04</v>
      </c>
      <c r="N27" s="371">
        <v>0.04</v>
      </c>
      <c r="O27" s="371">
        <v>0.04</v>
      </c>
      <c r="P27" s="371">
        <v>0.04</v>
      </c>
      <c r="Q27" s="371">
        <v>0.04</v>
      </c>
      <c r="R27" s="371">
        <v>0.04</v>
      </c>
      <c r="S27" s="371">
        <v>0.04</v>
      </c>
      <c r="T27" s="371">
        <v>0.04</v>
      </c>
      <c r="U27" s="371">
        <v>0.04</v>
      </c>
      <c r="V27" s="371">
        <v>0.04</v>
      </c>
      <c r="W27" s="371">
        <v>0.04</v>
      </c>
      <c r="X27" s="371">
        <v>0.04</v>
      </c>
      <c r="Y27" s="381">
        <v>1000</v>
      </c>
    </row>
    <row r="28" spans="1:25" x14ac:dyDescent="0.2">
      <c r="A28" s="378" t="s">
        <v>34</v>
      </c>
      <c r="B28" s="372">
        <v>0</v>
      </c>
      <c r="C28" s="373">
        <v>310</v>
      </c>
      <c r="D28" s="373">
        <v>250</v>
      </c>
      <c r="E28" s="373">
        <v>212</v>
      </c>
      <c r="F28" s="373">
        <v>0</v>
      </c>
      <c r="G28" s="373">
        <v>0</v>
      </c>
      <c r="H28" s="373">
        <v>0</v>
      </c>
      <c r="I28" s="373">
        <v>0</v>
      </c>
      <c r="J28" s="373">
        <v>0</v>
      </c>
      <c r="K28" s="373">
        <v>0</v>
      </c>
      <c r="L28" s="373">
        <v>0</v>
      </c>
      <c r="M28" s="373">
        <v>0</v>
      </c>
      <c r="N28" s="373">
        <v>0</v>
      </c>
      <c r="O28" s="373">
        <v>0</v>
      </c>
      <c r="P28" s="373">
        <v>0</v>
      </c>
      <c r="Q28" s="373">
        <v>0</v>
      </c>
      <c r="R28" s="373">
        <v>0</v>
      </c>
      <c r="S28" s="373">
        <v>0</v>
      </c>
      <c r="T28" s="373">
        <v>0</v>
      </c>
      <c r="U28" s="373">
        <v>0</v>
      </c>
      <c r="V28" s="373">
        <v>0</v>
      </c>
      <c r="W28" s="373">
        <v>0</v>
      </c>
      <c r="X28" s="373">
        <v>0</v>
      </c>
      <c r="Y28" s="382">
        <v>0</v>
      </c>
    </row>
    <row r="29" spans="1:25" ht="13.5" thickBot="1" x14ac:dyDescent="0.25">
      <c r="A29" s="379" t="s">
        <v>116</v>
      </c>
      <c r="B29" s="374">
        <f t="shared" ref="B29:X29" si="2">(C28+B28)*(C27-B27)/2</f>
        <v>0.155</v>
      </c>
      <c r="C29" s="375">
        <f t="shared" si="2"/>
        <v>5.32</v>
      </c>
      <c r="D29" s="375">
        <f t="shared" si="2"/>
        <v>4.1579999999999995</v>
      </c>
      <c r="E29" s="375">
        <f t="shared" si="2"/>
        <v>0.21200000000000019</v>
      </c>
      <c r="F29" s="375">
        <f t="shared" si="2"/>
        <v>0</v>
      </c>
      <c r="G29" s="375">
        <f t="shared" si="2"/>
        <v>0</v>
      </c>
      <c r="H29" s="375">
        <f t="shared" si="2"/>
        <v>0</v>
      </c>
      <c r="I29" s="375">
        <f t="shared" si="2"/>
        <v>0</v>
      </c>
      <c r="J29" s="375">
        <f t="shared" si="2"/>
        <v>0</v>
      </c>
      <c r="K29" s="375">
        <f t="shared" si="2"/>
        <v>0</v>
      </c>
      <c r="L29" s="375">
        <f t="shared" si="2"/>
        <v>0</v>
      </c>
      <c r="M29" s="375">
        <f t="shared" si="2"/>
        <v>0</v>
      </c>
      <c r="N29" s="375">
        <f t="shared" si="2"/>
        <v>0</v>
      </c>
      <c r="O29" s="375">
        <f t="shared" si="2"/>
        <v>0</v>
      </c>
      <c r="P29" s="375">
        <f t="shared" si="2"/>
        <v>0</v>
      </c>
      <c r="Q29" s="375">
        <f t="shared" si="2"/>
        <v>0</v>
      </c>
      <c r="R29" s="375">
        <f t="shared" si="2"/>
        <v>0</v>
      </c>
      <c r="S29" s="375">
        <f t="shared" si="2"/>
        <v>0</v>
      </c>
      <c r="T29" s="375">
        <f t="shared" si="2"/>
        <v>0</v>
      </c>
      <c r="U29" s="375">
        <f t="shared" si="2"/>
        <v>0</v>
      </c>
      <c r="V29" s="375">
        <f t="shared" si="2"/>
        <v>0</v>
      </c>
      <c r="W29" s="375">
        <f t="shared" si="2"/>
        <v>0</v>
      </c>
      <c r="X29" s="375">
        <f t="shared" si="2"/>
        <v>0</v>
      </c>
      <c r="Y29" s="369"/>
    </row>
    <row r="30" spans="1:25" ht="13.5" thickBot="1" x14ac:dyDescent="0.25">
      <c r="A30" s="12"/>
      <c r="L30" s="12"/>
      <c r="M30" s="12"/>
      <c r="N30" s="12"/>
      <c r="O30" s="12"/>
      <c r="P30" s="12"/>
      <c r="Q30" s="12"/>
      <c r="R30" s="12"/>
      <c r="S30" s="12"/>
      <c r="T30" s="12"/>
      <c r="U30" s="12"/>
      <c r="V30" s="12"/>
      <c r="W30" s="12"/>
      <c r="X30" s="12"/>
      <c r="Y30" s="12"/>
    </row>
    <row r="31" spans="1:25" ht="13.5" thickBot="1" x14ac:dyDescent="0.25">
      <c r="A31" s="361" t="s">
        <v>310</v>
      </c>
      <c r="B31" s="359">
        <f>ROW(A31)</f>
        <v>31</v>
      </c>
      <c r="C31" s="363" t="s">
        <v>115</v>
      </c>
      <c r="D31" s="353">
        <f>SUM(B34:Y34)</f>
        <v>13.814500000000002</v>
      </c>
      <c r="E31" s="363" t="s">
        <v>114</v>
      </c>
      <c r="F31" s="399">
        <f>D31/g/J31</f>
        <v>3.1293464718541175</v>
      </c>
      <c r="G31" s="363" t="s">
        <v>56</v>
      </c>
      <c r="H31" s="64">
        <v>0.45</v>
      </c>
      <c r="I31" s="363" t="s">
        <v>271</v>
      </c>
      <c r="J31" s="355">
        <f>H31-L31</f>
        <v>0.45</v>
      </c>
      <c r="K31" s="363" t="s">
        <v>272</v>
      </c>
      <c r="L31" s="64">
        <v>0</v>
      </c>
      <c r="M31" s="363" t="s">
        <v>57</v>
      </c>
      <c r="N31" s="65">
        <f>0.3*R31</f>
        <v>90</v>
      </c>
      <c r="O31" s="363" t="s">
        <v>59</v>
      </c>
      <c r="P31" s="65">
        <v>150</v>
      </c>
      <c r="Q31" s="363" t="s">
        <v>60</v>
      </c>
      <c r="R31" s="65">
        <v>300</v>
      </c>
      <c r="S31" s="363" t="s">
        <v>61</v>
      </c>
      <c r="T31" s="65">
        <v>90</v>
      </c>
      <c r="U31" s="363" t="s">
        <v>54</v>
      </c>
      <c r="V31" s="66" t="s">
        <v>276</v>
      </c>
      <c r="W31" s="12"/>
      <c r="X31" s="12"/>
      <c r="Y31" s="12"/>
    </row>
    <row r="32" spans="1:25" x14ac:dyDescent="0.2">
      <c r="A32" s="362" t="s">
        <v>33</v>
      </c>
      <c r="B32" s="370">
        <v>0</v>
      </c>
      <c r="C32" s="371">
        <v>1E-3</v>
      </c>
      <c r="D32" s="371">
        <v>0.02</v>
      </c>
      <c r="E32" s="371">
        <v>0.04</v>
      </c>
      <c r="F32" s="371">
        <v>6.0999999999999999E-2</v>
      </c>
      <c r="G32" s="371">
        <v>6.2E-2</v>
      </c>
      <c r="H32" s="371">
        <v>6.2E-2</v>
      </c>
      <c r="I32" s="371">
        <v>6.2E-2</v>
      </c>
      <c r="J32" s="371">
        <v>6.2E-2</v>
      </c>
      <c r="K32" s="371">
        <v>6.2E-2</v>
      </c>
      <c r="L32" s="371">
        <v>6.2E-2</v>
      </c>
      <c r="M32" s="371">
        <v>6.2E-2</v>
      </c>
      <c r="N32" s="371">
        <v>6.2E-2</v>
      </c>
      <c r="O32" s="371">
        <v>6.2E-2</v>
      </c>
      <c r="P32" s="371">
        <v>6.2E-2</v>
      </c>
      <c r="Q32" s="371">
        <v>6.2E-2</v>
      </c>
      <c r="R32" s="371">
        <v>6.2E-2</v>
      </c>
      <c r="S32" s="371">
        <v>6.2E-2</v>
      </c>
      <c r="T32" s="371">
        <v>6.2E-2</v>
      </c>
      <c r="U32" s="371">
        <v>6.2E-2</v>
      </c>
      <c r="V32" s="371">
        <v>6.2E-2</v>
      </c>
      <c r="W32" s="371">
        <v>6.2E-2</v>
      </c>
      <c r="X32" s="371">
        <v>6.2E-2</v>
      </c>
      <c r="Y32" s="381">
        <v>1000</v>
      </c>
    </row>
    <row r="33" spans="1:25" x14ac:dyDescent="0.2">
      <c r="A33" s="378" t="s">
        <v>34</v>
      </c>
      <c r="B33" s="372">
        <v>0</v>
      </c>
      <c r="C33" s="373">
        <v>310</v>
      </c>
      <c r="D33" s="373">
        <v>245</v>
      </c>
      <c r="E33" s="373">
        <v>200</v>
      </c>
      <c r="F33" s="373">
        <v>167</v>
      </c>
      <c r="G33" s="373">
        <v>0</v>
      </c>
      <c r="H33" s="373">
        <v>0</v>
      </c>
      <c r="I33" s="373">
        <v>0</v>
      </c>
      <c r="J33" s="373">
        <v>0</v>
      </c>
      <c r="K33" s="373">
        <v>0</v>
      </c>
      <c r="L33" s="373">
        <v>0</v>
      </c>
      <c r="M33" s="373">
        <v>0</v>
      </c>
      <c r="N33" s="373">
        <v>0</v>
      </c>
      <c r="O33" s="373">
        <v>0</v>
      </c>
      <c r="P33" s="373">
        <v>0</v>
      </c>
      <c r="Q33" s="373">
        <v>0</v>
      </c>
      <c r="R33" s="373">
        <v>0</v>
      </c>
      <c r="S33" s="373">
        <v>0</v>
      </c>
      <c r="T33" s="373">
        <v>0</v>
      </c>
      <c r="U33" s="373">
        <v>0</v>
      </c>
      <c r="V33" s="373">
        <v>0</v>
      </c>
      <c r="W33" s="373">
        <v>0</v>
      </c>
      <c r="X33" s="373">
        <v>0</v>
      </c>
      <c r="Y33" s="382">
        <v>0</v>
      </c>
    </row>
    <row r="34" spans="1:25" ht="13.5" thickBot="1" x14ac:dyDescent="0.25">
      <c r="A34" s="379" t="s">
        <v>116</v>
      </c>
      <c r="B34" s="374">
        <f t="shared" ref="B34:X34" si="3">(C33+B33)*(C32-B32)/2</f>
        <v>0.155</v>
      </c>
      <c r="C34" s="375">
        <f t="shared" si="3"/>
        <v>5.2725</v>
      </c>
      <c r="D34" s="375">
        <f t="shared" si="3"/>
        <v>4.45</v>
      </c>
      <c r="E34" s="375">
        <f t="shared" si="3"/>
        <v>3.8534999999999995</v>
      </c>
      <c r="F34" s="375">
        <f t="shared" si="3"/>
        <v>8.3500000000000074E-2</v>
      </c>
      <c r="G34" s="375">
        <f t="shared" si="3"/>
        <v>0</v>
      </c>
      <c r="H34" s="375">
        <f t="shared" si="3"/>
        <v>0</v>
      </c>
      <c r="I34" s="375">
        <f t="shared" si="3"/>
        <v>0</v>
      </c>
      <c r="J34" s="375">
        <f t="shared" si="3"/>
        <v>0</v>
      </c>
      <c r="K34" s="375">
        <f t="shared" si="3"/>
        <v>0</v>
      </c>
      <c r="L34" s="375">
        <f t="shared" si="3"/>
        <v>0</v>
      </c>
      <c r="M34" s="375">
        <f t="shared" si="3"/>
        <v>0</v>
      </c>
      <c r="N34" s="375">
        <f t="shared" si="3"/>
        <v>0</v>
      </c>
      <c r="O34" s="375">
        <f t="shared" si="3"/>
        <v>0</v>
      </c>
      <c r="P34" s="375">
        <f t="shared" si="3"/>
        <v>0</v>
      </c>
      <c r="Q34" s="375">
        <f t="shared" si="3"/>
        <v>0</v>
      </c>
      <c r="R34" s="375">
        <f t="shared" si="3"/>
        <v>0</v>
      </c>
      <c r="S34" s="375">
        <f t="shared" si="3"/>
        <v>0</v>
      </c>
      <c r="T34" s="375">
        <f t="shared" si="3"/>
        <v>0</v>
      </c>
      <c r="U34" s="375">
        <f t="shared" si="3"/>
        <v>0</v>
      </c>
      <c r="V34" s="375">
        <f t="shared" si="3"/>
        <v>0</v>
      </c>
      <c r="W34" s="375">
        <f t="shared" si="3"/>
        <v>0</v>
      </c>
      <c r="X34" s="375">
        <f t="shared" si="3"/>
        <v>0</v>
      </c>
      <c r="Y34" s="369"/>
    </row>
    <row r="35" spans="1:25" ht="13.5" thickBot="1" x14ac:dyDescent="0.25">
      <c r="B35" s="12"/>
      <c r="C35" s="12"/>
      <c r="D35" s="12"/>
      <c r="E35" s="12"/>
      <c r="F35" s="12"/>
      <c r="G35" s="12"/>
      <c r="H35" s="12"/>
      <c r="I35" s="12"/>
      <c r="J35" s="12"/>
      <c r="K35" s="12"/>
      <c r="L35" s="12"/>
      <c r="M35" s="12"/>
      <c r="N35" s="12"/>
      <c r="O35" s="12"/>
      <c r="P35" s="12"/>
      <c r="Q35" s="12"/>
      <c r="R35" s="12"/>
      <c r="S35" s="12"/>
      <c r="T35" s="12"/>
      <c r="U35" s="12"/>
      <c r="V35" s="12"/>
      <c r="W35" s="12"/>
      <c r="X35" s="12"/>
      <c r="Y35" s="12"/>
    </row>
    <row r="36" spans="1:25" ht="13.5" thickBot="1" x14ac:dyDescent="0.25">
      <c r="A36" s="361" t="s">
        <v>311</v>
      </c>
      <c r="B36" s="359">
        <f>ROW(A36)</f>
        <v>36</v>
      </c>
      <c r="C36" s="363" t="s">
        <v>115</v>
      </c>
      <c r="D36" s="353">
        <f>SUM(B39:Y39)</f>
        <v>17.144499999999997</v>
      </c>
      <c r="E36" s="363" t="s">
        <v>114</v>
      </c>
      <c r="F36" s="399">
        <f>D36/g/J36</f>
        <v>2.9127590893645934</v>
      </c>
      <c r="G36" s="363" t="s">
        <v>56</v>
      </c>
      <c r="H36" s="64">
        <v>0.6</v>
      </c>
      <c r="I36" s="363" t="s">
        <v>271</v>
      </c>
      <c r="J36" s="355">
        <f>H36-L36</f>
        <v>0.6</v>
      </c>
      <c r="K36" s="363" t="s">
        <v>272</v>
      </c>
      <c r="L36" s="64">
        <v>0</v>
      </c>
      <c r="M36" s="363" t="s">
        <v>57</v>
      </c>
      <c r="N36" s="65">
        <f>0.4*R36</f>
        <v>120</v>
      </c>
      <c r="O36" s="363" t="s">
        <v>59</v>
      </c>
      <c r="P36" s="65">
        <v>150</v>
      </c>
      <c r="Q36" s="363" t="s">
        <v>60</v>
      </c>
      <c r="R36" s="65">
        <v>300</v>
      </c>
      <c r="S36" s="363" t="s">
        <v>61</v>
      </c>
      <c r="T36" s="65">
        <v>90</v>
      </c>
      <c r="U36" s="363" t="s">
        <v>54</v>
      </c>
      <c r="V36" s="66" t="s">
        <v>276</v>
      </c>
      <c r="W36" s="12"/>
      <c r="X36" s="12"/>
      <c r="Y36" s="12"/>
    </row>
    <row r="37" spans="1:25" x14ac:dyDescent="0.2">
      <c r="A37" s="362" t="s">
        <v>33</v>
      </c>
      <c r="B37" s="370">
        <v>0</v>
      </c>
      <c r="C37" s="371">
        <v>1E-3</v>
      </c>
      <c r="D37" s="371">
        <v>0.02</v>
      </c>
      <c r="E37" s="371">
        <v>0.04</v>
      </c>
      <c r="F37" s="371">
        <v>0.06</v>
      </c>
      <c r="G37" s="371">
        <v>0.08</v>
      </c>
      <c r="H37" s="371">
        <v>8.7999999999999995E-2</v>
      </c>
      <c r="I37" s="371">
        <v>8.8999999999999996E-2</v>
      </c>
      <c r="J37" s="371">
        <v>8.8999999999999996E-2</v>
      </c>
      <c r="K37" s="371">
        <v>8.8999999999999996E-2</v>
      </c>
      <c r="L37" s="371">
        <v>8.8999999999999996E-2</v>
      </c>
      <c r="M37" s="371">
        <v>8.8999999999999996E-2</v>
      </c>
      <c r="N37" s="371">
        <v>8.8999999999999996E-2</v>
      </c>
      <c r="O37" s="371">
        <v>8.8999999999999996E-2</v>
      </c>
      <c r="P37" s="371">
        <v>8.8999999999999996E-2</v>
      </c>
      <c r="Q37" s="371">
        <v>8.8999999999999996E-2</v>
      </c>
      <c r="R37" s="371">
        <v>8.8999999999999996E-2</v>
      </c>
      <c r="S37" s="371">
        <v>8.8999999999999996E-2</v>
      </c>
      <c r="T37" s="371">
        <v>8.8999999999999996E-2</v>
      </c>
      <c r="U37" s="371">
        <v>8.8999999999999996E-2</v>
      </c>
      <c r="V37" s="371">
        <v>8.8999999999999996E-2</v>
      </c>
      <c r="W37" s="371">
        <v>8.8999999999999996E-2</v>
      </c>
      <c r="X37" s="371">
        <v>8.8999999999999996E-2</v>
      </c>
      <c r="Y37" s="381">
        <v>1000</v>
      </c>
    </row>
    <row r="38" spans="1:25" x14ac:dyDescent="0.2">
      <c r="A38" s="378" t="s">
        <v>34</v>
      </c>
      <c r="B38" s="372">
        <v>0</v>
      </c>
      <c r="C38" s="373">
        <v>310</v>
      </c>
      <c r="D38" s="373">
        <v>240</v>
      </c>
      <c r="E38" s="373">
        <v>190</v>
      </c>
      <c r="F38" s="373">
        <v>157</v>
      </c>
      <c r="G38" s="373">
        <v>133</v>
      </c>
      <c r="H38" s="373">
        <v>125</v>
      </c>
      <c r="I38" s="373">
        <v>0</v>
      </c>
      <c r="J38" s="373">
        <v>0</v>
      </c>
      <c r="K38" s="373">
        <v>0</v>
      </c>
      <c r="L38" s="373">
        <v>0</v>
      </c>
      <c r="M38" s="373">
        <v>0</v>
      </c>
      <c r="N38" s="373">
        <v>0</v>
      </c>
      <c r="O38" s="373">
        <v>0</v>
      </c>
      <c r="P38" s="373">
        <v>0</v>
      </c>
      <c r="Q38" s="373">
        <v>0</v>
      </c>
      <c r="R38" s="373">
        <v>0</v>
      </c>
      <c r="S38" s="373">
        <v>0</v>
      </c>
      <c r="T38" s="373">
        <v>0</v>
      </c>
      <c r="U38" s="373">
        <v>0</v>
      </c>
      <c r="V38" s="373">
        <v>0</v>
      </c>
      <c r="W38" s="373">
        <v>0</v>
      </c>
      <c r="X38" s="373">
        <v>0</v>
      </c>
      <c r="Y38" s="382">
        <v>0</v>
      </c>
    </row>
    <row r="39" spans="1:25" ht="13.5" thickBot="1" x14ac:dyDescent="0.25">
      <c r="A39" s="379" t="s">
        <v>116</v>
      </c>
      <c r="B39" s="374">
        <f t="shared" ref="B39:X39" si="4">(C38+B38)*(C37-B37)/2</f>
        <v>0.155</v>
      </c>
      <c r="C39" s="375">
        <f t="shared" si="4"/>
        <v>5.2249999999999996</v>
      </c>
      <c r="D39" s="375">
        <f t="shared" si="4"/>
        <v>4.3</v>
      </c>
      <c r="E39" s="375">
        <f t="shared" si="4"/>
        <v>3.4699999999999993</v>
      </c>
      <c r="F39" s="375">
        <f t="shared" si="4"/>
        <v>2.9000000000000004</v>
      </c>
      <c r="G39" s="375">
        <f t="shared" si="4"/>
        <v>1.0319999999999991</v>
      </c>
      <c r="H39" s="375">
        <f t="shared" si="4"/>
        <v>6.2500000000000056E-2</v>
      </c>
      <c r="I39" s="375">
        <f t="shared" si="4"/>
        <v>0</v>
      </c>
      <c r="J39" s="375">
        <f t="shared" si="4"/>
        <v>0</v>
      </c>
      <c r="K39" s="375">
        <f t="shared" si="4"/>
        <v>0</v>
      </c>
      <c r="L39" s="375">
        <f t="shared" si="4"/>
        <v>0</v>
      </c>
      <c r="M39" s="375">
        <f t="shared" si="4"/>
        <v>0</v>
      </c>
      <c r="N39" s="375">
        <f t="shared" si="4"/>
        <v>0</v>
      </c>
      <c r="O39" s="375">
        <f t="shared" si="4"/>
        <v>0</v>
      </c>
      <c r="P39" s="375">
        <f t="shared" si="4"/>
        <v>0</v>
      </c>
      <c r="Q39" s="375">
        <f t="shared" si="4"/>
        <v>0</v>
      </c>
      <c r="R39" s="375">
        <f t="shared" si="4"/>
        <v>0</v>
      </c>
      <c r="S39" s="375">
        <f t="shared" si="4"/>
        <v>0</v>
      </c>
      <c r="T39" s="375">
        <f t="shared" si="4"/>
        <v>0</v>
      </c>
      <c r="U39" s="375">
        <f t="shared" si="4"/>
        <v>0</v>
      </c>
      <c r="V39" s="375">
        <f t="shared" si="4"/>
        <v>0</v>
      </c>
      <c r="W39" s="375">
        <f t="shared" si="4"/>
        <v>0</v>
      </c>
      <c r="X39" s="375">
        <f t="shared" si="4"/>
        <v>0</v>
      </c>
      <c r="Y39" s="369"/>
    </row>
    <row r="40" spans="1:25" ht="13.5" thickBot="1" x14ac:dyDescent="0.25">
      <c r="A40" s="12"/>
      <c r="L40" s="12"/>
      <c r="M40" s="12"/>
      <c r="N40" s="12"/>
      <c r="O40" s="12"/>
      <c r="P40" s="12"/>
      <c r="Q40" s="12"/>
      <c r="R40" s="12"/>
      <c r="S40" s="12"/>
      <c r="T40" s="12"/>
      <c r="U40" s="12"/>
      <c r="V40" s="12"/>
      <c r="W40" s="12"/>
      <c r="X40" s="12"/>
      <c r="Y40" s="12"/>
    </row>
    <row r="41" spans="1:25" ht="13.5" thickBot="1" x14ac:dyDescent="0.25">
      <c r="A41" s="361" t="s">
        <v>312</v>
      </c>
      <c r="B41" s="359">
        <f>ROW(A41)</f>
        <v>41</v>
      </c>
      <c r="C41" s="363" t="s">
        <v>115</v>
      </c>
      <c r="D41" s="353">
        <f>SUM(B44:Y44)</f>
        <v>19.415000000000003</v>
      </c>
      <c r="E41" s="363" t="s">
        <v>114</v>
      </c>
      <c r="F41" s="399">
        <f>D41/g/J41</f>
        <v>2.6388039415562354</v>
      </c>
      <c r="G41" s="363" t="s">
        <v>56</v>
      </c>
      <c r="H41" s="64">
        <v>0.75</v>
      </c>
      <c r="I41" s="363" t="s">
        <v>271</v>
      </c>
      <c r="J41" s="355">
        <f>H41-L41</f>
        <v>0.75</v>
      </c>
      <c r="K41" s="363" t="s">
        <v>272</v>
      </c>
      <c r="L41" s="64">
        <v>0</v>
      </c>
      <c r="M41" s="363" t="s">
        <v>57</v>
      </c>
      <c r="N41" s="65">
        <f>0.5*R41</f>
        <v>150</v>
      </c>
      <c r="O41" s="363" t="s">
        <v>59</v>
      </c>
      <c r="P41" s="65">
        <v>150</v>
      </c>
      <c r="Q41" s="363" t="s">
        <v>60</v>
      </c>
      <c r="R41" s="65">
        <v>300</v>
      </c>
      <c r="S41" s="363" t="s">
        <v>61</v>
      </c>
      <c r="T41" s="65">
        <v>90</v>
      </c>
      <c r="U41" s="363" t="s">
        <v>54</v>
      </c>
      <c r="V41" s="66" t="s">
        <v>276</v>
      </c>
      <c r="W41" s="12"/>
      <c r="X41" s="12"/>
      <c r="Y41" s="12"/>
    </row>
    <row r="42" spans="1:25" x14ac:dyDescent="0.2">
      <c r="A42" s="362" t="s">
        <v>33</v>
      </c>
      <c r="B42" s="370">
        <v>0</v>
      </c>
      <c r="C42" s="371">
        <v>1E-3</v>
      </c>
      <c r="D42" s="371">
        <v>0.02</v>
      </c>
      <c r="E42" s="371">
        <v>0.04</v>
      </c>
      <c r="F42" s="371">
        <v>0.06</v>
      </c>
      <c r="G42" s="371">
        <v>0.08</v>
      </c>
      <c r="H42" s="371">
        <v>0.1</v>
      </c>
      <c r="I42" s="371">
        <v>0.123</v>
      </c>
      <c r="J42" s="371">
        <v>0.124</v>
      </c>
      <c r="K42" s="371">
        <v>0.124</v>
      </c>
      <c r="L42" s="371">
        <v>0.124</v>
      </c>
      <c r="M42" s="371">
        <v>0.124</v>
      </c>
      <c r="N42" s="371">
        <v>0.124</v>
      </c>
      <c r="O42" s="371">
        <v>0.124</v>
      </c>
      <c r="P42" s="371">
        <v>0.124</v>
      </c>
      <c r="Q42" s="371">
        <v>0.124</v>
      </c>
      <c r="R42" s="371">
        <v>0.124</v>
      </c>
      <c r="S42" s="371">
        <v>0.124</v>
      </c>
      <c r="T42" s="371">
        <v>0.124</v>
      </c>
      <c r="U42" s="371">
        <v>0.124</v>
      </c>
      <c r="V42" s="371">
        <v>0.124</v>
      </c>
      <c r="W42" s="371">
        <v>0.124</v>
      </c>
      <c r="X42" s="371">
        <v>0.124</v>
      </c>
      <c r="Y42" s="381">
        <v>1000</v>
      </c>
    </row>
    <row r="43" spans="1:25" x14ac:dyDescent="0.2">
      <c r="A43" s="378" t="s">
        <v>34</v>
      </c>
      <c r="B43" s="372">
        <v>0</v>
      </c>
      <c r="C43" s="373">
        <v>310</v>
      </c>
      <c r="D43" s="373">
        <v>230</v>
      </c>
      <c r="E43" s="373">
        <v>175</v>
      </c>
      <c r="F43" s="373">
        <v>140</v>
      </c>
      <c r="G43" s="373">
        <v>118</v>
      </c>
      <c r="H43" s="373">
        <v>100</v>
      </c>
      <c r="I43" s="373">
        <v>85</v>
      </c>
      <c r="J43" s="373">
        <v>0</v>
      </c>
      <c r="K43" s="373">
        <v>0</v>
      </c>
      <c r="L43" s="373">
        <v>0</v>
      </c>
      <c r="M43" s="373">
        <v>0</v>
      </c>
      <c r="N43" s="373">
        <v>0</v>
      </c>
      <c r="O43" s="373">
        <v>0</v>
      </c>
      <c r="P43" s="373">
        <v>0</v>
      </c>
      <c r="Q43" s="373">
        <v>0</v>
      </c>
      <c r="R43" s="373">
        <v>0</v>
      </c>
      <c r="S43" s="373">
        <v>0</v>
      </c>
      <c r="T43" s="373">
        <v>0</v>
      </c>
      <c r="U43" s="373">
        <v>0</v>
      </c>
      <c r="V43" s="373">
        <v>0</v>
      </c>
      <c r="W43" s="373">
        <v>0</v>
      </c>
      <c r="X43" s="373">
        <v>0</v>
      </c>
      <c r="Y43" s="382">
        <v>0</v>
      </c>
    </row>
    <row r="44" spans="1:25" ht="13.5" thickBot="1" x14ac:dyDescent="0.25">
      <c r="A44" s="379" t="s">
        <v>116</v>
      </c>
      <c r="B44" s="374">
        <f t="shared" ref="B44:X44" si="5">(C43+B43)*(C42-B42)/2</f>
        <v>0.155</v>
      </c>
      <c r="C44" s="375">
        <f t="shared" si="5"/>
        <v>5.13</v>
      </c>
      <c r="D44" s="375">
        <f t="shared" si="5"/>
        <v>4.05</v>
      </c>
      <c r="E44" s="375">
        <f t="shared" si="5"/>
        <v>3.1499999999999995</v>
      </c>
      <c r="F44" s="375">
        <f t="shared" si="5"/>
        <v>2.5800000000000005</v>
      </c>
      <c r="G44" s="375">
        <f t="shared" si="5"/>
        <v>2.1800000000000006</v>
      </c>
      <c r="H44" s="375">
        <f t="shared" si="5"/>
        <v>2.1274999999999995</v>
      </c>
      <c r="I44" s="375">
        <f t="shared" si="5"/>
        <v>4.2500000000000038E-2</v>
      </c>
      <c r="J44" s="375">
        <f t="shared" si="5"/>
        <v>0</v>
      </c>
      <c r="K44" s="375">
        <f t="shared" si="5"/>
        <v>0</v>
      </c>
      <c r="L44" s="375">
        <f t="shared" si="5"/>
        <v>0</v>
      </c>
      <c r="M44" s="375">
        <f t="shared" si="5"/>
        <v>0</v>
      </c>
      <c r="N44" s="375">
        <f t="shared" si="5"/>
        <v>0</v>
      </c>
      <c r="O44" s="375">
        <f t="shared" si="5"/>
        <v>0</v>
      </c>
      <c r="P44" s="375">
        <f t="shared" si="5"/>
        <v>0</v>
      </c>
      <c r="Q44" s="375">
        <f t="shared" si="5"/>
        <v>0</v>
      </c>
      <c r="R44" s="375">
        <f t="shared" si="5"/>
        <v>0</v>
      </c>
      <c r="S44" s="375">
        <f t="shared" si="5"/>
        <v>0</v>
      </c>
      <c r="T44" s="375">
        <f t="shared" si="5"/>
        <v>0</v>
      </c>
      <c r="U44" s="375">
        <f t="shared" si="5"/>
        <v>0</v>
      </c>
      <c r="V44" s="375">
        <f t="shared" si="5"/>
        <v>0</v>
      </c>
      <c r="W44" s="375">
        <f t="shared" si="5"/>
        <v>0</v>
      </c>
      <c r="X44" s="375">
        <f t="shared" si="5"/>
        <v>0</v>
      </c>
      <c r="Y44" s="369"/>
    </row>
    <row r="45" spans="1:25" ht="13.5" thickBot="1" x14ac:dyDescent="0.25"/>
    <row r="46" spans="1:25" ht="13.5" thickBot="1" x14ac:dyDescent="0.25">
      <c r="A46" s="361" t="s">
        <v>277</v>
      </c>
      <c r="B46" s="359">
        <f>ROW(A46)</f>
        <v>46</v>
      </c>
      <c r="C46" s="363" t="s">
        <v>115</v>
      </c>
      <c r="D46" s="353">
        <f>SUM(B49:Y49)</f>
        <v>12.8695</v>
      </c>
      <c r="E46" s="363" t="s">
        <v>114</v>
      </c>
      <c r="F46" s="399">
        <f>D46/g/J46</f>
        <v>3.2796890927624869</v>
      </c>
      <c r="G46" s="363" t="s">
        <v>56</v>
      </c>
      <c r="H46" s="64">
        <v>0.5</v>
      </c>
      <c r="I46" s="363" t="s">
        <v>271</v>
      </c>
      <c r="J46" s="355">
        <f>H46-L46</f>
        <v>0.4</v>
      </c>
      <c r="K46" s="363" t="s">
        <v>272</v>
      </c>
      <c r="L46" s="64">
        <v>0.1</v>
      </c>
      <c r="M46" s="363" t="s">
        <v>57</v>
      </c>
      <c r="N46" s="65">
        <f>0.2*R46</f>
        <v>60</v>
      </c>
      <c r="O46" s="363" t="s">
        <v>59</v>
      </c>
      <c r="P46" s="65">
        <v>150</v>
      </c>
      <c r="Q46" s="363" t="s">
        <v>60</v>
      </c>
      <c r="R46" s="65">
        <v>300</v>
      </c>
      <c r="S46" s="363" t="s">
        <v>61</v>
      </c>
      <c r="T46" s="65">
        <v>98</v>
      </c>
      <c r="U46" s="363" t="s">
        <v>54</v>
      </c>
      <c r="V46" s="66" t="s">
        <v>276</v>
      </c>
      <c r="W46" s="12"/>
      <c r="X46" s="12"/>
      <c r="Y46" s="12"/>
    </row>
    <row r="47" spans="1:25" x14ac:dyDescent="0.2">
      <c r="A47" s="362" t="s">
        <v>33</v>
      </c>
      <c r="B47" s="370">
        <v>0</v>
      </c>
      <c r="C47" s="371">
        <v>1E-3</v>
      </c>
      <c r="D47" s="371">
        <v>0.02</v>
      </c>
      <c r="E47" s="371">
        <v>0.04</v>
      </c>
      <c r="F47" s="371">
        <v>0.05</v>
      </c>
      <c r="G47" s="371">
        <v>5.0999999999999997E-2</v>
      </c>
      <c r="H47" s="371">
        <v>5.0999999999999997E-2</v>
      </c>
      <c r="I47" s="371">
        <v>5.0999999999999997E-2</v>
      </c>
      <c r="J47" s="371">
        <v>5.0999999999999997E-2</v>
      </c>
      <c r="K47" s="371">
        <v>5.0999999999999997E-2</v>
      </c>
      <c r="L47" s="371">
        <v>5.0999999999999997E-2</v>
      </c>
      <c r="M47" s="371">
        <v>5.0999999999999997E-2</v>
      </c>
      <c r="N47" s="371">
        <v>5.0999999999999997E-2</v>
      </c>
      <c r="O47" s="371">
        <v>5.0999999999999997E-2</v>
      </c>
      <c r="P47" s="371">
        <v>5.0999999999999997E-2</v>
      </c>
      <c r="Q47" s="371">
        <v>5.0999999999999997E-2</v>
      </c>
      <c r="R47" s="371">
        <v>5.0999999999999997E-2</v>
      </c>
      <c r="S47" s="371">
        <v>5.0999999999999997E-2</v>
      </c>
      <c r="T47" s="371">
        <v>5.0999999999999997E-2</v>
      </c>
      <c r="U47" s="371">
        <v>5.0999999999999997E-2</v>
      </c>
      <c r="V47" s="371">
        <v>5.0999999999999997E-2</v>
      </c>
      <c r="W47" s="371">
        <v>5.0999999999999997E-2</v>
      </c>
      <c r="X47" s="371">
        <v>5.0999999999999997E-2</v>
      </c>
      <c r="Y47" s="381">
        <v>1000</v>
      </c>
    </row>
    <row r="48" spans="1:25" x14ac:dyDescent="0.2">
      <c r="A48" s="378" t="s">
        <v>34</v>
      </c>
      <c r="B48" s="372">
        <v>0</v>
      </c>
      <c r="C48" s="373">
        <v>310</v>
      </c>
      <c r="D48" s="373">
        <v>264</v>
      </c>
      <c r="E48" s="373">
        <v>230</v>
      </c>
      <c r="F48" s="373">
        <v>213</v>
      </c>
      <c r="G48" s="373">
        <v>0</v>
      </c>
      <c r="H48" s="373">
        <v>0</v>
      </c>
      <c r="I48" s="373">
        <v>0</v>
      </c>
      <c r="J48" s="373">
        <v>0</v>
      </c>
      <c r="K48" s="373">
        <v>0</v>
      </c>
      <c r="L48" s="373">
        <v>0</v>
      </c>
      <c r="M48" s="373">
        <v>0</v>
      </c>
      <c r="N48" s="373">
        <v>0</v>
      </c>
      <c r="O48" s="373">
        <v>0</v>
      </c>
      <c r="P48" s="373">
        <v>0</v>
      </c>
      <c r="Q48" s="373">
        <v>0</v>
      </c>
      <c r="R48" s="373">
        <v>0</v>
      </c>
      <c r="S48" s="373">
        <v>0</v>
      </c>
      <c r="T48" s="373">
        <v>0</v>
      </c>
      <c r="U48" s="373">
        <v>0</v>
      </c>
      <c r="V48" s="373">
        <v>0</v>
      </c>
      <c r="W48" s="373">
        <v>0</v>
      </c>
      <c r="X48" s="373">
        <v>0</v>
      </c>
      <c r="Y48" s="382">
        <v>0</v>
      </c>
    </row>
    <row r="49" spans="1:25" ht="13.5" thickBot="1" x14ac:dyDescent="0.25">
      <c r="A49" s="379" t="s">
        <v>116</v>
      </c>
      <c r="B49" s="374">
        <f t="shared" ref="B49:X49" si="6">(C48+B48)*(C47-B47)/2</f>
        <v>0.155</v>
      </c>
      <c r="C49" s="375">
        <f t="shared" si="6"/>
        <v>5.4530000000000003</v>
      </c>
      <c r="D49" s="375">
        <f t="shared" si="6"/>
        <v>4.9400000000000004</v>
      </c>
      <c r="E49" s="375">
        <f t="shared" si="6"/>
        <v>2.2150000000000003</v>
      </c>
      <c r="F49" s="375">
        <f t="shared" si="6"/>
        <v>0.10649999999999936</v>
      </c>
      <c r="G49" s="375">
        <f t="shared" si="6"/>
        <v>0</v>
      </c>
      <c r="H49" s="375">
        <f t="shared" si="6"/>
        <v>0</v>
      </c>
      <c r="I49" s="375">
        <f t="shared" si="6"/>
        <v>0</v>
      </c>
      <c r="J49" s="375">
        <f t="shared" si="6"/>
        <v>0</v>
      </c>
      <c r="K49" s="375">
        <f t="shared" si="6"/>
        <v>0</v>
      </c>
      <c r="L49" s="375">
        <f t="shared" si="6"/>
        <v>0</v>
      </c>
      <c r="M49" s="375">
        <f t="shared" si="6"/>
        <v>0</v>
      </c>
      <c r="N49" s="375">
        <f t="shared" si="6"/>
        <v>0</v>
      </c>
      <c r="O49" s="375">
        <f t="shared" si="6"/>
        <v>0</v>
      </c>
      <c r="P49" s="375">
        <f t="shared" si="6"/>
        <v>0</v>
      </c>
      <c r="Q49" s="375">
        <f t="shared" si="6"/>
        <v>0</v>
      </c>
      <c r="R49" s="375">
        <f t="shared" si="6"/>
        <v>0</v>
      </c>
      <c r="S49" s="375">
        <f t="shared" si="6"/>
        <v>0</v>
      </c>
      <c r="T49" s="375">
        <f t="shared" si="6"/>
        <v>0</v>
      </c>
      <c r="U49" s="375">
        <f t="shared" si="6"/>
        <v>0</v>
      </c>
      <c r="V49" s="375">
        <f t="shared" si="6"/>
        <v>0</v>
      </c>
      <c r="W49" s="375">
        <f t="shared" si="6"/>
        <v>0</v>
      </c>
      <c r="X49" s="375">
        <f t="shared" si="6"/>
        <v>0</v>
      </c>
      <c r="Y49" s="369"/>
    </row>
    <row r="50" spans="1:25" ht="13.5" thickBot="1" x14ac:dyDescent="0.25">
      <c r="A50" s="12"/>
      <c r="L50" s="12"/>
      <c r="M50" s="12"/>
      <c r="N50" s="12"/>
      <c r="O50" s="12"/>
      <c r="P50" s="12"/>
      <c r="Q50" s="12"/>
      <c r="R50" s="12"/>
      <c r="S50" s="12"/>
      <c r="T50" s="12"/>
      <c r="U50" s="12"/>
      <c r="V50" s="12"/>
      <c r="W50" s="12"/>
      <c r="X50" s="12"/>
      <c r="Y50" s="12"/>
    </row>
    <row r="51" spans="1:25" ht="13.5" thickBot="1" x14ac:dyDescent="0.25">
      <c r="A51" s="361" t="s">
        <v>278</v>
      </c>
      <c r="B51" s="359">
        <f>ROW(A51)</f>
        <v>51</v>
      </c>
      <c r="C51" s="363" t="s">
        <v>115</v>
      </c>
      <c r="D51" s="353">
        <f>SUM(B54:Y54)</f>
        <v>18.123500000000003</v>
      </c>
      <c r="E51" s="363" t="s">
        <v>114</v>
      </c>
      <c r="F51" s="399">
        <f>D51/g/J51</f>
        <v>3.0790859667006463</v>
      </c>
      <c r="G51" s="363" t="s">
        <v>56</v>
      </c>
      <c r="H51" s="64">
        <v>0.7</v>
      </c>
      <c r="I51" s="363" t="s">
        <v>271</v>
      </c>
      <c r="J51" s="355">
        <f>H51-L51</f>
        <v>0.6</v>
      </c>
      <c r="K51" s="363" t="s">
        <v>272</v>
      </c>
      <c r="L51" s="64">
        <v>0.1</v>
      </c>
      <c r="M51" s="363" t="s">
        <v>57</v>
      </c>
      <c r="N51" s="65">
        <f>0.3*R51</f>
        <v>90</v>
      </c>
      <c r="O51" s="363" t="s">
        <v>59</v>
      </c>
      <c r="P51" s="65">
        <v>150</v>
      </c>
      <c r="Q51" s="363" t="s">
        <v>60</v>
      </c>
      <c r="R51" s="65">
        <v>300</v>
      </c>
      <c r="S51" s="363" t="s">
        <v>61</v>
      </c>
      <c r="T51" s="65">
        <v>98</v>
      </c>
      <c r="U51" s="363" t="s">
        <v>54</v>
      </c>
      <c r="V51" s="66" t="s">
        <v>276</v>
      </c>
      <c r="W51" s="12"/>
      <c r="X51" s="12"/>
      <c r="Y51" s="12"/>
    </row>
    <row r="52" spans="1:25" x14ac:dyDescent="0.2">
      <c r="A52" s="362" t="s">
        <v>33</v>
      </c>
      <c r="B52" s="370">
        <v>0</v>
      </c>
      <c r="C52" s="371">
        <v>1E-3</v>
      </c>
      <c r="D52" s="371">
        <v>0.02</v>
      </c>
      <c r="E52" s="371">
        <v>0.04</v>
      </c>
      <c r="F52" s="371">
        <v>0.06</v>
      </c>
      <c r="G52" s="371">
        <v>0.08</v>
      </c>
      <c r="H52" s="371">
        <v>8.1000000000000003E-2</v>
      </c>
      <c r="I52" s="371">
        <v>8.1000000000000003E-2</v>
      </c>
      <c r="J52" s="371">
        <v>8.1000000000000003E-2</v>
      </c>
      <c r="K52" s="371">
        <v>8.1000000000000003E-2</v>
      </c>
      <c r="L52" s="371">
        <v>8.1000000000000003E-2</v>
      </c>
      <c r="M52" s="371">
        <v>8.1000000000000003E-2</v>
      </c>
      <c r="N52" s="371">
        <v>8.1000000000000003E-2</v>
      </c>
      <c r="O52" s="371">
        <v>8.1000000000000003E-2</v>
      </c>
      <c r="P52" s="371">
        <v>8.1000000000000003E-2</v>
      </c>
      <c r="Q52" s="371">
        <v>8.1000000000000003E-2</v>
      </c>
      <c r="R52" s="371">
        <v>8.1000000000000003E-2</v>
      </c>
      <c r="S52" s="371">
        <v>8.1000000000000003E-2</v>
      </c>
      <c r="T52" s="371">
        <v>8.1000000000000003E-2</v>
      </c>
      <c r="U52" s="371">
        <v>8.1000000000000003E-2</v>
      </c>
      <c r="V52" s="371">
        <v>8.1000000000000003E-2</v>
      </c>
      <c r="W52" s="371">
        <v>8.1000000000000003E-2</v>
      </c>
      <c r="X52" s="371">
        <v>8.1000000000000003E-2</v>
      </c>
      <c r="Y52" s="381">
        <v>1000</v>
      </c>
    </row>
    <row r="53" spans="1:25" x14ac:dyDescent="0.2">
      <c r="A53" s="378" t="s">
        <v>34</v>
      </c>
      <c r="B53" s="372">
        <v>0</v>
      </c>
      <c r="C53" s="373">
        <v>310</v>
      </c>
      <c r="D53" s="373">
        <v>260</v>
      </c>
      <c r="E53" s="373">
        <v>220</v>
      </c>
      <c r="F53" s="373">
        <v>190</v>
      </c>
      <c r="G53" s="373">
        <v>167</v>
      </c>
      <c r="H53" s="373">
        <v>0</v>
      </c>
      <c r="I53" s="373">
        <v>0</v>
      </c>
      <c r="J53" s="373">
        <v>0</v>
      </c>
      <c r="K53" s="373">
        <v>0</v>
      </c>
      <c r="L53" s="373">
        <v>0</v>
      </c>
      <c r="M53" s="373">
        <v>0</v>
      </c>
      <c r="N53" s="373">
        <v>0</v>
      </c>
      <c r="O53" s="373">
        <v>0</v>
      </c>
      <c r="P53" s="373">
        <v>0</v>
      </c>
      <c r="Q53" s="373">
        <v>0</v>
      </c>
      <c r="R53" s="373">
        <v>0</v>
      </c>
      <c r="S53" s="373">
        <v>0</v>
      </c>
      <c r="T53" s="373">
        <v>0</v>
      </c>
      <c r="U53" s="373">
        <v>0</v>
      </c>
      <c r="V53" s="373">
        <v>0</v>
      </c>
      <c r="W53" s="373">
        <v>0</v>
      </c>
      <c r="X53" s="373">
        <v>0</v>
      </c>
      <c r="Y53" s="382">
        <v>0</v>
      </c>
    </row>
    <row r="54" spans="1:25" ht="13.5" thickBot="1" x14ac:dyDescent="0.25">
      <c r="A54" s="379" t="s">
        <v>116</v>
      </c>
      <c r="B54" s="374">
        <f t="shared" ref="B54:X54" si="7">(C53+B53)*(C52-B52)/2</f>
        <v>0.155</v>
      </c>
      <c r="C54" s="375">
        <f t="shared" si="7"/>
        <v>5.415</v>
      </c>
      <c r="D54" s="375">
        <f t="shared" si="7"/>
        <v>4.8</v>
      </c>
      <c r="E54" s="375">
        <f t="shared" si="7"/>
        <v>4.0999999999999996</v>
      </c>
      <c r="F54" s="375">
        <f t="shared" si="7"/>
        <v>3.5700000000000007</v>
      </c>
      <c r="G54" s="375">
        <f t="shared" si="7"/>
        <v>8.3500000000000074E-2</v>
      </c>
      <c r="H54" s="375">
        <f t="shared" si="7"/>
        <v>0</v>
      </c>
      <c r="I54" s="375">
        <f t="shared" si="7"/>
        <v>0</v>
      </c>
      <c r="J54" s="375">
        <f t="shared" si="7"/>
        <v>0</v>
      </c>
      <c r="K54" s="375">
        <f t="shared" si="7"/>
        <v>0</v>
      </c>
      <c r="L54" s="375">
        <f t="shared" si="7"/>
        <v>0</v>
      </c>
      <c r="M54" s="375">
        <f t="shared" si="7"/>
        <v>0</v>
      </c>
      <c r="N54" s="375">
        <f t="shared" si="7"/>
        <v>0</v>
      </c>
      <c r="O54" s="375">
        <f t="shared" si="7"/>
        <v>0</v>
      </c>
      <c r="P54" s="375">
        <f t="shared" si="7"/>
        <v>0</v>
      </c>
      <c r="Q54" s="375">
        <f t="shared" si="7"/>
        <v>0</v>
      </c>
      <c r="R54" s="375">
        <f t="shared" si="7"/>
        <v>0</v>
      </c>
      <c r="S54" s="375">
        <f t="shared" si="7"/>
        <v>0</v>
      </c>
      <c r="T54" s="375">
        <f t="shared" si="7"/>
        <v>0</v>
      </c>
      <c r="U54" s="375">
        <f t="shared" si="7"/>
        <v>0</v>
      </c>
      <c r="V54" s="375">
        <f t="shared" si="7"/>
        <v>0</v>
      </c>
      <c r="W54" s="375">
        <f t="shared" si="7"/>
        <v>0</v>
      </c>
      <c r="X54" s="375">
        <f t="shared" si="7"/>
        <v>0</v>
      </c>
      <c r="Y54" s="369"/>
    </row>
    <row r="55" spans="1:25" ht="13.5" thickBot="1" x14ac:dyDescent="0.25">
      <c r="B55" s="12"/>
      <c r="C55" s="12"/>
      <c r="D55" s="12"/>
      <c r="E55" s="12"/>
      <c r="F55" s="12"/>
      <c r="G55" s="12"/>
      <c r="H55" s="12"/>
      <c r="I55" s="12"/>
      <c r="J55" s="12"/>
      <c r="K55" s="12"/>
      <c r="L55" s="12"/>
      <c r="M55" s="12"/>
      <c r="N55" s="12"/>
      <c r="O55" s="12"/>
      <c r="P55" s="12"/>
      <c r="Q55" s="12"/>
      <c r="R55" s="12"/>
      <c r="S55" s="12"/>
      <c r="T55" s="12"/>
      <c r="U55" s="12"/>
      <c r="V55" s="12"/>
      <c r="W55" s="12"/>
      <c r="X55" s="12"/>
      <c r="Y55" s="12"/>
    </row>
    <row r="56" spans="1:25" ht="13.5" thickBot="1" x14ac:dyDescent="0.25">
      <c r="A56" s="361" t="s">
        <v>279</v>
      </c>
      <c r="B56" s="359">
        <f>ROW(A56)</f>
        <v>56</v>
      </c>
      <c r="C56" s="363" t="s">
        <v>115</v>
      </c>
      <c r="D56" s="353">
        <f>SUM(B59:Y59)</f>
        <v>22.610000000000003</v>
      </c>
      <c r="E56" s="363" t="s">
        <v>114</v>
      </c>
      <c r="F56" s="399">
        <f>D56/g/J56</f>
        <v>2.88098878695209</v>
      </c>
      <c r="G56" s="363" t="s">
        <v>56</v>
      </c>
      <c r="H56" s="64">
        <v>0.9</v>
      </c>
      <c r="I56" s="363" t="s">
        <v>271</v>
      </c>
      <c r="J56" s="355">
        <f>H56-L56</f>
        <v>0.8</v>
      </c>
      <c r="K56" s="363" t="s">
        <v>272</v>
      </c>
      <c r="L56" s="64">
        <v>0.1</v>
      </c>
      <c r="M56" s="363" t="s">
        <v>57</v>
      </c>
      <c r="N56" s="65">
        <f>0.4*R56</f>
        <v>120</v>
      </c>
      <c r="O56" s="363" t="s">
        <v>59</v>
      </c>
      <c r="P56" s="65">
        <v>150</v>
      </c>
      <c r="Q56" s="363" t="s">
        <v>60</v>
      </c>
      <c r="R56" s="65">
        <v>300</v>
      </c>
      <c r="S56" s="363" t="s">
        <v>61</v>
      </c>
      <c r="T56" s="65">
        <v>98</v>
      </c>
      <c r="U56" s="363" t="s">
        <v>54</v>
      </c>
      <c r="V56" s="66" t="s">
        <v>276</v>
      </c>
      <c r="W56" s="12"/>
      <c r="X56" s="12"/>
      <c r="Y56" s="12"/>
    </row>
    <row r="57" spans="1:25" x14ac:dyDescent="0.2">
      <c r="A57" s="362" t="s">
        <v>33</v>
      </c>
      <c r="B57" s="370">
        <v>0</v>
      </c>
      <c r="C57" s="371">
        <v>1E-3</v>
      </c>
      <c r="D57" s="371">
        <v>0.02</v>
      </c>
      <c r="E57" s="371">
        <v>0.04</v>
      </c>
      <c r="F57" s="371">
        <v>0.06</v>
      </c>
      <c r="G57" s="371">
        <v>0.08</v>
      </c>
      <c r="H57" s="371">
        <v>0.1</v>
      </c>
      <c r="I57" s="371">
        <v>0.11700000000000001</v>
      </c>
      <c r="J57" s="371">
        <v>0.11799999999999999</v>
      </c>
      <c r="K57" s="371">
        <v>0.11799999999999999</v>
      </c>
      <c r="L57" s="371">
        <v>0.11799999999999999</v>
      </c>
      <c r="M57" s="371">
        <v>0.11799999999999999</v>
      </c>
      <c r="N57" s="371">
        <v>0.11799999999999999</v>
      </c>
      <c r="O57" s="371">
        <v>0.11799999999999999</v>
      </c>
      <c r="P57" s="371">
        <v>0.11799999999999999</v>
      </c>
      <c r="Q57" s="371">
        <v>0.11799999999999999</v>
      </c>
      <c r="R57" s="371">
        <v>0.11799999999999999</v>
      </c>
      <c r="S57" s="371">
        <v>0.11799999999999999</v>
      </c>
      <c r="T57" s="371">
        <v>0.11799999999999999</v>
      </c>
      <c r="U57" s="371">
        <v>0.11799999999999999</v>
      </c>
      <c r="V57" s="371">
        <v>0.11799999999999999</v>
      </c>
      <c r="W57" s="371">
        <v>0.11799999999999999</v>
      </c>
      <c r="X57" s="371">
        <v>0.11799999999999999</v>
      </c>
      <c r="Y57" s="381">
        <v>1000</v>
      </c>
    </row>
    <row r="58" spans="1:25" x14ac:dyDescent="0.2">
      <c r="A58" s="378" t="s">
        <v>34</v>
      </c>
      <c r="B58" s="372">
        <v>0</v>
      </c>
      <c r="C58" s="373">
        <v>310</v>
      </c>
      <c r="D58" s="373">
        <v>250</v>
      </c>
      <c r="E58" s="373">
        <v>210</v>
      </c>
      <c r="F58" s="373">
        <v>180</v>
      </c>
      <c r="G58" s="373">
        <v>156</v>
      </c>
      <c r="H58" s="373">
        <v>140</v>
      </c>
      <c r="I58" s="373">
        <v>125</v>
      </c>
      <c r="J58" s="373">
        <v>0</v>
      </c>
      <c r="K58" s="373">
        <v>0</v>
      </c>
      <c r="L58" s="373">
        <v>0</v>
      </c>
      <c r="M58" s="373">
        <v>0</v>
      </c>
      <c r="N58" s="373">
        <v>0</v>
      </c>
      <c r="O58" s="373">
        <v>0</v>
      </c>
      <c r="P58" s="373">
        <v>0</v>
      </c>
      <c r="Q58" s="373">
        <v>0</v>
      </c>
      <c r="R58" s="373">
        <v>0</v>
      </c>
      <c r="S58" s="373">
        <v>0</v>
      </c>
      <c r="T58" s="373">
        <v>0</v>
      </c>
      <c r="U58" s="373">
        <v>0</v>
      </c>
      <c r="V58" s="373">
        <v>0</v>
      </c>
      <c r="W58" s="373">
        <v>0</v>
      </c>
      <c r="X58" s="373">
        <v>0</v>
      </c>
      <c r="Y58" s="382">
        <v>0</v>
      </c>
    </row>
    <row r="59" spans="1:25" ht="13.5" thickBot="1" x14ac:dyDescent="0.25">
      <c r="A59" s="379" t="s">
        <v>116</v>
      </c>
      <c r="B59" s="374">
        <f t="shared" ref="B59:X59" si="8">(C58+B58)*(C57-B57)/2</f>
        <v>0.155</v>
      </c>
      <c r="C59" s="375">
        <f t="shared" si="8"/>
        <v>5.32</v>
      </c>
      <c r="D59" s="375">
        <f t="shared" si="8"/>
        <v>4.6000000000000005</v>
      </c>
      <c r="E59" s="375">
        <f t="shared" si="8"/>
        <v>3.8999999999999995</v>
      </c>
      <c r="F59" s="375">
        <f t="shared" si="8"/>
        <v>3.3600000000000008</v>
      </c>
      <c r="G59" s="375">
        <f t="shared" si="8"/>
        <v>2.9600000000000004</v>
      </c>
      <c r="H59" s="375">
        <f t="shared" si="8"/>
        <v>2.2524999999999999</v>
      </c>
      <c r="I59" s="375">
        <f t="shared" si="8"/>
        <v>6.2499999999999188E-2</v>
      </c>
      <c r="J59" s="375">
        <f t="shared" si="8"/>
        <v>0</v>
      </c>
      <c r="K59" s="375">
        <f t="shared" si="8"/>
        <v>0</v>
      </c>
      <c r="L59" s="375">
        <f t="shared" si="8"/>
        <v>0</v>
      </c>
      <c r="M59" s="375">
        <f t="shared" si="8"/>
        <v>0</v>
      </c>
      <c r="N59" s="375">
        <f t="shared" si="8"/>
        <v>0</v>
      </c>
      <c r="O59" s="375">
        <f t="shared" si="8"/>
        <v>0</v>
      </c>
      <c r="P59" s="375">
        <f t="shared" si="8"/>
        <v>0</v>
      </c>
      <c r="Q59" s="375">
        <f t="shared" si="8"/>
        <v>0</v>
      </c>
      <c r="R59" s="375">
        <f t="shared" si="8"/>
        <v>0</v>
      </c>
      <c r="S59" s="375">
        <f t="shared" si="8"/>
        <v>0</v>
      </c>
      <c r="T59" s="375">
        <f t="shared" si="8"/>
        <v>0</v>
      </c>
      <c r="U59" s="375">
        <f t="shared" si="8"/>
        <v>0</v>
      </c>
      <c r="V59" s="375">
        <f t="shared" si="8"/>
        <v>0</v>
      </c>
      <c r="W59" s="375">
        <f t="shared" si="8"/>
        <v>0</v>
      </c>
      <c r="X59" s="375">
        <f t="shared" si="8"/>
        <v>0</v>
      </c>
      <c r="Y59" s="369"/>
    </row>
    <row r="60" spans="1:25" ht="13.5" thickBot="1" x14ac:dyDescent="0.25">
      <c r="A60" s="12"/>
      <c r="L60" s="12"/>
      <c r="M60" s="12"/>
      <c r="N60" s="12"/>
      <c r="O60" s="12"/>
      <c r="P60" s="12"/>
      <c r="Q60" s="12"/>
      <c r="R60" s="12"/>
      <c r="S60" s="12"/>
      <c r="T60" s="12"/>
      <c r="U60" s="12"/>
      <c r="V60" s="12"/>
      <c r="W60" s="12"/>
      <c r="X60" s="12"/>
      <c r="Y60" s="12"/>
    </row>
    <row r="61" spans="1:25" ht="13.5" thickBot="1" x14ac:dyDescent="0.25">
      <c r="A61" s="361" t="s">
        <v>280</v>
      </c>
      <c r="B61" s="359">
        <f>ROW(A61)</f>
        <v>61</v>
      </c>
      <c r="C61" s="363" t="s">
        <v>115</v>
      </c>
      <c r="D61" s="353">
        <f>SUM(B64:Y64)</f>
        <v>25.874000000000006</v>
      </c>
      <c r="E61" s="363" t="s">
        <v>114</v>
      </c>
      <c r="F61" s="399">
        <f>D61/g/J61</f>
        <v>2.6375127420998985</v>
      </c>
      <c r="G61" s="363" t="s">
        <v>56</v>
      </c>
      <c r="H61" s="64">
        <v>1.1000000000000001</v>
      </c>
      <c r="I61" s="363" t="s">
        <v>271</v>
      </c>
      <c r="J61" s="355">
        <f>H61-L61</f>
        <v>1</v>
      </c>
      <c r="K61" s="363" t="s">
        <v>272</v>
      </c>
      <c r="L61" s="64">
        <v>0.1</v>
      </c>
      <c r="M61" s="363" t="s">
        <v>57</v>
      </c>
      <c r="N61" s="65">
        <f>0.5*R61</f>
        <v>150</v>
      </c>
      <c r="O61" s="363" t="s">
        <v>59</v>
      </c>
      <c r="P61" s="65">
        <v>150</v>
      </c>
      <c r="Q61" s="363" t="s">
        <v>60</v>
      </c>
      <c r="R61" s="65">
        <v>300</v>
      </c>
      <c r="S61" s="363" t="s">
        <v>61</v>
      </c>
      <c r="T61" s="65">
        <v>98</v>
      </c>
      <c r="U61" s="363" t="s">
        <v>54</v>
      </c>
      <c r="V61" s="66" t="s">
        <v>276</v>
      </c>
      <c r="W61" s="12"/>
      <c r="X61" s="12"/>
      <c r="Y61" s="12"/>
    </row>
    <row r="62" spans="1:25" x14ac:dyDescent="0.2">
      <c r="A62" s="362" t="s">
        <v>33</v>
      </c>
      <c r="B62" s="370">
        <v>0</v>
      </c>
      <c r="C62" s="371">
        <v>1E-3</v>
      </c>
      <c r="D62" s="371">
        <v>0.02</v>
      </c>
      <c r="E62" s="371">
        <v>0.04</v>
      </c>
      <c r="F62" s="371">
        <v>0.06</v>
      </c>
      <c r="G62" s="371">
        <v>0.08</v>
      </c>
      <c r="H62" s="371">
        <v>0.1</v>
      </c>
      <c r="I62" s="371">
        <v>0.12</v>
      </c>
      <c r="J62" s="371">
        <v>0.14000000000000001</v>
      </c>
      <c r="K62" s="371">
        <v>0.16400000000000001</v>
      </c>
      <c r="L62" s="371">
        <v>0.16500000000000001</v>
      </c>
      <c r="M62" s="371">
        <v>0.16500000000000001</v>
      </c>
      <c r="N62" s="371">
        <v>0.16500000000000001</v>
      </c>
      <c r="O62" s="371">
        <v>0.16500000000000001</v>
      </c>
      <c r="P62" s="371">
        <v>0.16500000000000001</v>
      </c>
      <c r="Q62" s="371">
        <v>0.16500000000000001</v>
      </c>
      <c r="R62" s="371">
        <v>0.16500000000000001</v>
      </c>
      <c r="S62" s="371">
        <v>0.16500000000000001</v>
      </c>
      <c r="T62" s="371">
        <v>0.16500000000000001</v>
      </c>
      <c r="U62" s="371">
        <v>0.16500000000000001</v>
      </c>
      <c r="V62" s="371">
        <v>0.16500000000000001</v>
      </c>
      <c r="W62" s="371">
        <v>0.16500000000000001</v>
      </c>
      <c r="X62" s="371">
        <v>0.16500000000000001</v>
      </c>
      <c r="Y62" s="381">
        <v>1000</v>
      </c>
    </row>
    <row r="63" spans="1:25" x14ac:dyDescent="0.2">
      <c r="A63" s="378" t="s">
        <v>34</v>
      </c>
      <c r="B63" s="372">
        <v>0</v>
      </c>
      <c r="C63" s="373">
        <v>310</v>
      </c>
      <c r="D63" s="373">
        <v>245</v>
      </c>
      <c r="E63" s="373">
        <v>200</v>
      </c>
      <c r="F63" s="373">
        <v>165</v>
      </c>
      <c r="G63" s="373">
        <v>143</v>
      </c>
      <c r="H63" s="373">
        <v>124</v>
      </c>
      <c r="I63" s="373">
        <v>108</v>
      </c>
      <c r="J63" s="373">
        <v>97</v>
      </c>
      <c r="K63" s="373">
        <v>85</v>
      </c>
      <c r="L63" s="373">
        <v>0</v>
      </c>
      <c r="M63" s="373">
        <v>0</v>
      </c>
      <c r="N63" s="373">
        <v>0</v>
      </c>
      <c r="O63" s="373">
        <v>0</v>
      </c>
      <c r="P63" s="373">
        <v>0</v>
      </c>
      <c r="Q63" s="373">
        <v>0</v>
      </c>
      <c r="R63" s="373">
        <v>0</v>
      </c>
      <c r="S63" s="373">
        <v>0</v>
      </c>
      <c r="T63" s="373">
        <v>0</v>
      </c>
      <c r="U63" s="373">
        <v>0</v>
      </c>
      <c r="V63" s="373">
        <v>0</v>
      </c>
      <c r="W63" s="373">
        <v>0</v>
      </c>
      <c r="X63" s="373">
        <v>0</v>
      </c>
      <c r="Y63" s="382">
        <v>0</v>
      </c>
    </row>
    <row r="64" spans="1:25" ht="13.5" thickBot="1" x14ac:dyDescent="0.25">
      <c r="A64" s="379" t="s">
        <v>116</v>
      </c>
      <c r="B64" s="374">
        <f t="shared" ref="B64:X64" si="9">(C63+B63)*(C62-B62)/2</f>
        <v>0.155</v>
      </c>
      <c r="C64" s="375">
        <f t="shared" si="9"/>
        <v>5.2725</v>
      </c>
      <c r="D64" s="375">
        <f t="shared" si="9"/>
        <v>4.45</v>
      </c>
      <c r="E64" s="375">
        <f t="shared" si="9"/>
        <v>3.6499999999999995</v>
      </c>
      <c r="F64" s="375">
        <f t="shared" si="9"/>
        <v>3.0800000000000005</v>
      </c>
      <c r="G64" s="375">
        <f t="shared" si="9"/>
        <v>2.6700000000000004</v>
      </c>
      <c r="H64" s="375">
        <f t="shared" si="9"/>
        <v>2.319999999999999</v>
      </c>
      <c r="I64" s="375">
        <f t="shared" si="9"/>
        <v>2.0500000000000016</v>
      </c>
      <c r="J64" s="375">
        <f t="shared" si="9"/>
        <v>2.1839999999999993</v>
      </c>
      <c r="K64" s="375">
        <f t="shared" si="9"/>
        <v>4.2500000000000038E-2</v>
      </c>
      <c r="L64" s="375">
        <f t="shared" si="9"/>
        <v>0</v>
      </c>
      <c r="M64" s="375">
        <f t="shared" si="9"/>
        <v>0</v>
      </c>
      <c r="N64" s="375">
        <f t="shared" si="9"/>
        <v>0</v>
      </c>
      <c r="O64" s="375">
        <f t="shared" si="9"/>
        <v>0</v>
      </c>
      <c r="P64" s="375">
        <f t="shared" si="9"/>
        <v>0</v>
      </c>
      <c r="Q64" s="375">
        <f t="shared" si="9"/>
        <v>0</v>
      </c>
      <c r="R64" s="375">
        <f t="shared" si="9"/>
        <v>0</v>
      </c>
      <c r="S64" s="375">
        <f t="shared" si="9"/>
        <v>0</v>
      </c>
      <c r="T64" s="375">
        <f t="shared" si="9"/>
        <v>0</v>
      </c>
      <c r="U64" s="375">
        <f t="shared" si="9"/>
        <v>0</v>
      </c>
      <c r="V64" s="375">
        <f t="shared" si="9"/>
        <v>0</v>
      </c>
      <c r="W64" s="375">
        <f t="shared" si="9"/>
        <v>0</v>
      </c>
      <c r="X64" s="375">
        <f t="shared" si="9"/>
        <v>0</v>
      </c>
      <c r="Y64" s="369"/>
    </row>
    <row r="66" spans="1:26" ht="13.5" thickBot="1" x14ac:dyDescent="0.25">
      <c r="A66" s="6" t="s">
        <v>181</v>
      </c>
    </row>
    <row r="67" spans="1:26" ht="13.5" thickBot="1" x14ac:dyDescent="0.25">
      <c r="A67" s="361" t="s">
        <v>111</v>
      </c>
      <c r="B67" s="359">
        <f>ROW(A67)</f>
        <v>67</v>
      </c>
      <c r="C67" s="363" t="s">
        <v>115</v>
      </c>
      <c r="D67" s="353">
        <f>SUM(B70:Y70)</f>
        <v>2.65</v>
      </c>
      <c r="E67" s="363" t="s">
        <v>114</v>
      </c>
      <c r="F67" s="354">
        <f>D67/g/J67</f>
        <v>54.026503567787969</v>
      </c>
      <c r="G67" s="363" t="s">
        <v>56</v>
      </c>
      <c r="H67" s="64">
        <v>1.4999999999999999E-2</v>
      </c>
      <c r="I67" s="363" t="s">
        <v>271</v>
      </c>
      <c r="J67" s="355">
        <f>H67-L67</f>
        <v>4.9999999999999992E-3</v>
      </c>
      <c r="K67" s="363" t="s">
        <v>272</v>
      </c>
      <c r="L67" s="64">
        <v>0.01</v>
      </c>
      <c r="M67" s="363" t="s">
        <v>57</v>
      </c>
      <c r="N67" s="65">
        <v>30</v>
      </c>
      <c r="O67" s="363" t="s">
        <v>59</v>
      </c>
      <c r="P67" s="65">
        <v>30</v>
      </c>
      <c r="Q67" s="363" t="s">
        <v>60</v>
      </c>
      <c r="R67" s="65">
        <v>70</v>
      </c>
      <c r="S67" s="363" t="s">
        <v>61</v>
      </c>
      <c r="T67" s="65">
        <v>15</v>
      </c>
      <c r="U67" s="363" t="s">
        <v>54</v>
      </c>
      <c r="V67" s="66" t="s">
        <v>117</v>
      </c>
      <c r="W67" s="463" t="s">
        <v>394</v>
      </c>
      <c r="X67" s="465">
        <v>0.32</v>
      </c>
      <c r="Y67" s="463" t="s">
        <v>393</v>
      </c>
      <c r="Z67" s="358">
        <v>3</v>
      </c>
    </row>
    <row r="68" spans="1:26" x14ac:dyDescent="0.2">
      <c r="A68" s="362" t="s">
        <v>33</v>
      </c>
      <c r="B68" s="370">
        <v>0</v>
      </c>
      <c r="C68" s="371">
        <v>0.2</v>
      </c>
      <c r="D68" s="371">
        <v>0.3</v>
      </c>
      <c r="E68" s="371">
        <v>0.4</v>
      </c>
      <c r="F68" s="371">
        <v>0.5</v>
      </c>
      <c r="G68" s="371">
        <v>0.55000000000000004</v>
      </c>
      <c r="H68" s="371">
        <v>0.6</v>
      </c>
      <c r="I68" s="371">
        <v>0.6</v>
      </c>
      <c r="J68" s="371">
        <v>0.6</v>
      </c>
      <c r="K68" s="371">
        <v>0.6</v>
      </c>
      <c r="L68" s="371">
        <v>0.6</v>
      </c>
      <c r="M68" s="371">
        <v>0.6</v>
      </c>
      <c r="N68" s="371">
        <v>0.6</v>
      </c>
      <c r="O68" s="371">
        <v>0.6</v>
      </c>
      <c r="P68" s="371">
        <v>0.6</v>
      </c>
      <c r="Q68" s="371">
        <v>0.6</v>
      </c>
      <c r="R68" s="371">
        <v>0.6</v>
      </c>
      <c r="S68" s="371">
        <v>0.6</v>
      </c>
      <c r="T68" s="371">
        <v>0.6</v>
      </c>
      <c r="U68" s="371">
        <v>0.6</v>
      </c>
      <c r="V68" s="371">
        <v>0.6</v>
      </c>
      <c r="W68" s="371">
        <v>0.6</v>
      </c>
      <c r="X68" s="371">
        <v>0.6</v>
      </c>
      <c r="Y68" s="381">
        <v>1000</v>
      </c>
    </row>
    <row r="69" spans="1:26" x14ac:dyDescent="0.2">
      <c r="A69" s="378" t="s">
        <v>34</v>
      </c>
      <c r="B69" s="372">
        <v>0</v>
      </c>
      <c r="C69" s="373">
        <v>9</v>
      </c>
      <c r="D69" s="373">
        <v>4.5</v>
      </c>
      <c r="E69" s="373">
        <v>4</v>
      </c>
      <c r="F69" s="373">
        <v>4</v>
      </c>
      <c r="G69" s="373">
        <v>3</v>
      </c>
      <c r="H69" s="373">
        <v>0</v>
      </c>
      <c r="I69" s="373">
        <v>0</v>
      </c>
      <c r="J69" s="373">
        <v>0</v>
      </c>
      <c r="K69" s="373">
        <v>0</v>
      </c>
      <c r="L69" s="373">
        <v>0</v>
      </c>
      <c r="M69" s="373">
        <v>0</v>
      </c>
      <c r="N69" s="373">
        <v>0</v>
      </c>
      <c r="O69" s="373">
        <v>0</v>
      </c>
      <c r="P69" s="373">
        <v>0</v>
      </c>
      <c r="Q69" s="373">
        <v>0</v>
      </c>
      <c r="R69" s="373">
        <v>0</v>
      </c>
      <c r="S69" s="373">
        <v>0</v>
      </c>
      <c r="T69" s="373">
        <v>0</v>
      </c>
      <c r="U69" s="373">
        <v>0</v>
      </c>
      <c r="V69" s="373">
        <v>0</v>
      </c>
      <c r="W69" s="373">
        <v>0</v>
      </c>
      <c r="X69" s="373">
        <v>0</v>
      </c>
      <c r="Y69" s="382">
        <v>0</v>
      </c>
    </row>
    <row r="70" spans="1:26" ht="13.5" thickBot="1" x14ac:dyDescent="0.25">
      <c r="A70" s="379" t="s">
        <v>116</v>
      </c>
      <c r="B70" s="374">
        <f t="shared" ref="B70:X70" si="10">(C69+B69)*(C68-B68)/2</f>
        <v>0.9</v>
      </c>
      <c r="C70" s="375">
        <f t="shared" si="10"/>
        <v>0.67499999999999982</v>
      </c>
      <c r="D70" s="375">
        <f t="shared" si="10"/>
        <v>0.42500000000000016</v>
      </c>
      <c r="E70" s="375">
        <f t="shared" si="10"/>
        <v>0.39999999999999991</v>
      </c>
      <c r="F70" s="375">
        <f t="shared" si="10"/>
        <v>0.17500000000000016</v>
      </c>
      <c r="G70" s="375">
        <f t="shared" si="10"/>
        <v>7.49999999999999E-2</v>
      </c>
      <c r="H70" s="375">
        <f t="shared" si="10"/>
        <v>0</v>
      </c>
      <c r="I70" s="375">
        <f t="shared" si="10"/>
        <v>0</v>
      </c>
      <c r="J70" s="375">
        <f t="shared" si="10"/>
        <v>0</v>
      </c>
      <c r="K70" s="375">
        <f t="shared" si="10"/>
        <v>0</v>
      </c>
      <c r="L70" s="375">
        <f t="shared" si="10"/>
        <v>0</v>
      </c>
      <c r="M70" s="375">
        <f t="shared" si="10"/>
        <v>0</v>
      </c>
      <c r="N70" s="375">
        <f t="shared" si="10"/>
        <v>0</v>
      </c>
      <c r="O70" s="375">
        <f t="shared" si="10"/>
        <v>0</v>
      </c>
      <c r="P70" s="375">
        <f t="shared" si="10"/>
        <v>0</v>
      </c>
      <c r="Q70" s="375">
        <f t="shared" si="10"/>
        <v>0</v>
      </c>
      <c r="R70" s="375">
        <f t="shared" si="10"/>
        <v>0</v>
      </c>
      <c r="S70" s="375">
        <f t="shared" si="10"/>
        <v>0</v>
      </c>
      <c r="T70" s="375">
        <f t="shared" si="10"/>
        <v>0</v>
      </c>
      <c r="U70" s="375">
        <f t="shared" si="10"/>
        <v>0</v>
      </c>
      <c r="V70" s="375">
        <f t="shared" si="10"/>
        <v>0</v>
      </c>
      <c r="W70" s="375">
        <f t="shared" si="10"/>
        <v>0</v>
      </c>
      <c r="X70" s="375">
        <f t="shared" si="10"/>
        <v>0</v>
      </c>
      <c r="Y70" s="369"/>
    </row>
    <row r="71" spans="1:26" ht="13.5" thickBot="1" x14ac:dyDescent="0.25">
      <c r="A71" s="12"/>
      <c r="L71" s="12"/>
      <c r="M71" s="12"/>
      <c r="N71" s="12"/>
      <c r="O71" s="12"/>
      <c r="P71" s="12"/>
      <c r="Q71" s="12"/>
      <c r="R71" s="12"/>
      <c r="S71" s="12"/>
      <c r="T71" s="12"/>
      <c r="U71" s="12"/>
      <c r="V71" s="12"/>
      <c r="W71" s="12"/>
      <c r="X71" s="12"/>
      <c r="Y71" s="12"/>
    </row>
    <row r="72" spans="1:26" ht="13.5" thickBot="1" x14ac:dyDescent="0.25">
      <c r="A72" s="361" t="s">
        <v>112</v>
      </c>
      <c r="B72" s="359">
        <f>ROW(A72)</f>
        <v>72</v>
      </c>
      <c r="C72" s="363" t="s">
        <v>115</v>
      </c>
      <c r="D72" s="353">
        <f>SUM(B75:Y75)</f>
        <v>5.25</v>
      </c>
      <c r="E72" s="363" t="s">
        <v>114</v>
      </c>
      <c r="F72" s="354">
        <f>D72/g/J72</f>
        <v>89.1946992864424</v>
      </c>
      <c r="G72" s="363" t="s">
        <v>56</v>
      </c>
      <c r="H72" s="64">
        <v>0.02</v>
      </c>
      <c r="I72" s="363" t="s">
        <v>271</v>
      </c>
      <c r="J72" s="355">
        <f>H72-L72</f>
        <v>6.0000000000000001E-3</v>
      </c>
      <c r="K72" s="363" t="s">
        <v>272</v>
      </c>
      <c r="L72" s="64">
        <v>1.4E-2</v>
      </c>
      <c r="M72" s="363" t="s">
        <v>57</v>
      </c>
      <c r="N72" s="65">
        <v>30</v>
      </c>
      <c r="O72" s="363" t="s">
        <v>59</v>
      </c>
      <c r="P72" s="65">
        <v>30</v>
      </c>
      <c r="Q72" s="363" t="s">
        <v>60</v>
      </c>
      <c r="R72" s="65">
        <v>70</v>
      </c>
      <c r="S72" s="363" t="s">
        <v>61</v>
      </c>
      <c r="T72" s="65">
        <v>15</v>
      </c>
      <c r="U72" s="363" t="s">
        <v>54</v>
      </c>
      <c r="V72" s="66" t="s">
        <v>117</v>
      </c>
      <c r="W72" s="463" t="s">
        <v>394</v>
      </c>
      <c r="X72" s="465">
        <v>1.2</v>
      </c>
      <c r="Y72" s="463" t="s">
        <v>393</v>
      </c>
      <c r="Z72" s="358">
        <v>4</v>
      </c>
    </row>
    <row r="73" spans="1:26" x14ac:dyDescent="0.2">
      <c r="A73" s="362" t="s">
        <v>33</v>
      </c>
      <c r="B73" s="370">
        <v>0</v>
      </c>
      <c r="C73" s="371">
        <v>0.2</v>
      </c>
      <c r="D73" s="371">
        <v>0.3</v>
      </c>
      <c r="E73" s="371">
        <v>0.55000000000000004</v>
      </c>
      <c r="F73" s="371">
        <v>1.05</v>
      </c>
      <c r="G73" s="371">
        <v>1.1499999999999999</v>
      </c>
      <c r="H73" s="371">
        <v>1.1499999999999999</v>
      </c>
      <c r="I73" s="371">
        <v>1.1499999999999999</v>
      </c>
      <c r="J73" s="371">
        <v>1.1499999999999999</v>
      </c>
      <c r="K73" s="371">
        <v>1.1499999999999999</v>
      </c>
      <c r="L73" s="371">
        <v>1.1499999999999999</v>
      </c>
      <c r="M73" s="371">
        <v>1.1499999999999999</v>
      </c>
      <c r="N73" s="371">
        <v>1.1499999999999999</v>
      </c>
      <c r="O73" s="371">
        <v>1.1499999999999999</v>
      </c>
      <c r="P73" s="371">
        <v>1.1499999999999999</v>
      </c>
      <c r="Q73" s="371">
        <v>1.1499999999999999</v>
      </c>
      <c r="R73" s="371">
        <v>1.1499999999999999</v>
      </c>
      <c r="S73" s="371">
        <v>1.1499999999999999</v>
      </c>
      <c r="T73" s="371">
        <v>1.1499999999999999</v>
      </c>
      <c r="U73" s="371">
        <v>1.1499999999999999</v>
      </c>
      <c r="V73" s="371">
        <v>1.1499999999999999</v>
      </c>
      <c r="W73" s="371">
        <v>1.1499999999999999</v>
      </c>
      <c r="X73" s="371">
        <v>1.1499999999999999</v>
      </c>
      <c r="Y73" s="381">
        <v>1000</v>
      </c>
    </row>
    <row r="74" spans="1:26" x14ac:dyDescent="0.2">
      <c r="A74" s="378" t="s">
        <v>34</v>
      </c>
      <c r="B74" s="372">
        <v>0</v>
      </c>
      <c r="C74" s="373">
        <v>10</v>
      </c>
      <c r="D74" s="373">
        <v>6</v>
      </c>
      <c r="E74" s="373">
        <v>4</v>
      </c>
      <c r="F74" s="373">
        <v>4</v>
      </c>
      <c r="G74" s="373">
        <v>0</v>
      </c>
      <c r="H74" s="373">
        <v>0</v>
      </c>
      <c r="I74" s="373">
        <v>0</v>
      </c>
      <c r="J74" s="373">
        <v>0</v>
      </c>
      <c r="K74" s="373">
        <v>0</v>
      </c>
      <c r="L74" s="373">
        <v>0</v>
      </c>
      <c r="M74" s="373">
        <v>0</v>
      </c>
      <c r="N74" s="373">
        <v>0</v>
      </c>
      <c r="O74" s="373">
        <v>0</v>
      </c>
      <c r="P74" s="373">
        <v>0</v>
      </c>
      <c r="Q74" s="373">
        <v>0</v>
      </c>
      <c r="R74" s="373">
        <v>0</v>
      </c>
      <c r="S74" s="373">
        <v>0</v>
      </c>
      <c r="T74" s="373">
        <v>0</v>
      </c>
      <c r="U74" s="373">
        <v>0</v>
      </c>
      <c r="V74" s="373">
        <v>0</v>
      </c>
      <c r="W74" s="373">
        <v>0</v>
      </c>
      <c r="X74" s="373">
        <v>0</v>
      </c>
      <c r="Y74" s="382">
        <v>0</v>
      </c>
    </row>
    <row r="75" spans="1:26" ht="13.5" thickBot="1" x14ac:dyDescent="0.25">
      <c r="A75" s="379" t="s">
        <v>116</v>
      </c>
      <c r="B75" s="374">
        <f t="shared" ref="B75:V75" si="11">(C74+B74)*(C73-B73)/2</f>
        <v>1</v>
      </c>
      <c r="C75" s="375">
        <f t="shared" si="11"/>
        <v>0.79999999999999982</v>
      </c>
      <c r="D75" s="375">
        <f t="shared" si="11"/>
        <v>1.2500000000000002</v>
      </c>
      <c r="E75" s="375">
        <f t="shared" si="11"/>
        <v>2</v>
      </c>
      <c r="F75" s="375">
        <f t="shared" si="11"/>
        <v>0.19999999999999973</v>
      </c>
      <c r="G75" s="375">
        <f t="shared" si="11"/>
        <v>0</v>
      </c>
      <c r="H75" s="375">
        <f t="shared" si="11"/>
        <v>0</v>
      </c>
      <c r="I75" s="375">
        <f t="shared" si="11"/>
        <v>0</v>
      </c>
      <c r="J75" s="375">
        <f>(K74+J74)*(K73-J73)/2</f>
        <v>0</v>
      </c>
      <c r="K75" s="375">
        <f t="shared" si="11"/>
        <v>0</v>
      </c>
      <c r="L75" s="375">
        <f t="shared" si="11"/>
        <v>0</v>
      </c>
      <c r="M75" s="375">
        <f t="shared" si="11"/>
        <v>0</v>
      </c>
      <c r="N75" s="375">
        <f t="shared" si="11"/>
        <v>0</v>
      </c>
      <c r="O75" s="375">
        <f t="shared" si="11"/>
        <v>0</v>
      </c>
      <c r="P75" s="375">
        <f t="shared" si="11"/>
        <v>0</v>
      </c>
      <c r="Q75" s="375">
        <f t="shared" si="11"/>
        <v>0</v>
      </c>
      <c r="R75" s="375">
        <f t="shared" si="11"/>
        <v>0</v>
      </c>
      <c r="S75" s="375">
        <f>(T74+S74)*(T73-S73)/2</f>
        <v>0</v>
      </c>
      <c r="T75" s="375">
        <f t="shared" si="11"/>
        <v>0</v>
      </c>
      <c r="U75" s="375">
        <f t="shared" si="11"/>
        <v>0</v>
      </c>
      <c r="V75" s="375">
        <f t="shared" si="11"/>
        <v>0</v>
      </c>
      <c r="W75" s="375">
        <f>(X74+W74)*(X73-W73)/2</f>
        <v>0</v>
      </c>
      <c r="X75" s="375">
        <f>(Y74+X74)*(Y73-X73)/2</f>
        <v>0</v>
      </c>
      <c r="Y75" s="369"/>
    </row>
    <row r="76" spans="1:26" ht="13.5" thickBot="1" x14ac:dyDescent="0.25">
      <c r="B76" s="12"/>
      <c r="C76" s="12"/>
      <c r="D76" s="12"/>
      <c r="E76" s="12"/>
      <c r="F76" s="12"/>
      <c r="G76" s="12"/>
      <c r="H76" s="12"/>
      <c r="I76" s="12"/>
      <c r="J76" s="12"/>
      <c r="K76" s="12"/>
      <c r="L76" s="12"/>
      <c r="M76" s="12"/>
      <c r="N76" s="12"/>
      <c r="O76" s="12"/>
      <c r="P76" s="12"/>
      <c r="Q76" s="12"/>
      <c r="R76" s="12"/>
      <c r="S76" s="12"/>
      <c r="T76" s="12"/>
      <c r="U76" s="12"/>
      <c r="V76" s="12"/>
      <c r="W76" s="12"/>
      <c r="X76" s="12"/>
      <c r="Y76" s="12"/>
    </row>
    <row r="77" spans="1:26" ht="13.5" thickBot="1" x14ac:dyDescent="0.25">
      <c r="A77" s="361" t="s">
        <v>113</v>
      </c>
      <c r="B77" s="359">
        <f>ROW(A77)</f>
        <v>77</v>
      </c>
      <c r="C77" s="363" t="s">
        <v>115</v>
      </c>
      <c r="D77" s="353">
        <f>SUM(B80:Y80)</f>
        <v>10.26</v>
      </c>
      <c r="E77" s="363" t="s">
        <v>114</v>
      </c>
      <c r="F77" s="354">
        <f>D77/g/J77</f>
        <v>80.451658433309802</v>
      </c>
      <c r="G77" s="363" t="s">
        <v>56</v>
      </c>
      <c r="H77" s="64">
        <v>2.4E-2</v>
      </c>
      <c r="I77" s="363" t="s">
        <v>271</v>
      </c>
      <c r="J77" s="355">
        <f>H77-L77</f>
        <v>1.3000000000000001E-2</v>
      </c>
      <c r="K77" s="363" t="s">
        <v>272</v>
      </c>
      <c r="L77" s="64">
        <v>1.0999999999999999E-2</v>
      </c>
      <c r="M77" s="363" t="s">
        <v>57</v>
      </c>
      <c r="N77" s="65">
        <v>30</v>
      </c>
      <c r="O77" s="363" t="s">
        <v>59</v>
      </c>
      <c r="P77" s="65">
        <v>30</v>
      </c>
      <c r="Q77" s="363" t="s">
        <v>60</v>
      </c>
      <c r="R77" s="65">
        <v>70</v>
      </c>
      <c r="S77" s="363" t="s">
        <v>61</v>
      </c>
      <c r="T77" s="65">
        <v>15</v>
      </c>
      <c r="U77" s="363" t="s">
        <v>54</v>
      </c>
      <c r="V77" s="66" t="s">
        <v>117</v>
      </c>
      <c r="W77" s="463" t="s">
        <v>394</v>
      </c>
      <c r="X77" s="465">
        <v>1.7</v>
      </c>
      <c r="Y77" s="463" t="s">
        <v>393</v>
      </c>
      <c r="Z77" s="358">
        <v>3</v>
      </c>
    </row>
    <row r="78" spans="1:26" x14ac:dyDescent="0.2">
      <c r="A78" s="362" t="s">
        <v>33</v>
      </c>
      <c r="B78" s="370">
        <v>0</v>
      </c>
      <c r="C78" s="371">
        <v>0.2</v>
      </c>
      <c r="D78" s="371">
        <v>0.3</v>
      </c>
      <c r="E78" s="371">
        <v>0.6</v>
      </c>
      <c r="F78" s="371">
        <v>0.8</v>
      </c>
      <c r="G78" s="371">
        <v>2</v>
      </c>
      <c r="H78" s="371">
        <v>2.1</v>
      </c>
      <c r="I78" s="371">
        <v>2.1</v>
      </c>
      <c r="J78" s="371">
        <v>2.1</v>
      </c>
      <c r="K78" s="371">
        <v>2.1</v>
      </c>
      <c r="L78" s="371">
        <v>2.1</v>
      </c>
      <c r="M78" s="371">
        <v>2.1</v>
      </c>
      <c r="N78" s="371">
        <v>2.1</v>
      </c>
      <c r="O78" s="371">
        <v>2.1</v>
      </c>
      <c r="P78" s="371">
        <v>2.1</v>
      </c>
      <c r="Q78" s="371">
        <v>2.1</v>
      </c>
      <c r="R78" s="371">
        <v>2.1</v>
      </c>
      <c r="S78" s="371">
        <v>2.1</v>
      </c>
      <c r="T78" s="371">
        <v>2.1</v>
      </c>
      <c r="U78" s="371">
        <v>2.1</v>
      </c>
      <c r="V78" s="371">
        <v>2.1</v>
      </c>
      <c r="W78" s="371">
        <v>2.1</v>
      </c>
      <c r="X78" s="371">
        <v>2.1</v>
      </c>
      <c r="Y78" s="381">
        <v>1000</v>
      </c>
    </row>
    <row r="79" spans="1:26" x14ac:dyDescent="0.2">
      <c r="A79" s="378" t="s">
        <v>34</v>
      </c>
      <c r="B79" s="372">
        <v>0</v>
      </c>
      <c r="C79" s="373">
        <v>11</v>
      </c>
      <c r="D79" s="373">
        <v>7</v>
      </c>
      <c r="E79" s="373">
        <v>4</v>
      </c>
      <c r="F79" s="373">
        <v>4.5999999999999996</v>
      </c>
      <c r="G79" s="373">
        <v>4.5999999999999996</v>
      </c>
      <c r="H79" s="373">
        <v>0</v>
      </c>
      <c r="I79" s="373">
        <v>0</v>
      </c>
      <c r="J79" s="373">
        <v>0</v>
      </c>
      <c r="K79" s="373">
        <v>0</v>
      </c>
      <c r="L79" s="373">
        <v>0</v>
      </c>
      <c r="M79" s="373">
        <v>0</v>
      </c>
      <c r="N79" s="373">
        <v>0</v>
      </c>
      <c r="O79" s="373">
        <v>0</v>
      </c>
      <c r="P79" s="373">
        <v>0</v>
      </c>
      <c r="Q79" s="373">
        <v>0</v>
      </c>
      <c r="R79" s="373">
        <v>0</v>
      </c>
      <c r="S79" s="373">
        <v>0</v>
      </c>
      <c r="T79" s="373">
        <v>0</v>
      </c>
      <c r="U79" s="373">
        <v>0</v>
      </c>
      <c r="V79" s="373">
        <v>0</v>
      </c>
      <c r="W79" s="373">
        <v>0</v>
      </c>
      <c r="X79" s="373">
        <v>0</v>
      </c>
      <c r="Y79" s="382">
        <v>0</v>
      </c>
    </row>
    <row r="80" spans="1:26" ht="13.5" thickBot="1" x14ac:dyDescent="0.25">
      <c r="A80" s="379" t="s">
        <v>116</v>
      </c>
      <c r="B80" s="374">
        <f t="shared" ref="B80:G80" si="12">(C79+B79)*(C78-B78)/2</f>
        <v>1.1000000000000001</v>
      </c>
      <c r="C80" s="375">
        <f t="shared" si="12"/>
        <v>0.8999999999999998</v>
      </c>
      <c r="D80" s="375">
        <f t="shared" si="12"/>
        <v>1.65</v>
      </c>
      <c r="E80" s="375">
        <f t="shared" si="12"/>
        <v>0.86000000000000021</v>
      </c>
      <c r="F80" s="375">
        <f t="shared" si="12"/>
        <v>5.52</v>
      </c>
      <c r="G80" s="375">
        <f t="shared" si="12"/>
        <v>0.23000000000000018</v>
      </c>
      <c r="H80" s="375">
        <f t="shared" ref="H80:V80" si="13">(I79+H79)*(I78-H78)/2</f>
        <v>0</v>
      </c>
      <c r="I80" s="375">
        <f t="shared" si="13"/>
        <v>0</v>
      </c>
      <c r="J80" s="375">
        <f>(K79+J79)*(K78-J78)/2</f>
        <v>0</v>
      </c>
      <c r="K80" s="375">
        <f t="shared" si="13"/>
        <v>0</v>
      </c>
      <c r="L80" s="375">
        <f t="shared" si="13"/>
        <v>0</v>
      </c>
      <c r="M80" s="375">
        <f t="shared" si="13"/>
        <v>0</v>
      </c>
      <c r="N80" s="375">
        <f t="shared" si="13"/>
        <v>0</v>
      </c>
      <c r="O80" s="375">
        <f t="shared" si="13"/>
        <v>0</v>
      </c>
      <c r="P80" s="375">
        <f t="shared" si="13"/>
        <v>0</v>
      </c>
      <c r="Q80" s="375">
        <f t="shared" si="13"/>
        <v>0</v>
      </c>
      <c r="R80" s="375">
        <f t="shared" si="13"/>
        <v>0</v>
      </c>
      <c r="S80" s="375">
        <f>(T79+S79)*(T78-S78)/2</f>
        <v>0</v>
      </c>
      <c r="T80" s="375">
        <f t="shared" si="13"/>
        <v>0</v>
      </c>
      <c r="U80" s="375">
        <f t="shared" si="13"/>
        <v>0</v>
      </c>
      <c r="V80" s="375">
        <f t="shared" si="13"/>
        <v>0</v>
      </c>
      <c r="W80" s="375">
        <f>(X79+W79)*(X78-W78)/2</f>
        <v>0</v>
      </c>
      <c r="X80" s="375">
        <f>(Y79+X79)*(Y78-X78)/2</f>
        <v>0</v>
      </c>
      <c r="Y80" s="369"/>
    </row>
    <row r="81" spans="1:26" ht="13.5" thickBot="1" x14ac:dyDescent="0.25">
      <c r="A81" s="12"/>
      <c r="L81" s="12"/>
      <c r="M81" s="12"/>
      <c r="N81" s="12"/>
      <c r="O81" s="12"/>
      <c r="P81" s="12"/>
      <c r="Q81" s="12"/>
      <c r="R81" s="12"/>
      <c r="S81" s="12"/>
      <c r="T81" s="12"/>
      <c r="U81" s="12"/>
      <c r="V81" s="12"/>
      <c r="W81" s="12"/>
      <c r="X81" s="12"/>
      <c r="Y81" s="12"/>
    </row>
    <row r="82" spans="1:26" ht="13.5" thickBot="1" x14ac:dyDescent="0.25">
      <c r="A82" s="361" t="s">
        <v>329</v>
      </c>
      <c r="B82" s="359">
        <f>ROW(A82)</f>
        <v>82</v>
      </c>
      <c r="C82" s="363" t="s">
        <v>115</v>
      </c>
      <c r="D82" s="353">
        <f>SUM(B85:Y85)</f>
        <v>20.52</v>
      </c>
      <c r="E82" s="363" t="s">
        <v>114</v>
      </c>
      <c r="F82" s="354">
        <f>D82/g/J82</f>
        <v>80.451658433309802</v>
      </c>
      <c r="G82" s="363" t="s">
        <v>56</v>
      </c>
      <c r="H82" s="64">
        <f>H77*2</f>
        <v>4.8000000000000001E-2</v>
      </c>
      <c r="I82" s="363" t="s">
        <v>271</v>
      </c>
      <c r="J82" s="355">
        <f>H82-L82</f>
        <v>2.6000000000000002E-2</v>
      </c>
      <c r="K82" s="363" t="s">
        <v>272</v>
      </c>
      <c r="L82" s="64">
        <f>L77*2</f>
        <v>2.1999999999999999E-2</v>
      </c>
      <c r="M82" s="363" t="s">
        <v>57</v>
      </c>
      <c r="N82" s="65">
        <v>30</v>
      </c>
      <c r="O82" s="363" t="s">
        <v>59</v>
      </c>
      <c r="P82" s="65">
        <v>30</v>
      </c>
      <c r="Q82" s="363" t="s">
        <v>60</v>
      </c>
      <c r="R82" s="65">
        <v>70</v>
      </c>
      <c r="S82" s="363" t="s">
        <v>61</v>
      </c>
      <c r="T82" s="65">
        <v>30</v>
      </c>
      <c r="U82" s="363" t="s">
        <v>54</v>
      </c>
      <c r="V82" s="66" t="s">
        <v>117</v>
      </c>
      <c r="W82" s="463" t="s">
        <v>394</v>
      </c>
      <c r="X82" s="465">
        <v>1.7</v>
      </c>
      <c r="Y82" s="463" t="s">
        <v>393</v>
      </c>
      <c r="Z82" s="358">
        <v>3</v>
      </c>
    </row>
    <row r="83" spans="1:26" x14ac:dyDescent="0.2">
      <c r="A83" s="362" t="s">
        <v>33</v>
      </c>
      <c r="B83" s="370">
        <v>0</v>
      </c>
      <c r="C83" s="371">
        <v>0.2</v>
      </c>
      <c r="D83" s="371">
        <v>0.3</v>
      </c>
      <c r="E83" s="371">
        <v>0.6</v>
      </c>
      <c r="F83" s="371">
        <v>0.8</v>
      </c>
      <c r="G83" s="371">
        <v>2</v>
      </c>
      <c r="H83" s="371">
        <v>2.1</v>
      </c>
      <c r="I83" s="371">
        <v>2.1</v>
      </c>
      <c r="J83" s="371">
        <v>2.1</v>
      </c>
      <c r="K83" s="371">
        <v>2.1</v>
      </c>
      <c r="L83" s="371">
        <v>2.1</v>
      </c>
      <c r="M83" s="371">
        <v>2.1</v>
      </c>
      <c r="N83" s="371">
        <v>2.1</v>
      </c>
      <c r="O83" s="371">
        <v>2.1</v>
      </c>
      <c r="P83" s="371">
        <v>2.1</v>
      </c>
      <c r="Q83" s="371">
        <v>2.1</v>
      </c>
      <c r="R83" s="371">
        <v>2.1</v>
      </c>
      <c r="S83" s="371">
        <v>2.1</v>
      </c>
      <c r="T83" s="371">
        <v>2.1</v>
      </c>
      <c r="U83" s="371">
        <v>2.1</v>
      </c>
      <c r="V83" s="371">
        <v>2.1</v>
      </c>
      <c r="W83" s="371">
        <v>2.1</v>
      </c>
      <c r="X83" s="371">
        <v>2.1</v>
      </c>
      <c r="Y83" s="381">
        <v>1000</v>
      </c>
    </row>
    <row r="84" spans="1:26" x14ac:dyDescent="0.2">
      <c r="A84" s="378" t="s">
        <v>34</v>
      </c>
      <c r="B84" s="372">
        <f>B79*2</f>
        <v>0</v>
      </c>
      <c r="C84" s="373">
        <f t="shared" ref="C84:X84" si="14">C79*2</f>
        <v>22</v>
      </c>
      <c r="D84" s="373">
        <f t="shared" si="14"/>
        <v>14</v>
      </c>
      <c r="E84" s="373">
        <f t="shared" si="14"/>
        <v>8</v>
      </c>
      <c r="F84" s="373">
        <f t="shared" si="14"/>
        <v>9.1999999999999993</v>
      </c>
      <c r="G84" s="373">
        <f t="shared" si="14"/>
        <v>9.1999999999999993</v>
      </c>
      <c r="H84" s="373">
        <f t="shared" si="14"/>
        <v>0</v>
      </c>
      <c r="I84" s="373">
        <f t="shared" si="14"/>
        <v>0</v>
      </c>
      <c r="J84" s="373">
        <f t="shared" si="14"/>
        <v>0</v>
      </c>
      <c r="K84" s="373">
        <f t="shared" si="14"/>
        <v>0</v>
      </c>
      <c r="L84" s="373">
        <f t="shared" si="14"/>
        <v>0</v>
      </c>
      <c r="M84" s="373">
        <f t="shared" si="14"/>
        <v>0</v>
      </c>
      <c r="N84" s="373">
        <f t="shared" si="14"/>
        <v>0</v>
      </c>
      <c r="O84" s="373">
        <f t="shared" si="14"/>
        <v>0</v>
      </c>
      <c r="P84" s="373">
        <f t="shared" si="14"/>
        <v>0</v>
      </c>
      <c r="Q84" s="373">
        <f t="shared" si="14"/>
        <v>0</v>
      </c>
      <c r="R84" s="373">
        <f t="shared" si="14"/>
        <v>0</v>
      </c>
      <c r="S84" s="373">
        <f t="shared" si="14"/>
        <v>0</v>
      </c>
      <c r="T84" s="373">
        <f t="shared" si="14"/>
        <v>0</v>
      </c>
      <c r="U84" s="373">
        <f t="shared" si="14"/>
        <v>0</v>
      </c>
      <c r="V84" s="373">
        <f t="shared" si="14"/>
        <v>0</v>
      </c>
      <c r="W84" s="373">
        <f t="shared" si="14"/>
        <v>0</v>
      </c>
      <c r="X84" s="373">
        <f t="shared" si="14"/>
        <v>0</v>
      </c>
      <c r="Y84" s="382">
        <v>0</v>
      </c>
    </row>
    <row r="85" spans="1:26" ht="13.5" thickBot="1" x14ac:dyDescent="0.25">
      <c r="A85" s="379" t="s">
        <v>116</v>
      </c>
      <c r="B85" s="374">
        <f t="shared" ref="B85:X85" si="15">(C84+B84)*(C83-B83)/2</f>
        <v>2.2000000000000002</v>
      </c>
      <c r="C85" s="375">
        <f t="shared" si="15"/>
        <v>1.7999999999999996</v>
      </c>
      <c r="D85" s="375">
        <f t="shared" si="15"/>
        <v>3.3</v>
      </c>
      <c r="E85" s="375">
        <f t="shared" si="15"/>
        <v>1.7200000000000004</v>
      </c>
      <c r="F85" s="375">
        <f t="shared" si="15"/>
        <v>11.04</v>
      </c>
      <c r="G85" s="375">
        <f t="shared" si="15"/>
        <v>0.46000000000000035</v>
      </c>
      <c r="H85" s="375">
        <f t="shared" si="15"/>
        <v>0</v>
      </c>
      <c r="I85" s="375">
        <f t="shared" si="15"/>
        <v>0</v>
      </c>
      <c r="J85" s="375">
        <f t="shared" si="15"/>
        <v>0</v>
      </c>
      <c r="K85" s="375">
        <f t="shared" si="15"/>
        <v>0</v>
      </c>
      <c r="L85" s="375">
        <f t="shared" si="15"/>
        <v>0</v>
      </c>
      <c r="M85" s="375">
        <f t="shared" si="15"/>
        <v>0</v>
      </c>
      <c r="N85" s="375">
        <f t="shared" si="15"/>
        <v>0</v>
      </c>
      <c r="O85" s="375">
        <f t="shared" si="15"/>
        <v>0</v>
      </c>
      <c r="P85" s="375">
        <f t="shared" si="15"/>
        <v>0</v>
      </c>
      <c r="Q85" s="375">
        <f t="shared" si="15"/>
        <v>0</v>
      </c>
      <c r="R85" s="375">
        <f t="shared" si="15"/>
        <v>0</v>
      </c>
      <c r="S85" s="375">
        <f t="shared" si="15"/>
        <v>0</v>
      </c>
      <c r="T85" s="375">
        <f t="shared" si="15"/>
        <v>0</v>
      </c>
      <c r="U85" s="375">
        <f t="shared" si="15"/>
        <v>0</v>
      </c>
      <c r="V85" s="375">
        <f t="shared" si="15"/>
        <v>0</v>
      </c>
      <c r="W85" s="375">
        <f t="shared" si="15"/>
        <v>0</v>
      </c>
      <c r="X85" s="375">
        <f t="shared" si="15"/>
        <v>0</v>
      </c>
      <c r="Y85" s="369"/>
    </row>
    <row r="86" spans="1:26" ht="13.5" thickBot="1" x14ac:dyDescent="0.25">
      <c r="B86" s="12"/>
      <c r="C86" s="12"/>
      <c r="D86" s="12"/>
      <c r="E86" s="12"/>
      <c r="F86" s="12"/>
      <c r="G86" s="12"/>
      <c r="H86" s="12"/>
      <c r="I86" s="12"/>
      <c r="J86" s="12"/>
      <c r="K86" s="12"/>
      <c r="L86" s="12"/>
      <c r="M86" s="12"/>
      <c r="N86" s="12"/>
      <c r="O86" s="12"/>
      <c r="P86" s="12"/>
      <c r="Q86" s="12"/>
      <c r="R86" s="12"/>
      <c r="S86" s="12"/>
      <c r="T86" s="12"/>
      <c r="U86" s="12"/>
      <c r="V86" s="12"/>
      <c r="W86" s="12"/>
      <c r="X86" s="12"/>
      <c r="Y86" s="12"/>
    </row>
    <row r="87" spans="1:26" ht="13.5" thickBot="1" x14ac:dyDescent="0.25">
      <c r="A87" s="361" t="s">
        <v>330</v>
      </c>
      <c r="B87" s="359">
        <f>ROW(A87)</f>
        <v>87</v>
      </c>
      <c r="C87" s="363" t="s">
        <v>115</v>
      </c>
      <c r="D87" s="353">
        <f>SUM(B90:Y90)</f>
        <v>30.779999999999998</v>
      </c>
      <c r="E87" s="363" t="s">
        <v>114</v>
      </c>
      <c r="F87" s="354">
        <f>D87/g/J87</f>
        <v>80.451658433309774</v>
      </c>
      <c r="G87" s="363" t="s">
        <v>56</v>
      </c>
      <c r="H87" s="64">
        <f>H77*3</f>
        <v>7.2000000000000008E-2</v>
      </c>
      <c r="I87" s="363" t="s">
        <v>271</v>
      </c>
      <c r="J87" s="355">
        <f>H87-L87</f>
        <v>3.9000000000000007E-2</v>
      </c>
      <c r="K87" s="363" t="s">
        <v>272</v>
      </c>
      <c r="L87" s="64">
        <f>L77*3</f>
        <v>3.3000000000000002E-2</v>
      </c>
      <c r="M87" s="363" t="s">
        <v>57</v>
      </c>
      <c r="N87" s="65">
        <v>30</v>
      </c>
      <c r="O87" s="363" t="s">
        <v>59</v>
      </c>
      <c r="P87" s="65">
        <v>30</v>
      </c>
      <c r="Q87" s="363" t="s">
        <v>60</v>
      </c>
      <c r="R87" s="65">
        <v>70</v>
      </c>
      <c r="S87" s="363" t="s">
        <v>61</v>
      </c>
      <c r="T87" s="65">
        <v>40</v>
      </c>
      <c r="U87" s="363" t="s">
        <v>54</v>
      </c>
      <c r="V87" s="66" t="s">
        <v>117</v>
      </c>
      <c r="W87" s="463" t="s">
        <v>394</v>
      </c>
      <c r="X87" s="465">
        <v>1.7</v>
      </c>
      <c r="Y87" s="463" t="s">
        <v>393</v>
      </c>
      <c r="Z87" s="358">
        <v>3</v>
      </c>
    </row>
    <row r="88" spans="1:26" x14ac:dyDescent="0.2">
      <c r="A88" s="362" t="s">
        <v>33</v>
      </c>
      <c r="B88" s="370">
        <v>0</v>
      </c>
      <c r="C88" s="371">
        <v>0.2</v>
      </c>
      <c r="D88" s="371">
        <v>0.3</v>
      </c>
      <c r="E88" s="371">
        <v>0.6</v>
      </c>
      <c r="F88" s="371">
        <v>0.8</v>
      </c>
      <c r="G88" s="371">
        <v>2</v>
      </c>
      <c r="H88" s="371">
        <v>2.1</v>
      </c>
      <c r="I88" s="371">
        <v>2.1</v>
      </c>
      <c r="J88" s="371">
        <v>2.1</v>
      </c>
      <c r="K88" s="371">
        <v>2.1</v>
      </c>
      <c r="L88" s="371">
        <v>2.1</v>
      </c>
      <c r="M88" s="371">
        <v>2.1</v>
      </c>
      <c r="N88" s="371">
        <v>2.1</v>
      </c>
      <c r="O88" s="371">
        <v>2.1</v>
      </c>
      <c r="P88" s="371">
        <v>2.1</v>
      </c>
      <c r="Q88" s="371">
        <v>2.1</v>
      </c>
      <c r="R88" s="371">
        <v>2.1</v>
      </c>
      <c r="S88" s="371">
        <v>2.1</v>
      </c>
      <c r="T88" s="371">
        <v>2.1</v>
      </c>
      <c r="U88" s="371">
        <v>2.1</v>
      </c>
      <c r="V88" s="371">
        <v>2.1</v>
      </c>
      <c r="W88" s="371">
        <v>2.1</v>
      </c>
      <c r="X88" s="371">
        <v>2.1</v>
      </c>
      <c r="Y88" s="381">
        <v>1000</v>
      </c>
    </row>
    <row r="89" spans="1:26" x14ac:dyDescent="0.2">
      <c r="A89" s="378" t="s">
        <v>34</v>
      </c>
      <c r="B89" s="372">
        <f>B79*3</f>
        <v>0</v>
      </c>
      <c r="C89" s="373">
        <f t="shared" ref="C89:X89" si="16">C79*3</f>
        <v>33</v>
      </c>
      <c r="D89" s="373">
        <f t="shared" si="16"/>
        <v>21</v>
      </c>
      <c r="E89" s="373">
        <f t="shared" si="16"/>
        <v>12</v>
      </c>
      <c r="F89" s="373">
        <f t="shared" si="16"/>
        <v>13.799999999999999</v>
      </c>
      <c r="G89" s="373">
        <f t="shared" si="16"/>
        <v>13.799999999999999</v>
      </c>
      <c r="H89" s="373">
        <f t="shared" si="16"/>
        <v>0</v>
      </c>
      <c r="I89" s="373">
        <f t="shared" si="16"/>
        <v>0</v>
      </c>
      <c r="J89" s="373">
        <f t="shared" si="16"/>
        <v>0</v>
      </c>
      <c r="K89" s="373">
        <f t="shared" si="16"/>
        <v>0</v>
      </c>
      <c r="L89" s="373">
        <f t="shared" si="16"/>
        <v>0</v>
      </c>
      <c r="M89" s="373">
        <f t="shared" si="16"/>
        <v>0</v>
      </c>
      <c r="N89" s="373">
        <f t="shared" si="16"/>
        <v>0</v>
      </c>
      <c r="O89" s="373">
        <f t="shared" si="16"/>
        <v>0</v>
      </c>
      <c r="P89" s="373">
        <f t="shared" si="16"/>
        <v>0</v>
      </c>
      <c r="Q89" s="373">
        <f t="shared" si="16"/>
        <v>0</v>
      </c>
      <c r="R89" s="373">
        <f t="shared" si="16"/>
        <v>0</v>
      </c>
      <c r="S89" s="373">
        <f t="shared" si="16"/>
        <v>0</v>
      </c>
      <c r="T89" s="373">
        <f t="shared" si="16"/>
        <v>0</v>
      </c>
      <c r="U89" s="373">
        <f t="shared" si="16"/>
        <v>0</v>
      </c>
      <c r="V89" s="373">
        <f t="shared" si="16"/>
        <v>0</v>
      </c>
      <c r="W89" s="373">
        <f t="shared" si="16"/>
        <v>0</v>
      </c>
      <c r="X89" s="373">
        <f t="shared" si="16"/>
        <v>0</v>
      </c>
      <c r="Y89" s="382">
        <v>0</v>
      </c>
    </row>
    <row r="90" spans="1:26" ht="13.5" thickBot="1" x14ac:dyDescent="0.25">
      <c r="A90" s="379" t="s">
        <v>116</v>
      </c>
      <c r="B90" s="374">
        <f t="shared" ref="B90:X90" si="17">(C89+B89)*(C88-B88)/2</f>
        <v>3.3000000000000003</v>
      </c>
      <c r="C90" s="375">
        <f t="shared" si="17"/>
        <v>2.6999999999999993</v>
      </c>
      <c r="D90" s="375">
        <f t="shared" si="17"/>
        <v>4.95</v>
      </c>
      <c r="E90" s="375">
        <f t="shared" si="17"/>
        <v>2.5800000000000005</v>
      </c>
      <c r="F90" s="375">
        <f t="shared" si="17"/>
        <v>16.559999999999999</v>
      </c>
      <c r="G90" s="375">
        <f t="shared" si="17"/>
        <v>0.69000000000000061</v>
      </c>
      <c r="H90" s="375">
        <f t="shared" si="17"/>
        <v>0</v>
      </c>
      <c r="I90" s="375">
        <f t="shared" si="17"/>
        <v>0</v>
      </c>
      <c r="J90" s="375">
        <f t="shared" si="17"/>
        <v>0</v>
      </c>
      <c r="K90" s="375">
        <f t="shared" si="17"/>
        <v>0</v>
      </c>
      <c r="L90" s="375">
        <f t="shared" si="17"/>
        <v>0</v>
      </c>
      <c r="M90" s="375">
        <f t="shared" si="17"/>
        <v>0</v>
      </c>
      <c r="N90" s="375">
        <f t="shared" si="17"/>
        <v>0</v>
      </c>
      <c r="O90" s="375">
        <f t="shared" si="17"/>
        <v>0</v>
      </c>
      <c r="P90" s="375">
        <f t="shared" si="17"/>
        <v>0</v>
      </c>
      <c r="Q90" s="375">
        <f t="shared" si="17"/>
        <v>0</v>
      </c>
      <c r="R90" s="375">
        <f t="shared" si="17"/>
        <v>0</v>
      </c>
      <c r="S90" s="375">
        <f t="shared" si="17"/>
        <v>0</v>
      </c>
      <c r="T90" s="375">
        <f t="shared" si="17"/>
        <v>0</v>
      </c>
      <c r="U90" s="375">
        <f t="shared" si="17"/>
        <v>0</v>
      </c>
      <c r="V90" s="375">
        <f t="shared" si="17"/>
        <v>0</v>
      </c>
      <c r="W90" s="375">
        <f t="shared" si="17"/>
        <v>0</v>
      </c>
      <c r="X90" s="375">
        <f t="shared" si="17"/>
        <v>0</v>
      </c>
      <c r="Y90" s="369"/>
    </row>
    <row r="91" spans="1:26" ht="13.5" thickBot="1" x14ac:dyDescent="0.25">
      <c r="B91" s="12"/>
      <c r="C91" s="12"/>
      <c r="D91" s="12"/>
      <c r="E91" s="12"/>
      <c r="F91" s="12"/>
      <c r="G91" s="12"/>
      <c r="H91" s="12"/>
      <c r="I91" s="12"/>
      <c r="J91" s="12"/>
      <c r="K91" s="12"/>
      <c r="L91" s="12"/>
      <c r="M91" s="12"/>
      <c r="N91" s="12"/>
      <c r="O91" s="12"/>
      <c r="P91" s="12"/>
      <c r="Q91" s="12"/>
      <c r="R91" s="12"/>
      <c r="S91" s="12"/>
      <c r="T91" s="12"/>
      <c r="U91" s="12"/>
      <c r="V91" s="12"/>
      <c r="W91" s="12"/>
      <c r="X91" s="12"/>
      <c r="Y91" s="12"/>
    </row>
    <row r="92" spans="1:26" ht="13.5" thickBot="1" x14ac:dyDescent="0.25">
      <c r="A92" s="361" t="s">
        <v>540</v>
      </c>
      <c r="B92" s="359">
        <f>ROW(A92)</f>
        <v>92</v>
      </c>
      <c r="C92" s="363" t="s">
        <v>115</v>
      </c>
      <c r="D92" s="353">
        <f>SUM(B95:Y95)</f>
        <v>19.961989000000003</v>
      </c>
      <c r="E92" s="363" t="s">
        <v>114</v>
      </c>
      <c r="F92" s="354">
        <f>D92/g/J92</f>
        <v>118.30588744280873</v>
      </c>
      <c r="G92" s="363" t="s">
        <v>56</v>
      </c>
      <c r="H92" s="64">
        <v>2.8199999999999999E-2</v>
      </c>
      <c r="I92" s="363" t="s">
        <v>271</v>
      </c>
      <c r="J92" s="355">
        <f>H92-L92</f>
        <v>1.72E-2</v>
      </c>
      <c r="K92" s="363" t="s">
        <v>272</v>
      </c>
      <c r="L92" s="64">
        <v>1.0999999999999999E-2</v>
      </c>
      <c r="M92" s="363" t="s">
        <v>57</v>
      </c>
      <c r="N92" s="65">
        <v>30</v>
      </c>
      <c r="O92" s="363" t="s">
        <v>59</v>
      </c>
      <c r="P92" s="65">
        <v>30</v>
      </c>
      <c r="Q92" s="363" t="s">
        <v>60</v>
      </c>
      <c r="R92" s="65">
        <v>70</v>
      </c>
      <c r="S92" s="363" t="s">
        <v>61</v>
      </c>
      <c r="T92" s="65">
        <v>18</v>
      </c>
      <c r="U92" s="363" t="s">
        <v>54</v>
      </c>
      <c r="V92" s="66" t="s">
        <v>401</v>
      </c>
      <c r="W92" s="463" t="s">
        <v>394</v>
      </c>
      <c r="X92" s="465">
        <v>2.1</v>
      </c>
      <c r="Y92" s="463" t="s">
        <v>393</v>
      </c>
      <c r="Z92" s="358">
        <v>7</v>
      </c>
    </row>
    <row r="93" spans="1:26" x14ac:dyDescent="0.2">
      <c r="A93" s="362" t="s">
        <v>33</v>
      </c>
      <c r="B93" s="370">
        <v>0</v>
      </c>
      <c r="C93" s="471">
        <v>0.04</v>
      </c>
      <c r="D93" s="471">
        <v>0.11600000000000001</v>
      </c>
      <c r="E93" s="471">
        <v>0.21299999999999999</v>
      </c>
      <c r="F93" s="471">
        <v>0.28599999999999998</v>
      </c>
      <c r="G93" s="471">
        <v>0.32900000000000001</v>
      </c>
      <c r="H93" s="471">
        <v>0.36899999999999999</v>
      </c>
      <c r="I93" s="471">
        <v>0.42</v>
      </c>
      <c r="J93" s="471">
        <v>0.495</v>
      </c>
      <c r="K93" s="471">
        <v>0.59699999999999998</v>
      </c>
      <c r="L93" s="471">
        <v>1.7110000000000001</v>
      </c>
      <c r="M93" s="471">
        <v>1.8260000000000001</v>
      </c>
      <c r="N93" s="471">
        <v>1.917</v>
      </c>
      <c r="O93" s="471">
        <v>1.9750000000000001</v>
      </c>
      <c r="P93" s="471">
        <v>2.206</v>
      </c>
      <c r="Q93" s="471">
        <v>2.242</v>
      </c>
      <c r="R93" s="371">
        <v>2.5</v>
      </c>
      <c r="S93" s="371">
        <v>2.5</v>
      </c>
      <c r="T93" s="371">
        <v>2.5</v>
      </c>
      <c r="U93" s="371">
        <v>2.5</v>
      </c>
      <c r="V93" s="371">
        <v>2.5</v>
      </c>
      <c r="W93" s="371">
        <v>2.5</v>
      </c>
      <c r="X93" s="371">
        <v>2.5</v>
      </c>
      <c r="Y93" s="381">
        <v>1000</v>
      </c>
    </row>
    <row r="94" spans="1:26" x14ac:dyDescent="0.2">
      <c r="A94" s="378" t="s">
        <v>34</v>
      </c>
      <c r="B94" s="372">
        <v>0</v>
      </c>
      <c r="C94" s="471">
        <v>2.1110000000000002</v>
      </c>
      <c r="D94" s="471">
        <v>9.6850000000000005</v>
      </c>
      <c r="E94" s="471">
        <v>25</v>
      </c>
      <c r="F94" s="471">
        <v>15.738</v>
      </c>
      <c r="G94" s="471">
        <v>12.472</v>
      </c>
      <c r="H94" s="471">
        <v>10.67</v>
      </c>
      <c r="I94" s="471">
        <v>9.7129999999999992</v>
      </c>
      <c r="J94" s="471">
        <v>9.1780000000000008</v>
      </c>
      <c r="K94" s="471">
        <v>8.8960000000000008</v>
      </c>
      <c r="L94" s="471">
        <v>8.9250000000000007</v>
      </c>
      <c r="M94" s="471">
        <v>8.6989999999999998</v>
      </c>
      <c r="N94" s="471">
        <v>8.0519999999999996</v>
      </c>
      <c r="O94" s="471">
        <v>6.9539999999999997</v>
      </c>
      <c r="P94" s="471">
        <v>1.07</v>
      </c>
      <c r="Q94" s="471">
        <v>0</v>
      </c>
      <c r="R94" s="373">
        <v>0</v>
      </c>
      <c r="S94" s="373">
        <v>0</v>
      </c>
      <c r="T94" s="373">
        <v>0</v>
      </c>
      <c r="U94" s="373">
        <v>0</v>
      </c>
      <c r="V94" s="373">
        <v>0</v>
      </c>
      <c r="W94" s="373">
        <v>0</v>
      </c>
      <c r="X94" s="373">
        <v>0</v>
      </c>
      <c r="Y94" s="382">
        <v>0</v>
      </c>
    </row>
    <row r="95" spans="1:26" ht="13.5" thickBot="1" x14ac:dyDescent="0.25">
      <c r="A95" s="379" t="s">
        <v>116</v>
      </c>
      <c r="B95" s="374">
        <f t="shared" ref="B95:X95" si="18">(C94+B94)*(C93-B93)/2</f>
        <v>4.2220000000000008E-2</v>
      </c>
      <c r="C95" s="375">
        <f t="shared" si="18"/>
        <v>0.44824800000000009</v>
      </c>
      <c r="D95" s="375">
        <f t="shared" si="18"/>
        <v>1.6822225</v>
      </c>
      <c r="E95" s="375">
        <f t="shared" si="18"/>
        <v>1.4869369999999995</v>
      </c>
      <c r="F95" s="375">
        <f t="shared" si="18"/>
        <v>0.60651500000000058</v>
      </c>
      <c r="G95" s="375">
        <f t="shared" si="18"/>
        <v>0.46283999999999975</v>
      </c>
      <c r="H95" s="375">
        <f t="shared" si="18"/>
        <v>0.51976649999999991</v>
      </c>
      <c r="I95" s="375">
        <f t="shared" si="18"/>
        <v>0.7084125</v>
      </c>
      <c r="J95" s="375">
        <f t="shared" si="18"/>
        <v>0.92177399999999987</v>
      </c>
      <c r="K95" s="375">
        <f t="shared" si="18"/>
        <v>9.9262970000000017</v>
      </c>
      <c r="L95" s="375">
        <f t="shared" si="18"/>
        <v>1.0133799999999999</v>
      </c>
      <c r="M95" s="375">
        <f t="shared" si="18"/>
        <v>0.76217049999999964</v>
      </c>
      <c r="N95" s="375">
        <f t="shared" si="18"/>
        <v>0.43517400000000039</v>
      </c>
      <c r="O95" s="375">
        <f t="shared" si="18"/>
        <v>0.92677199999999937</v>
      </c>
      <c r="P95" s="375">
        <f t="shared" si="18"/>
        <v>1.9260000000000017E-2</v>
      </c>
      <c r="Q95" s="375">
        <f t="shared" si="18"/>
        <v>0</v>
      </c>
      <c r="R95" s="375">
        <f t="shared" si="18"/>
        <v>0</v>
      </c>
      <c r="S95" s="375">
        <f t="shared" si="18"/>
        <v>0</v>
      </c>
      <c r="T95" s="375">
        <f t="shared" si="18"/>
        <v>0</v>
      </c>
      <c r="U95" s="375">
        <f t="shared" si="18"/>
        <v>0</v>
      </c>
      <c r="V95" s="375">
        <f t="shared" si="18"/>
        <v>0</v>
      </c>
      <c r="W95" s="375">
        <f t="shared" si="18"/>
        <v>0</v>
      </c>
      <c r="X95" s="375">
        <f t="shared" si="18"/>
        <v>0</v>
      </c>
      <c r="Y95" s="369"/>
    </row>
    <row r="96" spans="1:26" ht="13.5" thickBot="1" x14ac:dyDescent="0.25">
      <c r="A96" s="12"/>
      <c r="L96" s="12"/>
      <c r="M96" s="12"/>
      <c r="N96" s="12"/>
      <c r="O96" s="12"/>
      <c r="P96" s="12"/>
      <c r="Q96" s="12"/>
      <c r="R96" s="12"/>
      <c r="S96" s="12"/>
      <c r="T96" s="12"/>
      <c r="U96" s="12"/>
      <c r="V96" s="12"/>
      <c r="W96" s="12"/>
      <c r="X96" s="12"/>
      <c r="Y96" s="12"/>
    </row>
    <row r="97" spans="1:26" ht="13.5" thickBot="1" x14ac:dyDescent="0.25">
      <c r="A97" s="361" t="s">
        <v>538</v>
      </c>
      <c r="B97" s="359">
        <f>ROW(A97)</f>
        <v>97</v>
      </c>
      <c r="C97" s="363" t="s">
        <v>115</v>
      </c>
      <c r="D97" s="353">
        <f>SUM(B100:Y100)</f>
        <v>39.923978000000005</v>
      </c>
      <c r="E97" s="363" t="s">
        <v>114</v>
      </c>
      <c r="F97" s="354">
        <f>D97/g/J97</f>
        <v>118.30588744280873</v>
      </c>
      <c r="G97" s="363" t="s">
        <v>56</v>
      </c>
      <c r="H97" s="64">
        <f>H92*2</f>
        <v>5.6399999999999999E-2</v>
      </c>
      <c r="I97" s="363" t="s">
        <v>271</v>
      </c>
      <c r="J97" s="355">
        <f>H97-L97</f>
        <v>3.44E-2</v>
      </c>
      <c r="K97" s="363" t="s">
        <v>272</v>
      </c>
      <c r="L97" s="64">
        <f>L92*2</f>
        <v>2.1999999999999999E-2</v>
      </c>
      <c r="M97" s="363" t="s">
        <v>57</v>
      </c>
      <c r="N97" s="65">
        <v>30</v>
      </c>
      <c r="O97" s="363" t="s">
        <v>59</v>
      </c>
      <c r="P97" s="65">
        <v>30</v>
      </c>
      <c r="Q97" s="363" t="s">
        <v>60</v>
      </c>
      <c r="R97" s="65">
        <v>70</v>
      </c>
      <c r="S97" s="363" t="s">
        <v>61</v>
      </c>
      <c r="T97" s="65">
        <v>30</v>
      </c>
      <c r="U97" s="363" t="s">
        <v>54</v>
      </c>
      <c r="V97" s="66" t="s">
        <v>401</v>
      </c>
      <c r="W97" s="463" t="s">
        <v>394</v>
      </c>
      <c r="X97" s="465">
        <v>2.1</v>
      </c>
      <c r="Y97" s="463" t="s">
        <v>393</v>
      </c>
      <c r="Z97" s="358">
        <v>7</v>
      </c>
    </row>
    <row r="98" spans="1:26" x14ac:dyDescent="0.2">
      <c r="A98" s="362" t="s">
        <v>33</v>
      </c>
      <c r="B98" s="370">
        <v>0</v>
      </c>
      <c r="C98" s="371">
        <f>C93</f>
        <v>0.04</v>
      </c>
      <c r="D98" s="371">
        <f t="shared" ref="D98:X98" si="19">D93</f>
        <v>0.11600000000000001</v>
      </c>
      <c r="E98" s="371">
        <f t="shared" si="19"/>
        <v>0.21299999999999999</v>
      </c>
      <c r="F98" s="371">
        <f t="shared" si="19"/>
        <v>0.28599999999999998</v>
      </c>
      <c r="G98" s="371">
        <f t="shared" si="19"/>
        <v>0.32900000000000001</v>
      </c>
      <c r="H98" s="371">
        <f t="shared" si="19"/>
        <v>0.36899999999999999</v>
      </c>
      <c r="I98" s="371">
        <f t="shared" si="19"/>
        <v>0.42</v>
      </c>
      <c r="J98" s="371">
        <f t="shared" si="19"/>
        <v>0.495</v>
      </c>
      <c r="K98" s="371">
        <f t="shared" si="19"/>
        <v>0.59699999999999998</v>
      </c>
      <c r="L98" s="371">
        <f t="shared" si="19"/>
        <v>1.7110000000000001</v>
      </c>
      <c r="M98" s="371">
        <f t="shared" si="19"/>
        <v>1.8260000000000001</v>
      </c>
      <c r="N98" s="371">
        <f t="shared" si="19"/>
        <v>1.917</v>
      </c>
      <c r="O98" s="371">
        <f t="shared" si="19"/>
        <v>1.9750000000000001</v>
      </c>
      <c r="P98" s="371">
        <f t="shared" si="19"/>
        <v>2.206</v>
      </c>
      <c r="Q98" s="371">
        <f t="shared" si="19"/>
        <v>2.242</v>
      </c>
      <c r="R98" s="371">
        <f t="shared" si="19"/>
        <v>2.5</v>
      </c>
      <c r="S98" s="371">
        <f>S93</f>
        <v>2.5</v>
      </c>
      <c r="T98" s="371">
        <f t="shared" si="19"/>
        <v>2.5</v>
      </c>
      <c r="U98" s="371">
        <f t="shared" si="19"/>
        <v>2.5</v>
      </c>
      <c r="V98" s="371">
        <f t="shared" si="19"/>
        <v>2.5</v>
      </c>
      <c r="W98" s="371">
        <f t="shared" si="19"/>
        <v>2.5</v>
      </c>
      <c r="X98" s="371">
        <f t="shared" si="19"/>
        <v>2.5</v>
      </c>
      <c r="Y98" s="381">
        <v>1000</v>
      </c>
    </row>
    <row r="99" spans="1:26" x14ac:dyDescent="0.2">
      <c r="A99" s="378" t="s">
        <v>34</v>
      </c>
      <c r="B99" s="372">
        <f>B94*2</f>
        <v>0</v>
      </c>
      <c r="C99" s="373">
        <f t="shared" ref="C99:X99" si="20">C94*2</f>
        <v>4.2220000000000004</v>
      </c>
      <c r="D99" s="373">
        <f t="shared" si="20"/>
        <v>19.37</v>
      </c>
      <c r="E99" s="373">
        <f t="shared" si="20"/>
        <v>50</v>
      </c>
      <c r="F99" s="373">
        <f t="shared" si="20"/>
        <v>31.475999999999999</v>
      </c>
      <c r="G99" s="373">
        <f t="shared" si="20"/>
        <v>24.943999999999999</v>
      </c>
      <c r="H99" s="373">
        <f t="shared" si="20"/>
        <v>21.34</v>
      </c>
      <c r="I99" s="373">
        <f t="shared" si="20"/>
        <v>19.425999999999998</v>
      </c>
      <c r="J99" s="373">
        <f t="shared" si="20"/>
        <v>18.356000000000002</v>
      </c>
      <c r="K99" s="373">
        <f t="shared" si="20"/>
        <v>17.792000000000002</v>
      </c>
      <c r="L99" s="373">
        <f t="shared" si="20"/>
        <v>17.850000000000001</v>
      </c>
      <c r="M99" s="373">
        <f t="shared" si="20"/>
        <v>17.398</v>
      </c>
      <c r="N99" s="373">
        <f t="shared" si="20"/>
        <v>16.103999999999999</v>
      </c>
      <c r="O99" s="373">
        <f t="shared" si="20"/>
        <v>13.907999999999999</v>
      </c>
      <c r="P99" s="373">
        <f t="shared" si="20"/>
        <v>2.14</v>
      </c>
      <c r="Q99" s="373">
        <f t="shared" si="20"/>
        <v>0</v>
      </c>
      <c r="R99" s="373">
        <f t="shared" si="20"/>
        <v>0</v>
      </c>
      <c r="S99" s="373">
        <f t="shared" si="20"/>
        <v>0</v>
      </c>
      <c r="T99" s="373">
        <f t="shared" si="20"/>
        <v>0</v>
      </c>
      <c r="U99" s="373">
        <f t="shared" si="20"/>
        <v>0</v>
      </c>
      <c r="V99" s="373">
        <f t="shared" si="20"/>
        <v>0</v>
      </c>
      <c r="W99" s="373">
        <f t="shared" si="20"/>
        <v>0</v>
      </c>
      <c r="X99" s="373">
        <f t="shared" si="20"/>
        <v>0</v>
      </c>
      <c r="Y99" s="382">
        <v>0</v>
      </c>
    </row>
    <row r="100" spans="1:26" ht="13.5" thickBot="1" x14ac:dyDescent="0.25">
      <c r="A100" s="379" t="s">
        <v>116</v>
      </c>
      <c r="B100" s="374">
        <f t="shared" ref="B100:X100" si="21">(C99+B99)*(C98-B98)/2</f>
        <v>8.4440000000000015E-2</v>
      </c>
      <c r="C100" s="375">
        <f t="shared" si="21"/>
        <v>0.89649600000000018</v>
      </c>
      <c r="D100" s="375">
        <f t="shared" si="21"/>
        <v>3.3644449999999999</v>
      </c>
      <c r="E100" s="375">
        <f t="shared" si="21"/>
        <v>2.973873999999999</v>
      </c>
      <c r="F100" s="375">
        <f t="shared" si="21"/>
        <v>1.2130300000000012</v>
      </c>
      <c r="G100" s="375">
        <f t="shared" si="21"/>
        <v>0.9256799999999995</v>
      </c>
      <c r="H100" s="375">
        <f t="shared" si="21"/>
        <v>1.0395329999999998</v>
      </c>
      <c r="I100" s="375">
        <f t="shared" si="21"/>
        <v>1.416825</v>
      </c>
      <c r="J100" s="375">
        <f t="shared" si="21"/>
        <v>1.8435479999999997</v>
      </c>
      <c r="K100" s="375">
        <f t="shared" si="21"/>
        <v>19.852594000000003</v>
      </c>
      <c r="L100" s="375">
        <f t="shared" si="21"/>
        <v>2.0267599999999999</v>
      </c>
      <c r="M100" s="375">
        <f t="shared" si="21"/>
        <v>1.5243409999999993</v>
      </c>
      <c r="N100" s="375">
        <f t="shared" si="21"/>
        <v>0.87034800000000079</v>
      </c>
      <c r="O100" s="375">
        <f t="shared" si="21"/>
        <v>1.8535439999999987</v>
      </c>
      <c r="P100" s="375">
        <f t="shared" si="21"/>
        <v>3.8520000000000033E-2</v>
      </c>
      <c r="Q100" s="375">
        <f t="shared" si="21"/>
        <v>0</v>
      </c>
      <c r="R100" s="375">
        <f t="shared" si="21"/>
        <v>0</v>
      </c>
      <c r="S100" s="375">
        <f t="shared" si="21"/>
        <v>0</v>
      </c>
      <c r="T100" s="375">
        <f t="shared" si="21"/>
        <v>0</v>
      </c>
      <c r="U100" s="375">
        <f t="shared" si="21"/>
        <v>0</v>
      </c>
      <c r="V100" s="375">
        <f t="shared" si="21"/>
        <v>0</v>
      </c>
      <c r="W100" s="375">
        <f t="shared" si="21"/>
        <v>0</v>
      </c>
      <c r="X100" s="375">
        <f t="shared" si="21"/>
        <v>0</v>
      </c>
      <c r="Y100" s="369"/>
    </row>
    <row r="101" spans="1:26" ht="13.5" thickBot="1" x14ac:dyDescent="0.25">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row>
    <row r="102" spans="1:26" ht="13.5" thickBot="1" x14ac:dyDescent="0.25">
      <c r="A102" s="361" t="s">
        <v>539</v>
      </c>
      <c r="B102" s="359">
        <f>ROW(A102)</f>
        <v>102</v>
      </c>
      <c r="C102" s="363" t="s">
        <v>115</v>
      </c>
      <c r="D102" s="353">
        <f>SUM(B105:Y105)</f>
        <v>59.885967000000008</v>
      </c>
      <c r="E102" s="363" t="s">
        <v>114</v>
      </c>
      <c r="F102" s="354">
        <f>D102/g/J102</f>
        <v>118.30588744280874</v>
      </c>
      <c r="G102" s="363" t="s">
        <v>56</v>
      </c>
      <c r="H102" s="64">
        <f>H92*3</f>
        <v>8.4599999999999995E-2</v>
      </c>
      <c r="I102" s="363" t="s">
        <v>271</v>
      </c>
      <c r="J102" s="355">
        <f>H102-L102</f>
        <v>5.1599999999999993E-2</v>
      </c>
      <c r="K102" s="363" t="s">
        <v>272</v>
      </c>
      <c r="L102" s="64">
        <f>L92*3</f>
        <v>3.3000000000000002E-2</v>
      </c>
      <c r="M102" s="363" t="s">
        <v>57</v>
      </c>
      <c r="N102" s="65">
        <v>30</v>
      </c>
      <c r="O102" s="363" t="s">
        <v>59</v>
      </c>
      <c r="P102" s="65">
        <v>30</v>
      </c>
      <c r="Q102" s="363" t="s">
        <v>60</v>
      </c>
      <c r="R102" s="65">
        <v>70</v>
      </c>
      <c r="S102" s="363" t="s">
        <v>61</v>
      </c>
      <c r="T102" s="65">
        <v>40</v>
      </c>
      <c r="U102" s="363" t="s">
        <v>54</v>
      </c>
      <c r="V102" s="66" t="s">
        <v>401</v>
      </c>
      <c r="W102" s="463" t="s">
        <v>394</v>
      </c>
      <c r="X102" s="465">
        <v>2.1</v>
      </c>
      <c r="Y102" s="463" t="s">
        <v>393</v>
      </c>
      <c r="Z102" s="358">
        <v>7</v>
      </c>
    </row>
    <row r="103" spans="1:26" x14ac:dyDescent="0.2">
      <c r="A103" s="362" t="s">
        <v>33</v>
      </c>
      <c r="B103" s="370">
        <v>0</v>
      </c>
      <c r="C103" s="371">
        <f>C93</f>
        <v>0.04</v>
      </c>
      <c r="D103" s="371">
        <f t="shared" ref="D103:X103" si="22">D93</f>
        <v>0.11600000000000001</v>
      </c>
      <c r="E103" s="371">
        <f t="shared" si="22"/>
        <v>0.21299999999999999</v>
      </c>
      <c r="F103" s="371">
        <f t="shared" si="22"/>
        <v>0.28599999999999998</v>
      </c>
      <c r="G103" s="371">
        <f t="shared" si="22"/>
        <v>0.32900000000000001</v>
      </c>
      <c r="H103" s="371">
        <f t="shared" si="22"/>
        <v>0.36899999999999999</v>
      </c>
      <c r="I103" s="371">
        <f t="shared" si="22"/>
        <v>0.42</v>
      </c>
      <c r="J103" s="371">
        <f t="shared" si="22"/>
        <v>0.495</v>
      </c>
      <c r="K103" s="371">
        <f t="shared" si="22"/>
        <v>0.59699999999999998</v>
      </c>
      <c r="L103" s="371">
        <f t="shared" si="22"/>
        <v>1.7110000000000001</v>
      </c>
      <c r="M103" s="371">
        <f t="shared" si="22"/>
        <v>1.8260000000000001</v>
      </c>
      <c r="N103" s="371">
        <f t="shared" si="22"/>
        <v>1.917</v>
      </c>
      <c r="O103" s="371">
        <f t="shared" si="22"/>
        <v>1.9750000000000001</v>
      </c>
      <c r="P103" s="371">
        <f t="shared" si="22"/>
        <v>2.206</v>
      </c>
      <c r="Q103" s="371">
        <f t="shared" si="22"/>
        <v>2.242</v>
      </c>
      <c r="R103" s="371">
        <f t="shared" si="22"/>
        <v>2.5</v>
      </c>
      <c r="S103" s="371">
        <f t="shared" si="22"/>
        <v>2.5</v>
      </c>
      <c r="T103" s="371">
        <f t="shared" si="22"/>
        <v>2.5</v>
      </c>
      <c r="U103" s="371">
        <f t="shared" si="22"/>
        <v>2.5</v>
      </c>
      <c r="V103" s="371">
        <f t="shared" si="22"/>
        <v>2.5</v>
      </c>
      <c r="W103" s="371">
        <f t="shared" si="22"/>
        <v>2.5</v>
      </c>
      <c r="X103" s="371">
        <f t="shared" si="22"/>
        <v>2.5</v>
      </c>
      <c r="Y103" s="381">
        <v>1000</v>
      </c>
    </row>
    <row r="104" spans="1:26" x14ac:dyDescent="0.2">
      <c r="A104" s="378" t="s">
        <v>34</v>
      </c>
      <c r="B104" s="372">
        <f>B94*3</f>
        <v>0</v>
      </c>
      <c r="C104" s="373">
        <f t="shared" ref="C104:X104" si="23">C94*3</f>
        <v>6.3330000000000002</v>
      </c>
      <c r="D104" s="373">
        <f t="shared" si="23"/>
        <v>29.055</v>
      </c>
      <c r="E104" s="373">
        <f t="shared" si="23"/>
        <v>75</v>
      </c>
      <c r="F104" s="373">
        <f t="shared" si="23"/>
        <v>47.213999999999999</v>
      </c>
      <c r="G104" s="373">
        <f t="shared" si="23"/>
        <v>37.415999999999997</v>
      </c>
      <c r="H104" s="373">
        <f t="shared" si="23"/>
        <v>32.01</v>
      </c>
      <c r="I104" s="373">
        <f t="shared" si="23"/>
        <v>29.138999999999996</v>
      </c>
      <c r="J104" s="373">
        <f t="shared" si="23"/>
        <v>27.534000000000002</v>
      </c>
      <c r="K104" s="373">
        <f t="shared" si="23"/>
        <v>26.688000000000002</v>
      </c>
      <c r="L104" s="373">
        <f t="shared" si="23"/>
        <v>26.775000000000002</v>
      </c>
      <c r="M104" s="373">
        <f t="shared" si="23"/>
        <v>26.097000000000001</v>
      </c>
      <c r="N104" s="373">
        <f t="shared" si="23"/>
        <v>24.155999999999999</v>
      </c>
      <c r="O104" s="373">
        <f t="shared" si="23"/>
        <v>20.861999999999998</v>
      </c>
      <c r="P104" s="373">
        <f t="shared" si="23"/>
        <v>3.21</v>
      </c>
      <c r="Q104" s="373">
        <f t="shared" si="23"/>
        <v>0</v>
      </c>
      <c r="R104" s="373">
        <f t="shared" si="23"/>
        <v>0</v>
      </c>
      <c r="S104" s="373">
        <f t="shared" si="23"/>
        <v>0</v>
      </c>
      <c r="T104" s="373">
        <f t="shared" si="23"/>
        <v>0</v>
      </c>
      <c r="U104" s="373">
        <f t="shared" si="23"/>
        <v>0</v>
      </c>
      <c r="V104" s="373">
        <f t="shared" si="23"/>
        <v>0</v>
      </c>
      <c r="W104" s="373">
        <f t="shared" si="23"/>
        <v>0</v>
      </c>
      <c r="X104" s="373">
        <f t="shared" si="23"/>
        <v>0</v>
      </c>
      <c r="Y104" s="382">
        <v>0</v>
      </c>
    </row>
    <row r="105" spans="1:26" ht="13.5" thickBot="1" x14ac:dyDescent="0.25">
      <c r="A105" s="379" t="s">
        <v>116</v>
      </c>
      <c r="B105" s="374">
        <f t="shared" ref="B105:X105" si="24">(C104+B104)*(C103-B103)/2</f>
        <v>0.12665999999999999</v>
      </c>
      <c r="C105" s="375">
        <f t="shared" si="24"/>
        <v>1.3447440000000002</v>
      </c>
      <c r="D105" s="375">
        <f t="shared" si="24"/>
        <v>5.0466674999999999</v>
      </c>
      <c r="E105" s="375">
        <f t="shared" si="24"/>
        <v>4.4608109999999987</v>
      </c>
      <c r="F105" s="375">
        <f t="shared" si="24"/>
        <v>1.8195450000000015</v>
      </c>
      <c r="G105" s="375">
        <f t="shared" si="24"/>
        <v>1.3885199999999991</v>
      </c>
      <c r="H105" s="375">
        <f t="shared" si="24"/>
        <v>1.5592994999999996</v>
      </c>
      <c r="I105" s="375">
        <f t="shared" si="24"/>
        <v>2.1252375000000003</v>
      </c>
      <c r="J105" s="375">
        <f t="shared" si="24"/>
        <v>2.7653219999999998</v>
      </c>
      <c r="K105" s="375">
        <f t="shared" si="24"/>
        <v>29.778891000000009</v>
      </c>
      <c r="L105" s="375">
        <f t="shared" si="24"/>
        <v>3.0401399999999996</v>
      </c>
      <c r="M105" s="375">
        <f t="shared" si="24"/>
        <v>2.2865114999999991</v>
      </c>
      <c r="N105" s="375">
        <f t="shared" si="24"/>
        <v>1.3055220000000012</v>
      </c>
      <c r="O105" s="375">
        <f t="shared" si="24"/>
        <v>2.7803159999999982</v>
      </c>
      <c r="P105" s="375">
        <f t="shared" si="24"/>
        <v>5.7780000000000054E-2</v>
      </c>
      <c r="Q105" s="375">
        <f t="shared" si="24"/>
        <v>0</v>
      </c>
      <c r="R105" s="375">
        <f t="shared" si="24"/>
        <v>0</v>
      </c>
      <c r="S105" s="375">
        <f t="shared" si="24"/>
        <v>0</v>
      </c>
      <c r="T105" s="375">
        <f t="shared" si="24"/>
        <v>0</v>
      </c>
      <c r="U105" s="375">
        <f t="shared" si="24"/>
        <v>0</v>
      </c>
      <c r="V105" s="375">
        <f t="shared" si="24"/>
        <v>0</v>
      </c>
      <c r="W105" s="375">
        <f t="shared" si="24"/>
        <v>0</v>
      </c>
      <c r="X105" s="375">
        <f t="shared" si="24"/>
        <v>0</v>
      </c>
      <c r="Y105" s="369"/>
    </row>
    <row r="107" spans="1:26" ht="13.5" thickBot="1" x14ac:dyDescent="0.25">
      <c r="A107" s="6" t="s">
        <v>317</v>
      </c>
    </row>
    <row r="108" spans="1:26" ht="13.5" thickBot="1" x14ac:dyDescent="0.25">
      <c r="A108" s="361" t="s">
        <v>319</v>
      </c>
      <c r="B108" s="359">
        <f>ROW(A108)</f>
        <v>108</v>
      </c>
      <c r="C108" s="363" t="s">
        <v>115</v>
      </c>
      <c r="D108" s="353">
        <f>SUM(B111:Y111)</f>
        <v>24.269519000000003</v>
      </c>
      <c r="E108" s="363" t="s">
        <v>114</v>
      </c>
      <c r="F108" s="354">
        <f>D108/g/J108</f>
        <v>154.62231778797147</v>
      </c>
      <c r="G108" s="363" t="s">
        <v>56</v>
      </c>
      <c r="H108" s="64">
        <v>5.1999999999999998E-2</v>
      </c>
      <c r="I108" s="363" t="s">
        <v>271</v>
      </c>
      <c r="J108" s="355">
        <f>H108-L108</f>
        <v>1.6E-2</v>
      </c>
      <c r="K108" s="363" t="s">
        <v>272</v>
      </c>
      <c r="L108" s="64">
        <v>3.5999999999999997E-2</v>
      </c>
      <c r="M108" s="363" t="s">
        <v>57</v>
      </c>
      <c r="N108" s="396">
        <v>35</v>
      </c>
      <c r="O108" s="363" t="s">
        <v>59</v>
      </c>
      <c r="P108" s="396">
        <v>35</v>
      </c>
      <c r="Q108" s="363" t="s">
        <v>60</v>
      </c>
      <c r="R108" s="65">
        <v>69</v>
      </c>
      <c r="S108" s="363" t="s">
        <v>61</v>
      </c>
      <c r="T108" s="65">
        <v>24</v>
      </c>
      <c r="U108" s="363" t="s">
        <v>54</v>
      </c>
      <c r="V108" s="66" t="s">
        <v>399</v>
      </c>
      <c r="W108" s="463" t="s">
        <v>394</v>
      </c>
      <c r="X108" s="465">
        <v>1</v>
      </c>
      <c r="Y108" s="463" t="s">
        <v>393</v>
      </c>
      <c r="Z108" s="358">
        <v>13</v>
      </c>
    </row>
    <row r="109" spans="1:26" x14ac:dyDescent="0.2">
      <c r="A109" s="362" t="s">
        <v>33</v>
      </c>
      <c r="B109" s="370">
        <v>0</v>
      </c>
      <c r="C109" s="371">
        <v>8.0000000000000002E-3</v>
      </c>
      <c r="D109" s="371">
        <v>2.5999999999999999E-2</v>
      </c>
      <c r="E109" s="371">
        <v>3.7999999999999999E-2</v>
      </c>
      <c r="F109" s="371">
        <v>6.7000000000000004E-2</v>
      </c>
      <c r="G109" s="371">
        <v>0.10100000000000001</v>
      </c>
      <c r="H109" s="371">
        <v>0.33</v>
      </c>
      <c r="I109" s="371">
        <v>0.52800000000000002</v>
      </c>
      <c r="J109" s="371">
        <v>0.71599999999999997</v>
      </c>
      <c r="K109" s="371">
        <v>0.84099999999999997</v>
      </c>
      <c r="L109" s="371">
        <v>0.91200000000000003</v>
      </c>
      <c r="M109" s="371">
        <v>0.98699999999999999</v>
      </c>
      <c r="N109" s="371">
        <v>1.016</v>
      </c>
      <c r="O109" s="371">
        <v>1.0649999999999999</v>
      </c>
      <c r="P109" s="371">
        <v>1.087</v>
      </c>
      <c r="Q109" s="371">
        <v>2</v>
      </c>
      <c r="R109" s="371">
        <v>2</v>
      </c>
      <c r="S109" s="371">
        <v>2</v>
      </c>
      <c r="T109" s="371">
        <v>2</v>
      </c>
      <c r="U109" s="371">
        <v>2</v>
      </c>
      <c r="V109" s="371">
        <v>2</v>
      </c>
      <c r="W109" s="371">
        <v>2</v>
      </c>
      <c r="X109" s="371">
        <v>2</v>
      </c>
      <c r="Y109" s="381">
        <v>1000</v>
      </c>
    </row>
    <row r="110" spans="1:26" x14ac:dyDescent="0.2">
      <c r="A110" s="378" t="s">
        <v>34</v>
      </c>
      <c r="B110" s="372">
        <v>0</v>
      </c>
      <c r="C110" s="373">
        <v>18.292000000000002</v>
      </c>
      <c r="D110" s="373">
        <v>30</v>
      </c>
      <c r="E110" s="373">
        <v>30.792000000000002</v>
      </c>
      <c r="F110" s="373">
        <v>18.707999999999998</v>
      </c>
      <c r="G110" s="373">
        <v>21.875</v>
      </c>
      <c r="H110" s="373">
        <v>26.082999999999998</v>
      </c>
      <c r="I110" s="373">
        <v>28.042000000000002</v>
      </c>
      <c r="J110" s="373">
        <v>27.875</v>
      </c>
      <c r="K110" s="373">
        <v>23.542000000000002</v>
      </c>
      <c r="L110" s="373">
        <v>17.832999999999998</v>
      </c>
      <c r="M110" s="373">
        <v>7</v>
      </c>
      <c r="N110" s="373">
        <v>3.3330000000000002</v>
      </c>
      <c r="O110" s="373">
        <v>1.083</v>
      </c>
      <c r="P110" s="373">
        <v>0</v>
      </c>
      <c r="Q110" s="373">
        <v>0</v>
      </c>
      <c r="R110" s="373">
        <v>0</v>
      </c>
      <c r="S110" s="373">
        <v>0</v>
      </c>
      <c r="T110" s="373">
        <f>S110</f>
        <v>0</v>
      </c>
      <c r="U110" s="373">
        <f>T110</f>
        <v>0</v>
      </c>
      <c r="V110" s="373">
        <f>U110</f>
        <v>0</v>
      </c>
      <c r="W110" s="373">
        <f>V110</f>
        <v>0</v>
      </c>
      <c r="X110" s="373">
        <f>W110</f>
        <v>0</v>
      </c>
      <c r="Y110" s="382">
        <v>0</v>
      </c>
    </row>
    <row r="111" spans="1:26" ht="13.5" thickBot="1" x14ac:dyDescent="0.25">
      <c r="A111" s="379" t="s">
        <v>116</v>
      </c>
      <c r="B111" s="374">
        <f t="shared" ref="B111:V111" si="25">(C110+B110)*(C109-B109)/2</f>
        <v>7.3168000000000011E-2</v>
      </c>
      <c r="C111" s="375">
        <f t="shared" si="25"/>
        <v>0.43462799999999996</v>
      </c>
      <c r="D111" s="375">
        <f t="shared" si="25"/>
        <v>0.36475200000000002</v>
      </c>
      <c r="E111" s="375">
        <f t="shared" si="25"/>
        <v>0.71775000000000011</v>
      </c>
      <c r="F111" s="375">
        <f t="shared" si="25"/>
        <v>0.68991100000000005</v>
      </c>
      <c r="G111" s="375">
        <f t="shared" si="25"/>
        <v>5.4911909999999997</v>
      </c>
      <c r="H111" s="375">
        <f t="shared" si="25"/>
        <v>5.3583750000000006</v>
      </c>
      <c r="I111" s="375">
        <f t="shared" si="25"/>
        <v>5.2561979999999986</v>
      </c>
      <c r="J111" s="375">
        <f>(K110+J110)*(K109-J109)/2</f>
        <v>3.2135625000000001</v>
      </c>
      <c r="K111" s="375">
        <f t="shared" si="25"/>
        <v>1.4688125000000014</v>
      </c>
      <c r="L111" s="375">
        <f t="shared" si="25"/>
        <v>0.93123749999999939</v>
      </c>
      <c r="M111" s="375">
        <f t="shared" si="25"/>
        <v>0.14982850000000014</v>
      </c>
      <c r="N111" s="375">
        <f t="shared" si="25"/>
        <v>0.10819199999999986</v>
      </c>
      <c r="O111" s="375">
        <f t="shared" si="25"/>
        <v>1.191300000000001E-2</v>
      </c>
      <c r="P111" s="375">
        <f t="shared" si="25"/>
        <v>0</v>
      </c>
      <c r="Q111" s="375">
        <f t="shared" si="25"/>
        <v>0</v>
      </c>
      <c r="R111" s="375">
        <f t="shared" si="25"/>
        <v>0</v>
      </c>
      <c r="S111" s="375">
        <f>(T110+S110)*(T109-S109)/2</f>
        <v>0</v>
      </c>
      <c r="T111" s="375">
        <f t="shared" si="25"/>
        <v>0</v>
      </c>
      <c r="U111" s="375">
        <f t="shared" si="25"/>
        <v>0</v>
      </c>
      <c r="V111" s="375">
        <f t="shared" si="25"/>
        <v>0</v>
      </c>
      <c r="W111" s="375">
        <f>(X110+W110)*(X109-W109)/2</f>
        <v>0</v>
      </c>
      <c r="X111" s="375">
        <f>(Y110+X110)*(Y109-X109)/2</f>
        <v>0</v>
      </c>
      <c r="Y111" s="369"/>
    </row>
    <row r="112" spans="1:26" ht="13.5" thickBot="1" x14ac:dyDescent="0.25"/>
    <row r="113" spans="1:26" ht="13.5" thickBot="1" x14ac:dyDescent="0.25">
      <c r="A113" s="361" t="s">
        <v>417</v>
      </c>
      <c r="B113" s="359">
        <f>ROW(A113)</f>
        <v>113</v>
      </c>
      <c r="C113" s="363" t="s">
        <v>115</v>
      </c>
      <c r="D113" s="353">
        <f>SUM(B116:Y116)</f>
        <v>24.488898000000002</v>
      </c>
      <c r="E113" s="363" t="s">
        <v>114</v>
      </c>
      <c r="F113" s="354">
        <f>D113/g/J113</f>
        <v>121.771701350041</v>
      </c>
      <c r="G113" s="363" t="s">
        <v>56</v>
      </c>
      <c r="H113" s="64">
        <v>5.6500000000000002E-2</v>
      </c>
      <c r="I113" s="363" t="s">
        <v>271</v>
      </c>
      <c r="J113" s="355">
        <f>H113-L113</f>
        <v>2.0500000000000004E-2</v>
      </c>
      <c r="K113" s="363" t="s">
        <v>272</v>
      </c>
      <c r="L113" s="64">
        <v>3.5999999999999997E-2</v>
      </c>
      <c r="M113" s="363" t="s">
        <v>57</v>
      </c>
      <c r="N113" s="396">
        <v>35</v>
      </c>
      <c r="O113" s="363" t="s">
        <v>59</v>
      </c>
      <c r="P113" s="396">
        <v>35</v>
      </c>
      <c r="Q113" s="363" t="s">
        <v>60</v>
      </c>
      <c r="R113" s="65">
        <v>69</v>
      </c>
      <c r="S113" s="363" t="s">
        <v>61</v>
      </c>
      <c r="T113" s="65">
        <v>24</v>
      </c>
      <c r="U113" s="363" t="s">
        <v>54</v>
      </c>
      <c r="V113" s="66" t="s">
        <v>400</v>
      </c>
      <c r="W113" s="463" t="s">
        <v>394</v>
      </c>
      <c r="X113" s="465">
        <v>0.33</v>
      </c>
      <c r="Y113" s="463" t="s">
        <v>393</v>
      </c>
      <c r="Z113" s="358">
        <v>17</v>
      </c>
    </row>
    <row r="114" spans="1:26" x14ac:dyDescent="0.2">
      <c r="A114" s="362" t="s">
        <v>33</v>
      </c>
      <c r="B114" s="370">
        <v>0</v>
      </c>
      <c r="C114" s="371">
        <v>8.9999999999999993E-3</v>
      </c>
      <c r="D114" s="371">
        <v>1.2E-2</v>
      </c>
      <c r="E114" s="371">
        <v>2.3E-2</v>
      </c>
      <c r="F114" s="371">
        <v>2.7E-2</v>
      </c>
      <c r="G114" s="371">
        <v>4.7E-2</v>
      </c>
      <c r="H114" s="371">
        <v>9.1999999999999998E-2</v>
      </c>
      <c r="I114" s="371">
        <v>0.11799999999999999</v>
      </c>
      <c r="J114" s="371">
        <v>0.14099999999999999</v>
      </c>
      <c r="K114" s="371">
        <v>0.192</v>
      </c>
      <c r="L114" s="371">
        <v>0.222</v>
      </c>
      <c r="M114" s="371">
        <v>0.25</v>
      </c>
      <c r="N114" s="371">
        <v>0.26</v>
      </c>
      <c r="O114" s="371">
        <v>0.28100000000000003</v>
      </c>
      <c r="P114" s="371">
        <v>0.28699999999999998</v>
      </c>
      <c r="Q114" s="371">
        <v>0.30599999999999999</v>
      </c>
      <c r="R114" s="371">
        <v>0.314</v>
      </c>
      <c r="S114" s="371">
        <v>0.32600000000000001</v>
      </c>
      <c r="T114" s="371">
        <v>0.32900000000000001</v>
      </c>
      <c r="U114" s="371">
        <v>0.5</v>
      </c>
      <c r="V114" s="371">
        <v>1</v>
      </c>
      <c r="W114" s="371">
        <v>2</v>
      </c>
      <c r="X114" s="371">
        <v>2</v>
      </c>
      <c r="Y114" s="381">
        <v>1000</v>
      </c>
    </row>
    <row r="115" spans="1:26" x14ac:dyDescent="0.2">
      <c r="A115" s="378" t="s">
        <v>34</v>
      </c>
      <c r="B115" s="372">
        <v>0</v>
      </c>
      <c r="C115" s="373">
        <v>84.212999999999994</v>
      </c>
      <c r="D115" s="373">
        <v>95.099000000000004</v>
      </c>
      <c r="E115" s="373">
        <v>77.08</v>
      </c>
      <c r="F115" s="373">
        <v>68.697000000000003</v>
      </c>
      <c r="G115" s="373">
        <v>73.451999999999998</v>
      </c>
      <c r="H115" s="373">
        <v>81.834999999999994</v>
      </c>
      <c r="I115" s="373">
        <v>83.837000000000003</v>
      </c>
      <c r="J115" s="373">
        <v>86.465000000000003</v>
      </c>
      <c r="K115" s="373">
        <v>86.965999999999994</v>
      </c>
      <c r="L115" s="373">
        <v>85.338999999999999</v>
      </c>
      <c r="M115" s="373">
        <v>80.082999999999998</v>
      </c>
      <c r="N115" s="373">
        <v>78.331999999999994</v>
      </c>
      <c r="O115" s="373">
        <v>82.960999999999999</v>
      </c>
      <c r="P115" s="373">
        <v>78.206000000000003</v>
      </c>
      <c r="Q115" s="373">
        <v>24.776</v>
      </c>
      <c r="R115" s="373">
        <v>14.14</v>
      </c>
      <c r="S115" s="373">
        <v>8.5090000000000003</v>
      </c>
      <c r="T115" s="373">
        <v>0</v>
      </c>
      <c r="U115" s="373">
        <f>T115</f>
        <v>0</v>
      </c>
      <c r="V115" s="373">
        <f>U115</f>
        <v>0</v>
      </c>
      <c r="W115" s="373">
        <f>V115</f>
        <v>0</v>
      </c>
      <c r="X115" s="373">
        <f>W115</f>
        <v>0</v>
      </c>
      <c r="Y115" s="382">
        <v>0</v>
      </c>
    </row>
    <row r="116" spans="1:26" ht="13.5" thickBot="1" x14ac:dyDescent="0.25">
      <c r="A116" s="379" t="s">
        <v>116</v>
      </c>
      <c r="B116" s="374">
        <f t="shared" ref="B116:V116" si="26">(C115+B115)*(C114-B114)/2</f>
        <v>0.37895849999999992</v>
      </c>
      <c r="C116" s="375">
        <f t="shared" si="26"/>
        <v>0.2689680000000001</v>
      </c>
      <c r="D116" s="375">
        <f t="shared" si="26"/>
        <v>0.94698450000000001</v>
      </c>
      <c r="E116" s="375">
        <f t="shared" si="26"/>
        <v>0.29155399999999998</v>
      </c>
      <c r="F116" s="375">
        <f t="shared" si="26"/>
        <v>1.4214900000000001</v>
      </c>
      <c r="G116" s="375">
        <f t="shared" si="26"/>
        <v>3.4939574999999992</v>
      </c>
      <c r="H116" s="375">
        <f t="shared" si="26"/>
        <v>2.1537359999999994</v>
      </c>
      <c r="I116" s="375">
        <f t="shared" si="26"/>
        <v>1.9584729999999997</v>
      </c>
      <c r="J116" s="375">
        <f>(K115+J115)*(K114-J114)/2</f>
        <v>4.4224905000000012</v>
      </c>
      <c r="K116" s="375">
        <f t="shared" si="26"/>
        <v>2.5845750000000001</v>
      </c>
      <c r="L116" s="375">
        <f t="shared" si="26"/>
        <v>2.3159079999999999</v>
      </c>
      <c r="M116" s="375">
        <f t="shared" si="26"/>
        <v>0.79207500000000064</v>
      </c>
      <c r="N116" s="375">
        <f t="shared" si="26"/>
        <v>1.6935765000000016</v>
      </c>
      <c r="O116" s="375">
        <f t="shared" si="26"/>
        <v>0.48350099999999596</v>
      </c>
      <c r="P116" s="375">
        <f t="shared" si="26"/>
        <v>0.97832900000000089</v>
      </c>
      <c r="Q116" s="375">
        <f t="shared" si="26"/>
        <v>0.15566400000000014</v>
      </c>
      <c r="R116" s="375">
        <f t="shared" si="26"/>
        <v>0.13589400000000013</v>
      </c>
      <c r="S116" s="375">
        <f>(T115+S115)*(T114-S114)/2</f>
        <v>1.2763500000000013E-2</v>
      </c>
      <c r="T116" s="375">
        <f t="shared" si="26"/>
        <v>0</v>
      </c>
      <c r="U116" s="375">
        <f t="shared" si="26"/>
        <v>0</v>
      </c>
      <c r="V116" s="375">
        <f t="shared" si="26"/>
        <v>0</v>
      </c>
      <c r="W116" s="375">
        <f>(X115+W115)*(X114-W114)/2</f>
        <v>0</v>
      </c>
      <c r="X116" s="375">
        <f>(Y115+X115)*(Y114-X114)/2</f>
        <v>0</v>
      </c>
      <c r="Y116" s="369"/>
    </row>
    <row r="117" spans="1:26" ht="13.5" thickBot="1" x14ac:dyDescent="0.25"/>
    <row r="118" spans="1:26" ht="13.5" thickBot="1" x14ac:dyDescent="0.25">
      <c r="A118" s="361" t="s">
        <v>320</v>
      </c>
      <c r="B118" s="359">
        <f>ROW(A118)</f>
        <v>118</v>
      </c>
      <c r="C118" s="363" t="s">
        <v>115</v>
      </c>
      <c r="D118" s="353">
        <f>SUM(B121:Y121)</f>
        <v>26.083982500000001</v>
      </c>
      <c r="E118" s="363" t="s">
        <v>114</v>
      </c>
      <c r="F118" s="354">
        <f>D118/g/J118</f>
        <v>166.18235537716615</v>
      </c>
      <c r="G118" s="363" t="s">
        <v>56</v>
      </c>
      <c r="H118" s="64">
        <v>5.1999999999999998E-2</v>
      </c>
      <c r="I118" s="363" t="s">
        <v>271</v>
      </c>
      <c r="J118" s="355">
        <f>H118-L118</f>
        <v>1.6E-2</v>
      </c>
      <c r="K118" s="363" t="s">
        <v>272</v>
      </c>
      <c r="L118" s="64">
        <v>3.5999999999999997E-2</v>
      </c>
      <c r="M118" s="363" t="s">
        <v>57</v>
      </c>
      <c r="N118" s="396">
        <v>35</v>
      </c>
      <c r="O118" s="363" t="s">
        <v>59</v>
      </c>
      <c r="P118" s="396">
        <v>35</v>
      </c>
      <c r="Q118" s="363" t="s">
        <v>60</v>
      </c>
      <c r="R118" s="65">
        <v>69</v>
      </c>
      <c r="S118" s="363" t="s">
        <v>61</v>
      </c>
      <c r="T118" s="65">
        <v>24</v>
      </c>
      <c r="U118" s="363" t="s">
        <v>54</v>
      </c>
      <c r="V118" s="66" t="s">
        <v>399</v>
      </c>
      <c r="W118" s="463" t="s">
        <v>394</v>
      </c>
      <c r="X118" s="465">
        <v>0.85</v>
      </c>
      <c r="Y118" s="463" t="s">
        <v>393</v>
      </c>
      <c r="Z118" s="358">
        <v>15</v>
      </c>
    </row>
    <row r="119" spans="1:26" x14ac:dyDescent="0.2">
      <c r="A119" s="362" t="s">
        <v>33</v>
      </c>
      <c r="B119" s="370">
        <v>0</v>
      </c>
      <c r="C119" s="371">
        <v>0.02</v>
      </c>
      <c r="D119" s="371">
        <v>2.7E-2</v>
      </c>
      <c r="E119" s="371">
        <v>4.9000000000000002E-2</v>
      </c>
      <c r="F119" s="371">
        <v>0.113</v>
      </c>
      <c r="G119" s="371">
        <v>0.193</v>
      </c>
      <c r="H119" s="371">
        <v>0.28199999999999997</v>
      </c>
      <c r="I119" s="371">
        <v>0.5</v>
      </c>
      <c r="J119" s="371">
        <v>0.72699999999999998</v>
      </c>
      <c r="K119" s="371">
        <v>0.77100000000000002</v>
      </c>
      <c r="L119" s="371">
        <v>0.80700000000000005</v>
      </c>
      <c r="M119" s="371">
        <v>0.84</v>
      </c>
      <c r="N119" s="371">
        <v>0.87</v>
      </c>
      <c r="O119" s="371">
        <v>1</v>
      </c>
      <c r="P119" s="371">
        <v>1</v>
      </c>
      <c r="Q119" s="371">
        <v>1</v>
      </c>
      <c r="R119" s="371">
        <v>1</v>
      </c>
      <c r="S119" s="371">
        <v>1</v>
      </c>
      <c r="T119" s="371">
        <v>1</v>
      </c>
      <c r="U119" s="371">
        <v>1</v>
      </c>
      <c r="V119" s="371">
        <v>1</v>
      </c>
      <c r="W119" s="371">
        <v>1</v>
      </c>
      <c r="X119" s="371">
        <v>2</v>
      </c>
      <c r="Y119" s="381">
        <v>1000</v>
      </c>
    </row>
    <row r="120" spans="1:26" x14ac:dyDescent="0.2">
      <c r="A120" s="378" t="s">
        <v>34</v>
      </c>
      <c r="B120" s="372">
        <v>0</v>
      </c>
      <c r="C120" s="373">
        <v>43.823999999999998</v>
      </c>
      <c r="D120" s="373">
        <v>39.963999999999999</v>
      </c>
      <c r="E120" s="373">
        <v>26.780999999999999</v>
      </c>
      <c r="F120" s="373">
        <v>32.600999999999999</v>
      </c>
      <c r="G120" s="373">
        <v>34.738999999999997</v>
      </c>
      <c r="H120" s="373">
        <v>35.808</v>
      </c>
      <c r="I120" s="373">
        <v>34.442</v>
      </c>
      <c r="J120" s="373">
        <v>29.276</v>
      </c>
      <c r="K120" s="373">
        <v>22.742999999999999</v>
      </c>
      <c r="L120" s="373">
        <v>9.5609999999999999</v>
      </c>
      <c r="M120" s="373">
        <v>3.5630000000000002</v>
      </c>
      <c r="N120" s="373">
        <v>0</v>
      </c>
      <c r="O120" s="373">
        <v>0</v>
      </c>
      <c r="P120" s="373">
        <v>0</v>
      </c>
      <c r="Q120" s="373">
        <v>0</v>
      </c>
      <c r="R120" s="373">
        <v>0</v>
      </c>
      <c r="S120" s="373">
        <v>0</v>
      </c>
      <c r="T120" s="373">
        <f>S120</f>
        <v>0</v>
      </c>
      <c r="U120" s="373">
        <f>T120</f>
        <v>0</v>
      </c>
      <c r="V120" s="373">
        <f>U120</f>
        <v>0</v>
      </c>
      <c r="W120" s="373">
        <f>V120</f>
        <v>0</v>
      </c>
      <c r="X120" s="373">
        <f>W120</f>
        <v>0</v>
      </c>
      <c r="Y120" s="382">
        <v>0</v>
      </c>
    </row>
    <row r="121" spans="1:26" ht="13.5" thickBot="1" x14ac:dyDescent="0.25">
      <c r="A121" s="379" t="s">
        <v>116</v>
      </c>
      <c r="B121" s="374">
        <f t="shared" ref="B121:V121" si="27">(C120+B120)*(C119-B119)/2</f>
        <v>0.43823999999999996</v>
      </c>
      <c r="C121" s="375">
        <f t="shared" si="27"/>
        <v>0.29325799999999996</v>
      </c>
      <c r="D121" s="375">
        <f t="shared" si="27"/>
        <v>0.73419500000000015</v>
      </c>
      <c r="E121" s="375">
        <f t="shared" si="27"/>
        <v>1.9002239999999999</v>
      </c>
      <c r="F121" s="375">
        <f t="shared" si="27"/>
        <v>2.6936</v>
      </c>
      <c r="G121" s="375">
        <f t="shared" si="27"/>
        <v>3.1393414999999987</v>
      </c>
      <c r="H121" s="375">
        <f t="shared" si="27"/>
        <v>7.6572500000000012</v>
      </c>
      <c r="I121" s="375">
        <f t="shared" si="27"/>
        <v>7.2319930000000001</v>
      </c>
      <c r="J121" s="375">
        <f>(K120+J120)*(K119-J119)/2</f>
        <v>1.144418000000001</v>
      </c>
      <c r="K121" s="375">
        <f t="shared" si="27"/>
        <v>0.58147200000000054</v>
      </c>
      <c r="L121" s="375">
        <f t="shared" si="27"/>
        <v>0.21654599999999946</v>
      </c>
      <c r="M121" s="375">
        <f t="shared" si="27"/>
        <v>5.3445000000000048E-2</v>
      </c>
      <c r="N121" s="375">
        <f t="shared" si="27"/>
        <v>0</v>
      </c>
      <c r="O121" s="375">
        <f t="shared" si="27"/>
        <v>0</v>
      </c>
      <c r="P121" s="375">
        <f t="shared" si="27"/>
        <v>0</v>
      </c>
      <c r="Q121" s="375">
        <f t="shared" si="27"/>
        <v>0</v>
      </c>
      <c r="R121" s="375">
        <f t="shared" si="27"/>
        <v>0</v>
      </c>
      <c r="S121" s="375">
        <f>(T120+S120)*(T119-S119)/2</f>
        <v>0</v>
      </c>
      <c r="T121" s="375">
        <f t="shared" si="27"/>
        <v>0</v>
      </c>
      <c r="U121" s="375">
        <f t="shared" si="27"/>
        <v>0</v>
      </c>
      <c r="V121" s="375">
        <f t="shared" si="27"/>
        <v>0</v>
      </c>
      <c r="W121" s="375">
        <f>(X120+W120)*(X119-W119)/2</f>
        <v>0</v>
      </c>
      <c r="X121" s="375">
        <f>(Y120+X120)*(Y119-X119)/2</f>
        <v>0</v>
      </c>
      <c r="Y121" s="369"/>
    </row>
    <row r="122" spans="1:26" ht="13.5" thickBot="1" x14ac:dyDescent="0.25">
      <c r="A122" s="6" t="s">
        <v>389</v>
      </c>
    </row>
    <row r="123" spans="1:26" ht="13.5" thickBot="1" x14ac:dyDescent="0.25">
      <c r="A123" s="361" t="s">
        <v>390</v>
      </c>
      <c r="B123" s="359">
        <f>ROW(A123)</f>
        <v>123</v>
      </c>
      <c r="C123" s="363" t="s">
        <v>115</v>
      </c>
      <c r="D123" s="353">
        <f>SUM(B126:Y126)</f>
        <v>49.788765499999997</v>
      </c>
      <c r="E123" s="363" t="s">
        <v>114</v>
      </c>
      <c r="F123" s="354">
        <v>231</v>
      </c>
      <c r="G123" s="363" t="s">
        <v>56</v>
      </c>
      <c r="H123" s="64">
        <v>7.2999999999999995E-2</v>
      </c>
      <c r="I123" s="363" t="s">
        <v>271</v>
      </c>
      <c r="J123" s="355">
        <f>H123-L123</f>
        <v>2.7999999999999997E-2</v>
      </c>
      <c r="K123" s="363" t="s">
        <v>272</v>
      </c>
      <c r="L123" s="64">
        <v>4.4999999999999998E-2</v>
      </c>
      <c r="M123" s="363" t="s">
        <v>57</v>
      </c>
      <c r="N123" s="396">
        <v>50</v>
      </c>
      <c r="O123" s="363" t="s">
        <v>59</v>
      </c>
      <c r="P123" s="396">
        <v>50</v>
      </c>
      <c r="Q123" s="363" t="s">
        <v>60</v>
      </c>
      <c r="R123" s="65">
        <v>101</v>
      </c>
      <c r="S123" s="363" t="s">
        <v>61</v>
      </c>
      <c r="T123" s="65">
        <v>24</v>
      </c>
      <c r="U123" s="363" t="s">
        <v>54</v>
      </c>
      <c r="V123" s="66" t="s">
        <v>119</v>
      </c>
      <c r="W123" s="463" t="s">
        <v>394</v>
      </c>
      <c r="X123" s="465">
        <v>1</v>
      </c>
      <c r="Y123" s="463" t="s">
        <v>393</v>
      </c>
      <c r="Z123" s="358">
        <v>13</v>
      </c>
    </row>
    <row r="124" spans="1:26" x14ac:dyDescent="0.2">
      <c r="A124" s="362" t="s">
        <v>33</v>
      </c>
      <c r="B124" s="470">
        <v>0</v>
      </c>
      <c r="C124" s="470">
        <v>1E-3</v>
      </c>
      <c r="D124" s="470">
        <v>2.7E-2</v>
      </c>
      <c r="E124" s="470">
        <v>5.0999999999999997E-2</v>
      </c>
      <c r="F124" s="470">
        <v>0.06</v>
      </c>
      <c r="G124" s="470">
        <v>9.1999999999999998E-2</v>
      </c>
      <c r="H124" s="470">
        <v>0.11899999999999999</v>
      </c>
      <c r="I124" s="470">
        <v>0.17</v>
      </c>
      <c r="J124" s="470">
        <v>0.3</v>
      </c>
      <c r="K124" s="470">
        <v>0.46200000000000002</v>
      </c>
      <c r="L124" s="470">
        <v>0.56899999999999995</v>
      </c>
      <c r="M124" s="470">
        <v>0.67500000000000004</v>
      </c>
      <c r="N124" s="470">
        <v>0.77800000000000002</v>
      </c>
      <c r="O124" s="470">
        <v>0.84599999999999997</v>
      </c>
      <c r="P124" s="470">
        <v>0.91700000000000004</v>
      </c>
      <c r="Q124" s="470">
        <v>1.0089999999999999</v>
      </c>
      <c r="R124" s="470">
        <v>1.032</v>
      </c>
      <c r="S124" s="470">
        <v>1.0449999999999999</v>
      </c>
      <c r="T124" s="371">
        <v>2</v>
      </c>
      <c r="U124" s="371">
        <v>2</v>
      </c>
      <c r="V124" s="371">
        <v>2</v>
      </c>
      <c r="W124" s="371">
        <v>2</v>
      </c>
      <c r="X124" s="371">
        <v>2</v>
      </c>
      <c r="Y124" s="381">
        <v>1000</v>
      </c>
    </row>
    <row r="125" spans="1:26" x14ac:dyDescent="0.2">
      <c r="A125" s="378" t="s">
        <v>34</v>
      </c>
      <c r="B125" s="470">
        <v>0</v>
      </c>
      <c r="C125" s="470">
        <v>5.1449999999999996</v>
      </c>
      <c r="D125" s="470">
        <v>67.975999999999999</v>
      </c>
      <c r="E125" s="470">
        <v>53.807000000000002</v>
      </c>
      <c r="F125" s="470">
        <v>52.88</v>
      </c>
      <c r="G125" s="470">
        <v>55.915999999999997</v>
      </c>
      <c r="H125" s="470">
        <v>57.94</v>
      </c>
      <c r="I125" s="470">
        <v>59.710999999999999</v>
      </c>
      <c r="J125" s="470">
        <v>61.145000000000003</v>
      </c>
      <c r="K125" s="470">
        <v>58.951999999999998</v>
      </c>
      <c r="L125" s="470">
        <v>55.578000000000003</v>
      </c>
      <c r="M125" s="470">
        <v>52.204999999999998</v>
      </c>
      <c r="N125" s="470">
        <v>46.386000000000003</v>
      </c>
      <c r="O125" s="470">
        <v>38.119999999999997</v>
      </c>
      <c r="P125" s="470">
        <v>20.324999999999999</v>
      </c>
      <c r="Q125" s="470">
        <v>3.5419999999999998</v>
      </c>
      <c r="R125" s="470">
        <v>1.6020000000000001</v>
      </c>
      <c r="S125" s="470">
        <v>0</v>
      </c>
      <c r="T125" s="373">
        <f>S125</f>
        <v>0</v>
      </c>
      <c r="U125" s="373">
        <f>T125</f>
        <v>0</v>
      </c>
      <c r="V125" s="373">
        <f>U125</f>
        <v>0</v>
      </c>
      <c r="W125" s="373">
        <f>V125</f>
        <v>0</v>
      </c>
      <c r="X125" s="373">
        <f>W125</f>
        <v>0</v>
      </c>
      <c r="Y125" s="382">
        <v>0</v>
      </c>
    </row>
    <row r="126" spans="1:26" ht="13.5" thickBot="1" x14ac:dyDescent="0.25">
      <c r="A126" s="379" t="s">
        <v>116</v>
      </c>
      <c r="B126" s="374">
        <f t="shared" ref="B126:X126" si="28">(C125+B125)*(C124-B124)/2</f>
        <v>2.5724999999999997E-3</v>
      </c>
      <c r="C126" s="375">
        <f t="shared" si="28"/>
        <v>0.95057299999999989</v>
      </c>
      <c r="D126" s="375">
        <f t="shared" si="28"/>
        <v>1.4613959999999999</v>
      </c>
      <c r="E126" s="375">
        <f t="shared" si="28"/>
        <v>0.48009150000000012</v>
      </c>
      <c r="F126" s="375">
        <f t="shared" si="28"/>
        <v>1.7407359999999998</v>
      </c>
      <c r="G126" s="375">
        <f t="shared" si="28"/>
        <v>1.5370559999999998</v>
      </c>
      <c r="H126" s="375">
        <f t="shared" si="28"/>
        <v>3.0001005000000007</v>
      </c>
      <c r="I126" s="375">
        <f t="shared" si="28"/>
        <v>7.8556399999999984</v>
      </c>
      <c r="J126" s="375">
        <f t="shared" si="28"/>
        <v>9.727857000000002</v>
      </c>
      <c r="K126" s="375">
        <f t="shared" si="28"/>
        <v>6.1273549999999961</v>
      </c>
      <c r="L126" s="375">
        <f t="shared" si="28"/>
        <v>5.7124990000000055</v>
      </c>
      <c r="M126" s="375">
        <f t="shared" si="28"/>
        <v>5.0774364999999992</v>
      </c>
      <c r="N126" s="375">
        <f t="shared" si="28"/>
        <v>2.8732039999999976</v>
      </c>
      <c r="O126" s="375">
        <f t="shared" si="28"/>
        <v>2.0747975000000016</v>
      </c>
      <c r="P126" s="375">
        <f t="shared" si="28"/>
        <v>1.0978819999999982</v>
      </c>
      <c r="Q126" s="375">
        <f t="shared" si="28"/>
        <v>5.915600000000034E-2</v>
      </c>
      <c r="R126" s="375">
        <f t="shared" si="28"/>
        <v>1.0412999999999921E-2</v>
      </c>
      <c r="S126" s="375">
        <f t="shared" si="28"/>
        <v>0</v>
      </c>
      <c r="T126" s="375">
        <f t="shared" si="28"/>
        <v>0</v>
      </c>
      <c r="U126" s="375">
        <f t="shared" si="28"/>
        <v>0</v>
      </c>
      <c r="V126" s="375">
        <f t="shared" si="28"/>
        <v>0</v>
      </c>
      <c r="W126" s="375">
        <f t="shared" si="28"/>
        <v>0</v>
      </c>
      <c r="X126" s="375">
        <f t="shared" si="28"/>
        <v>0</v>
      </c>
      <c r="Y126" s="369"/>
    </row>
    <row r="127" spans="1:26" ht="13.5" thickBot="1" x14ac:dyDescent="0.25"/>
    <row r="128" spans="1:26" ht="13.5" thickBot="1" x14ac:dyDescent="0.25">
      <c r="A128" s="361" t="s">
        <v>391</v>
      </c>
      <c r="B128" s="359">
        <f>ROW(A128)</f>
        <v>128</v>
      </c>
      <c r="C128" s="363" t="s">
        <v>115</v>
      </c>
      <c r="D128" s="353">
        <f>SUM(B131:Y131)</f>
        <v>52.815674000000008</v>
      </c>
      <c r="E128" s="363" t="s">
        <v>114</v>
      </c>
      <c r="F128" s="354">
        <v>239</v>
      </c>
      <c r="G128" s="363" t="s">
        <v>56</v>
      </c>
      <c r="H128" s="64">
        <v>7.2999999999999995E-2</v>
      </c>
      <c r="I128" s="363" t="s">
        <v>271</v>
      </c>
      <c r="J128" s="355">
        <f>H128-L128</f>
        <v>2.8999999999999998E-2</v>
      </c>
      <c r="K128" s="363" t="s">
        <v>272</v>
      </c>
      <c r="L128" s="64">
        <v>4.3999999999999997E-2</v>
      </c>
      <c r="M128" s="363" t="s">
        <v>57</v>
      </c>
      <c r="N128" s="396">
        <v>50</v>
      </c>
      <c r="O128" s="363" t="s">
        <v>59</v>
      </c>
      <c r="P128" s="396">
        <v>50</v>
      </c>
      <c r="Q128" s="363" t="s">
        <v>60</v>
      </c>
      <c r="R128" s="65">
        <v>101</v>
      </c>
      <c r="S128" s="363" t="s">
        <v>61</v>
      </c>
      <c r="T128" s="65">
        <v>24</v>
      </c>
      <c r="U128" s="363" t="s">
        <v>54</v>
      </c>
      <c r="V128" s="66" t="s">
        <v>119</v>
      </c>
      <c r="W128" s="463" t="s">
        <v>394</v>
      </c>
      <c r="X128" s="465">
        <v>0.77</v>
      </c>
      <c r="Y128" s="463" t="s">
        <v>393</v>
      </c>
      <c r="Z128" s="358">
        <v>14</v>
      </c>
    </row>
    <row r="129" spans="1:26" x14ac:dyDescent="0.2">
      <c r="A129" s="362" t="s">
        <v>33</v>
      </c>
      <c r="B129" s="470">
        <v>0</v>
      </c>
      <c r="C129" s="470">
        <v>1E-3</v>
      </c>
      <c r="D129" s="470">
        <v>1.2999999999999999E-2</v>
      </c>
      <c r="E129" s="470">
        <v>2.3E-2</v>
      </c>
      <c r="F129" s="470">
        <v>5.1999999999999998E-2</v>
      </c>
      <c r="G129" s="470">
        <v>0.1</v>
      </c>
      <c r="H129" s="470">
        <v>0.379</v>
      </c>
      <c r="I129" s="470">
        <v>0.64100000000000001</v>
      </c>
      <c r="J129" s="470">
        <v>0.66500000000000004</v>
      </c>
      <c r="K129" s="470">
        <v>0.70599999999999996</v>
      </c>
      <c r="L129" s="470">
        <v>0.74399999999999999</v>
      </c>
      <c r="M129" s="470">
        <v>0.78700000000000003</v>
      </c>
      <c r="N129" s="470">
        <v>0.81599999999999995</v>
      </c>
      <c r="O129" s="371">
        <v>1</v>
      </c>
      <c r="P129" s="371">
        <v>1</v>
      </c>
      <c r="Q129" s="371">
        <v>1</v>
      </c>
      <c r="R129" s="371">
        <v>1</v>
      </c>
      <c r="S129" s="371">
        <v>1</v>
      </c>
      <c r="T129" s="371">
        <v>1</v>
      </c>
      <c r="U129" s="371">
        <v>1</v>
      </c>
      <c r="V129" s="371">
        <v>1</v>
      </c>
      <c r="W129" s="371">
        <v>2</v>
      </c>
      <c r="X129" s="371">
        <v>2</v>
      </c>
      <c r="Y129" s="381">
        <v>1000</v>
      </c>
    </row>
    <row r="130" spans="1:26" x14ac:dyDescent="0.2">
      <c r="A130" s="378" t="s">
        <v>34</v>
      </c>
      <c r="B130" s="470">
        <v>0</v>
      </c>
      <c r="C130" s="470">
        <v>8.3030000000000008</v>
      </c>
      <c r="D130" s="470">
        <v>85.68</v>
      </c>
      <c r="E130" s="470">
        <v>96.149000000000001</v>
      </c>
      <c r="F130" s="470">
        <v>78.820999999999998</v>
      </c>
      <c r="G130" s="470">
        <v>83.634</v>
      </c>
      <c r="H130" s="470">
        <v>77.858000000000004</v>
      </c>
      <c r="I130" s="470">
        <v>62.575000000000003</v>
      </c>
      <c r="J130" s="470">
        <v>55.716000000000001</v>
      </c>
      <c r="K130" s="470">
        <v>23.946999999999999</v>
      </c>
      <c r="L130" s="470">
        <v>9.1460000000000008</v>
      </c>
      <c r="M130" s="470">
        <v>2.7679999999999998</v>
      </c>
      <c r="N130" s="470">
        <v>0</v>
      </c>
      <c r="O130" s="373">
        <v>0</v>
      </c>
      <c r="P130" s="373">
        <v>0</v>
      </c>
      <c r="Q130" s="373">
        <v>0</v>
      </c>
      <c r="R130" s="373">
        <v>0</v>
      </c>
      <c r="S130" s="373">
        <v>0</v>
      </c>
      <c r="T130" s="373">
        <v>0</v>
      </c>
      <c r="U130" s="373">
        <v>0</v>
      </c>
      <c r="V130" s="373">
        <f>U130</f>
        <v>0</v>
      </c>
      <c r="W130" s="373">
        <f>V130</f>
        <v>0</v>
      </c>
      <c r="X130" s="373">
        <f>W130</f>
        <v>0</v>
      </c>
      <c r="Y130" s="382">
        <v>0</v>
      </c>
    </row>
    <row r="131" spans="1:26" ht="13.5" thickBot="1" x14ac:dyDescent="0.25">
      <c r="A131" s="379" t="s">
        <v>116</v>
      </c>
      <c r="B131" s="374">
        <f t="shared" ref="B131:X131" si="29">(C130+B130)*(C129-B129)/2</f>
        <v>4.1515000000000007E-3</v>
      </c>
      <c r="C131" s="375">
        <f t="shared" si="29"/>
        <v>0.56389800000000001</v>
      </c>
      <c r="D131" s="375">
        <f t="shared" si="29"/>
        <v>0.90914500000000009</v>
      </c>
      <c r="E131" s="375">
        <f t="shared" si="29"/>
        <v>2.5370649999999997</v>
      </c>
      <c r="F131" s="375">
        <f t="shared" si="29"/>
        <v>3.8989200000000004</v>
      </c>
      <c r="G131" s="375">
        <f t="shared" si="29"/>
        <v>22.528134000000005</v>
      </c>
      <c r="H131" s="375">
        <f t="shared" si="29"/>
        <v>18.396723000000001</v>
      </c>
      <c r="I131" s="375">
        <f t="shared" si="29"/>
        <v>1.4194920000000013</v>
      </c>
      <c r="J131" s="375">
        <f t="shared" si="29"/>
        <v>1.633091499999997</v>
      </c>
      <c r="K131" s="375">
        <f t="shared" si="29"/>
        <v>0.62876700000000063</v>
      </c>
      <c r="L131" s="375">
        <f t="shared" si="29"/>
        <v>0.25615100000000024</v>
      </c>
      <c r="M131" s="375">
        <f t="shared" si="29"/>
        <v>4.013599999999988E-2</v>
      </c>
      <c r="N131" s="375">
        <f t="shared" si="29"/>
        <v>0</v>
      </c>
      <c r="O131" s="375">
        <f t="shared" si="29"/>
        <v>0</v>
      </c>
      <c r="P131" s="375">
        <f t="shared" si="29"/>
        <v>0</v>
      </c>
      <c r="Q131" s="375">
        <f t="shared" si="29"/>
        <v>0</v>
      </c>
      <c r="R131" s="375">
        <f t="shared" si="29"/>
        <v>0</v>
      </c>
      <c r="S131" s="375">
        <f t="shared" si="29"/>
        <v>0</v>
      </c>
      <c r="T131" s="375">
        <f t="shared" si="29"/>
        <v>0</v>
      </c>
      <c r="U131" s="375">
        <f t="shared" si="29"/>
        <v>0</v>
      </c>
      <c r="V131" s="375">
        <f t="shared" si="29"/>
        <v>0</v>
      </c>
      <c r="W131" s="375">
        <f t="shared" si="29"/>
        <v>0</v>
      </c>
      <c r="X131" s="375">
        <f t="shared" si="29"/>
        <v>0</v>
      </c>
      <c r="Y131" s="369"/>
    </row>
    <row r="132" spans="1:26" ht="13.5" thickBot="1" x14ac:dyDescent="0.25">
      <c r="A132" s="6" t="s">
        <v>314</v>
      </c>
    </row>
    <row r="133" spans="1:26" ht="13.5" thickBot="1" x14ac:dyDescent="0.25">
      <c r="A133" s="361" t="s">
        <v>381</v>
      </c>
      <c r="B133" s="359">
        <f>ROW(A133)</f>
        <v>133</v>
      </c>
      <c r="C133" s="363" t="s">
        <v>115</v>
      </c>
      <c r="D133" s="353">
        <f>SUM(B136:Y136)</f>
        <v>41.835000000000015</v>
      </c>
      <c r="E133" s="363" t="s">
        <v>114</v>
      </c>
      <c r="F133" s="354">
        <f>D133/g/J133</f>
        <v>121.84359982525126</v>
      </c>
      <c r="G133" s="363" t="s">
        <v>56</v>
      </c>
      <c r="H133" s="64">
        <v>0.104</v>
      </c>
      <c r="I133" s="363" t="s">
        <v>271</v>
      </c>
      <c r="J133" s="355">
        <f>H133-L133</f>
        <v>3.4999999999999989E-2</v>
      </c>
      <c r="K133" s="363" t="s">
        <v>272</v>
      </c>
      <c r="L133" s="64">
        <v>6.9000000000000006E-2</v>
      </c>
      <c r="M133" s="363" t="s">
        <v>57</v>
      </c>
      <c r="N133" s="65">
        <v>49</v>
      </c>
      <c r="O133" s="363" t="s">
        <v>59</v>
      </c>
      <c r="P133" s="65">
        <v>49</v>
      </c>
      <c r="Q133" s="363" t="s">
        <v>60</v>
      </c>
      <c r="R133" s="65">
        <v>98</v>
      </c>
      <c r="S133" s="363" t="s">
        <v>61</v>
      </c>
      <c r="T133" s="65">
        <v>29</v>
      </c>
      <c r="U133" s="363" t="s">
        <v>54</v>
      </c>
      <c r="V133" s="66" t="s">
        <v>399</v>
      </c>
      <c r="W133" s="463" t="s">
        <v>394</v>
      </c>
      <c r="X133" s="465">
        <v>1.07</v>
      </c>
      <c r="Y133" s="463" t="s">
        <v>393</v>
      </c>
      <c r="Z133" s="358">
        <v>11</v>
      </c>
    </row>
    <row r="134" spans="1:26" x14ac:dyDescent="0.2">
      <c r="A134" s="362" t="s">
        <v>33</v>
      </c>
      <c r="B134" s="370">
        <v>0</v>
      </c>
      <c r="C134" s="371">
        <v>0.01</v>
      </c>
      <c r="D134" s="371">
        <v>0.02</v>
      </c>
      <c r="E134" s="371">
        <v>0.03</v>
      </c>
      <c r="F134" s="371">
        <v>0.04</v>
      </c>
      <c r="G134" s="371">
        <v>0.06</v>
      </c>
      <c r="H134" s="371">
        <v>7.0000000000000007E-2</v>
      </c>
      <c r="I134" s="371">
        <v>0.08</v>
      </c>
      <c r="J134" s="371">
        <v>0.1</v>
      </c>
      <c r="K134" s="371">
        <v>0.2</v>
      </c>
      <c r="L134" s="371">
        <v>0.3</v>
      </c>
      <c r="M134" s="371">
        <v>0.4</v>
      </c>
      <c r="N134" s="371">
        <v>0.5</v>
      </c>
      <c r="O134" s="371">
        <v>0.6</v>
      </c>
      <c r="P134" s="371">
        <v>0.7</v>
      </c>
      <c r="Q134" s="371">
        <v>0.8</v>
      </c>
      <c r="R134" s="371">
        <v>0.85</v>
      </c>
      <c r="S134" s="371">
        <v>0.92</v>
      </c>
      <c r="T134" s="371">
        <v>0.95</v>
      </c>
      <c r="U134" s="371">
        <v>0.99</v>
      </c>
      <c r="V134" s="371">
        <v>1.05</v>
      </c>
      <c r="W134" s="371">
        <v>1.05</v>
      </c>
      <c r="X134" s="371">
        <v>2</v>
      </c>
      <c r="Y134" s="381">
        <v>1000</v>
      </c>
    </row>
    <row r="135" spans="1:26" x14ac:dyDescent="0.2">
      <c r="A135" s="378" t="s">
        <v>34</v>
      </c>
      <c r="B135" s="372">
        <v>0</v>
      </c>
      <c r="C135" s="373">
        <v>12</v>
      </c>
      <c r="D135" s="373">
        <v>46</v>
      </c>
      <c r="E135" s="373">
        <v>75</v>
      </c>
      <c r="F135" s="373">
        <v>79</v>
      </c>
      <c r="G135" s="373">
        <v>77</v>
      </c>
      <c r="H135" s="373">
        <v>62</v>
      </c>
      <c r="I135" s="373">
        <v>32</v>
      </c>
      <c r="J135" s="373">
        <v>35</v>
      </c>
      <c r="K135" s="373">
        <v>38</v>
      </c>
      <c r="L135" s="373">
        <v>39</v>
      </c>
      <c r="M135" s="373">
        <v>41</v>
      </c>
      <c r="N135" s="373">
        <v>43</v>
      </c>
      <c r="O135" s="373">
        <v>43</v>
      </c>
      <c r="P135" s="373">
        <v>43</v>
      </c>
      <c r="Q135" s="373">
        <v>43</v>
      </c>
      <c r="R135" s="373">
        <v>47</v>
      </c>
      <c r="S135" s="373">
        <v>54</v>
      </c>
      <c r="T135" s="373">
        <v>32</v>
      </c>
      <c r="U135" s="373">
        <v>8</v>
      </c>
      <c r="V135" s="373">
        <v>0</v>
      </c>
      <c r="W135" s="373">
        <v>0</v>
      </c>
      <c r="X135" s="373">
        <v>0</v>
      </c>
      <c r="Y135" s="382">
        <v>0</v>
      </c>
    </row>
    <row r="136" spans="1:26" ht="13.5" thickBot="1" x14ac:dyDescent="0.25">
      <c r="A136" s="379" t="s">
        <v>116</v>
      </c>
      <c r="B136" s="374">
        <f t="shared" ref="B136:X136" si="30">(C135+B135)*(C134-B134)/2</f>
        <v>0.06</v>
      </c>
      <c r="C136" s="375">
        <f t="shared" si="30"/>
        <v>0.28999999999999998</v>
      </c>
      <c r="D136" s="375">
        <f t="shared" si="30"/>
        <v>0.60499999999999987</v>
      </c>
      <c r="E136" s="375">
        <f t="shared" si="30"/>
        <v>0.77000000000000013</v>
      </c>
      <c r="F136" s="375">
        <f t="shared" si="30"/>
        <v>1.5599999999999998</v>
      </c>
      <c r="G136" s="375">
        <f t="shared" si="30"/>
        <v>0.69500000000000062</v>
      </c>
      <c r="H136" s="375">
        <f t="shared" si="30"/>
        <v>0.46999999999999975</v>
      </c>
      <c r="I136" s="375">
        <f t="shared" si="30"/>
        <v>0.67000000000000015</v>
      </c>
      <c r="J136" s="375">
        <f t="shared" si="30"/>
        <v>3.6500000000000004</v>
      </c>
      <c r="K136" s="375">
        <f t="shared" si="30"/>
        <v>3.8499999999999992</v>
      </c>
      <c r="L136" s="375">
        <f t="shared" si="30"/>
        <v>4.0000000000000018</v>
      </c>
      <c r="M136" s="375">
        <f t="shared" si="30"/>
        <v>4.1999999999999993</v>
      </c>
      <c r="N136" s="375">
        <f t="shared" si="30"/>
        <v>4.2999999999999989</v>
      </c>
      <c r="O136" s="375">
        <f t="shared" si="30"/>
        <v>4.2999999999999989</v>
      </c>
      <c r="P136" s="375">
        <f t="shared" si="30"/>
        <v>4.3000000000000043</v>
      </c>
      <c r="Q136" s="375">
        <f t="shared" si="30"/>
        <v>2.2499999999999969</v>
      </c>
      <c r="R136" s="375">
        <f t="shared" si="30"/>
        <v>3.5350000000000033</v>
      </c>
      <c r="S136" s="375">
        <f t="shared" si="30"/>
        <v>1.2899999999999965</v>
      </c>
      <c r="T136" s="375">
        <f t="shared" si="30"/>
        <v>0.80000000000000071</v>
      </c>
      <c r="U136" s="375">
        <f t="shared" si="30"/>
        <v>0.24000000000000021</v>
      </c>
      <c r="V136" s="375">
        <f t="shared" si="30"/>
        <v>0</v>
      </c>
      <c r="W136" s="375">
        <f t="shared" si="30"/>
        <v>0</v>
      </c>
      <c r="X136" s="375">
        <f t="shared" si="30"/>
        <v>0</v>
      </c>
      <c r="Y136" s="369"/>
    </row>
    <row r="137" spans="1:26" ht="13.5" thickBot="1" x14ac:dyDescent="0.25">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row>
    <row r="138" spans="1:26" ht="13.5" thickBot="1" x14ac:dyDescent="0.25">
      <c r="A138" s="361" t="s">
        <v>382</v>
      </c>
      <c r="B138" s="359">
        <f>ROW(A138)</f>
        <v>138</v>
      </c>
      <c r="C138" s="363" t="s">
        <v>115</v>
      </c>
      <c r="D138" s="353">
        <f>SUM(B141:Y141)</f>
        <v>52.564999999999998</v>
      </c>
      <c r="E138" s="363" t="s">
        <v>114</v>
      </c>
      <c r="F138" s="354">
        <f>D138/g/J138</f>
        <v>167.44712028542301</v>
      </c>
      <c r="G138" s="363" t="s">
        <v>56</v>
      </c>
      <c r="H138" s="64">
        <v>0.10100000000000001</v>
      </c>
      <c r="I138" s="363" t="s">
        <v>271</v>
      </c>
      <c r="J138" s="355">
        <f>H138-L138</f>
        <v>3.2000000000000001E-2</v>
      </c>
      <c r="K138" s="363" t="s">
        <v>272</v>
      </c>
      <c r="L138" s="64">
        <v>6.9000000000000006E-2</v>
      </c>
      <c r="M138" s="363" t="s">
        <v>57</v>
      </c>
      <c r="N138" s="65">
        <v>49</v>
      </c>
      <c r="O138" s="363" t="s">
        <v>59</v>
      </c>
      <c r="P138" s="65">
        <v>49</v>
      </c>
      <c r="Q138" s="363" t="s">
        <v>60</v>
      </c>
      <c r="R138" s="65">
        <v>98</v>
      </c>
      <c r="S138" s="363" t="s">
        <v>61</v>
      </c>
      <c r="T138" s="65">
        <v>29</v>
      </c>
      <c r="U138" s="363" t="s">
        <v>54</v>
      </c>
      <c r="V138" s="66" t="s">
        <v>400</v>
      </c>
      <c r="W138" s="463" t="s">
        <v>394</v>
      </c>
      <c r="X138" s="465">
        <v>1.8</v>
      </c>
      <c r="Y138" s="463" t="s">
        <v>393</v>
      </c>
      <c r="Z138" s="358">
        <v>12</v>
      </c>
    </row>
    <row r="139" spans="1:26" x14ac:dyDescent="0.2">
      <c r="A139" s="362" t="s">
        <v>33</v>
      </c>
      <c r="B139" s="370">
        <v>0</v>
      </c>
      <c r="C139" s="371">
        <v>0.01</v>
      </c>
      <c r="D139" s="371">
        <v>0.03</v>
      </c>
      <c r="E139" s="371">
        <v>0.04</v>
      </c>
      <c r="F139" s="371">
        <v>0.05</v>
      </c>
      <c r="G139" s="371">
        <v>0.06</v>
      </c>
      <c r="H139" s="371">
        <v>7.0000000000000007E-2</v>
      </c>
      <c r="I139" s="371">
        <v>0.08</v>
      </c>
      <c r="J139" s="371">
        <v>0.09</v>
      </c>
      <c r="K139" s="371">
        <v>0.1</v>
      </c>
      <c r="L139" s="371">
        <v>0.2</v>
      </c>
      <c r="M139" s="371">
        <v>0.3</v>
      </c>
      <c r="N139" s="371">
        <v>0.4</v>
      </c>
      <c r="O139" s="371">
        <v>0.5</v>
      </c>
      <c r="P139" s="371">
        <v>0.7</v>
      </c>
      <c r="Q139" s="371">
        <v>0.8</v>
      </c>
      <c r="R139" s="371">
        <v>0.9</v>
      </c>
      <c r="S139" s="371">
        <v>1</v>
      </c>
      <c r="T139" s="371">
        <v>1.1000000000000001</v>
      </c>
      <c r="U139" s="371">
        <v>1.24</v>
      </c>
      <c r="V139" s="371">
        <v>1.3</v>
      </c>
      <c r="W139" s="371">
        <v>1.5</v>
      </c>
      <c r="X139" s="371">
        <v>2</v>
      </c>
      <c r="Y139" s="381">
        <v>1000</v>
      </c>
    </row>
    <row r="140" spans="1:26" x14ac:dyDescent="0.2">
      <c r="A140" s="378" t="s">
        <v>34</v>
      </c>
      <c r="B140" s="372">
        <v>0</v>
      </c>
      <c r="C140" s="373">
        <v>12</v>
      </c>
      <c r="D140" s="373">
        <v>41</v>
      </c>
      <c r="E140" s="373">
        <v>42</v>
      </c>
      <c r="F140" s="373">
        <v>42</v>
      </c>
      <c r="G140" s="373">
        <v>40</v>
      </c>
      <c r="H140" s="373">
        <v>34</v>
      </c>
      <c r="I140" s="373">
        <v>34</v>
      </c>
      <c r="J140" s="373">
        <v>35</v>
      </c>
      <c r="K140" s="373">
        <v>36</v>
      </c>
      <c r="L140" s="373">
        <v>40</v>
      </c>
      <c r="M140" s="373">
        <v>42</v>
      </c>
      <c r="N140" s="373">
        <v>43</v>
      </c>
      <c r="O140" s="373">
        <v>43</v>
      </c>
      <c r="P140" s="373">
        <v>43</v>
      </c>
      <c r="Q140" s="373">
        <v>42</v>
      </c>
      <c r="R140" s="373">
        <v>41</v>
      </c>
      <c r="S140" s="373">
        <v>40</v>
      </c>
      <c r="T140" s="373">
        <v>38</v>
      </c>
      <c r="U140" s="373">
        <v>37</v>
      </c>
      <c r="V140" s="373">
        <v>12</v>
      </c>
      <c r="W140" s="373">
        <v>0</v>
      </c>
      <c r="X140" s="373">
        <v>0</v>
      </c>
      <c r="Y140" s="382">
        <v>0</v>
      </c>
    </row>
    <row r="141" spans="1:26" ht="13.5" thickBot="1" x14ac:dyDescent="0.25">
      <c r="A141" s="379" t="s">
        <v>116</v>
      </c>
      <c r="B141" s="374">
        <f t="shared" ref="B141:X141" si="31">(C140+B140)*(C139-B139)/2</f>
        <v>0.06</v>
      </c>
      <c r="C141" s="375">
        <f t="shared" si="31"/>
        <v>0.52999999999999992</v>
      </c>
      <c r="D141" s="375">
        <f t="shared" si="31"/>
        <v>0.41500000000000009</v>
      </c>
      <c r="E141" s="375">
        <f t="shared" si="31"/>
        <v>0.4200000000000001</v>
      </c>
      <c r="F141" s="375">
        <f t="shared" si="31"/>
        <v>0.40999999999999981</v>
      </c>
      <c r="G141" s="375">
        <f t="shared" si="31"/>
        <v>0.37000000000000033</v>
      </c>
      <c r="H141" s="375">
        <f t="shared" si="31"/>
        <v>0.33999999999999986</v>
      </c>
      <c r="I141" s="375">
        <f t="shared" si="31"/>
        <v>0.34499999999999981</v>
      </c>
      <c r="J141" s="375">
        <f t="shared" si="31"/>
        <v>0.35500000000000032</v>
      </c>
      <c r="K141" s="375">
        <f t="shared" si="31"/>
        <v>3.8000000000000003</v>
      </c>
      <c r="L141" s="375">
        <f t="shared" si="31"/>
        <v>4.0999999999999988</v>
      </c>
      <c r="M141" s="375">
        <f t="shared" si="31"/>
        <v>4.2500000000000018</v>
      </c>
      <c r="N141" s="375">
        <f t="shared" si="31"/>
        <v>4.2999999999999989</v>
      </c>
      <c r="O141" s="375">
        <f t="shared" si="31"/>
        <v>8.5999999999999979</v>
      </c>
      <c r="P141" s="375">
        <f t="shared" si="31"/>
        <v>4.2500000000000036</v>
      </c>
      <c r="Q141" s="375">
        <f t="shared" si="31"/>
        <v>4.1499999999999995</v>
      </c>
      <c r="R141" s="375">
        <f t="shared" si="31"/>
        <v>4.0499999999999989</v>
      </c>
      <c r="S141" s="375">
        <f t="shared" si="31"/>
        <v>3.9000000000000035</v>
      </c>
      <c r="T141" s="375">
        <f t="shared" si="31"/>
        <v>5.2499999999999964</v>
      </c>
      <c r="U141" s="375">
        <f t="shared" si="31"/>
        <v>1.4700000000000013</v>
      </c>
      <c r="V141" s="375">
        <f t="shared" si="31"/>
        <v>1.1999999999999997</v>
      </c>
      <c r="W141" s="375">
        <f t="shared" si="31"/>
        <v>0</v>
      </c>
      <c r="X141" s="375">
        <f t="shared" si="31"/>
        <v>0</v>
      </c>
      <c r="Y141" s="369"/>
    </row>
    <row r="142" spans="1:26" ht="13.5" thickBot="1" x14ac:dyDescent="0.25">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row>
    <row r="143" spans="1:26" ht="13.5" thickBot="1" x14ac:dyDescent="0.25">
      <c r="A143" s="361" t="s">
        <v>383</v>
      </c>
      <c r="B143" s="359">
        <f>ROW(A143)</f>
        <v>143</v>
      </c>
      <c r="C143" s="363" t="s">
        <v>115</v>
      </c>
      <c r="D143" s="353">
        <f>SUM(B146:Y146)</f>
        <v>54.110016122119539</v>
      </c>
      <c r="E143" s="363" t="s">
        <v>114</v>
      </c>
      <c r="F143" s="354">
        <f>D143/g/J143</f>
        <v>146.69685764124625</v>
      </c>
      <c r="G143" s="363" t="s">
        <v>56</v>
      </c>
      <c r="H143" s="64">
        <v>0.10580000000000001</v>
      </c>
      <c r="I143" s="363" t="s">
        <v>271</v>
      </c>
      <c r="J143" s="355">
        <f>H143-L143</f>
        <v>3.7600000000000008E-2</v>
      </c>
      <c r="K143" s="363" t="s">
        <v>272</v>
      </c>
      <c r="L143" s="64">
        <v>6.8199999999999997E-2</v>
      </c>
      <c r="M143" s="363" t="s">
        <v>57</v>
      </c>
      <c r="N143" s="65">
        <v>49</v>
      </c>
      <c r="O143" s="363" t="s">
        <v>59</v>
      </c>
      <c r="P143" s="65">
        <v>49</v>
      </c>
      <c r="Q143" s="363" t="s">
        <v>60</v>
      </c>
      <c r="R143" s="65">
        <v>98</v>
      </c>
      <c r="S143" s="363" t="s">
        <v>61</v>
      </c>
      <c r="T143" s="65">
        <v>29</v>
      </c>
      <c r="U143" s="363" t="s">
        <v>54</v>
      </c>
      <c r="V143" s="66" t="s">
        <v>399</v>
      </c>
      <c r="W143" s="463" t="s">
        <v>394</v>
      </c>
      <c r="X143" s="465">
        <v>1.9</v>
      </c>
      <c r="Y143" s="463" t="s">
        <v>393</v>
      </c>
      <c r="Z143" s="358">
        <v>12</v>
      </c>
    </row>
    <row r="144" spans="1:26" x14ac:dyDescent="0.2">
      <c r="A144" s="362" t="s">
        <v>33</v>
      </c>
      <c r="B144" s="370">
        <v>0</v>
      </c>
      <c r="C144" s="371">
        <v>2.5000000000000001E-2</v>
      </c>
      <c r="D144" s="371">
        <v>0.05</v>
      </c>
      <c r="E144" s="371">
        <v>7.4999999999999997E-2</v>
      </c>
      <c r="F144" s="371">
        <v>0.1</v>
      </c>
      <c r="G144" s="371">
        <v>0.15</v>
      </c>
      <c r="H144" s="371">
        <v>0.17499999999999999</v>
      </c>
      <c r="I144" s="371">
        <v>0.2</v>
      </c>
      <c r="J144" s="371">
        <v>0.3</v>
      </c>
      <c r="K144" s="371">
        <v>0.4</v>
      </c>
      <c r="L144" s="371">
        <v>0.5</v>
      </c>
      <c r="M144" s="371">
        <v>0.6</v>
      </c>
      <c r="N144" s="371">
        <v>0.7</v>
      </c>
      <c r="O144" s="371">
        <v>0.8</v>
      </c>
      <c r="P144" s="371">
        <v>0.9</v>
      </c>
      <c r="Q144" s="371">
        <v>1.1000000000000001</v>
      </c>
      <c r="R144" s="371">
        <v>1.2</v>
      </c>
      <c r="S144" s="371">
        <v>1.6</v>
      </c>
      <c r="T144" s="371">
        <v>1.7</v>
      </c>
      <c r="U144" s="371">
        <v>1.8</v>
      </c>
      <c r="V144" s="371">
        <v>1.9</v>
      </c>
      <c r="W144" s="371">
        <v>1.9999</v>
      </c>
      <c r="X144" s="371">
        <v>2</v>
      </c>
      <c r="Y144" s="381">
        <v>1000</v>
      </c>
    </row>
    <row r="145" spans="1:26" x14ac:dyDescent="0.2">
      <c r="A145" s="378" t="s">
        <v>34</v>
      </c>
      <c r="B145" s="372">
        <v>0</v>
      </c>
      <c r="C145" s="376">
        <v>15.2574001848975</v>
      </c>
      <c r="D145" s="376">
        <v>26.377954255522496</v>
      </c>
      <c r="E145" s="376">
        <v>21.484910464447498</v>
      </c>
      <c r="F145" s="376">
        <v>24.020396792549999</v>
      </c>
      <c r="G145" s="376">
        <v>28.11276069054</v>
      </c>
      <c r="H145" s="376">
        <v>28.691029502212498</v>
      </c>
      <c r="I145" s="376">
        <v>29.180333881319996</v>
      </c>
      <c r="J145" s="376">
        <v>31.493409128009997</v>
      </c>
      <c r="K145" s="376">
        <v>32.560982318789996</v>
      </c>
      <c r="L145" s="376">
        <v>32.827875616484995</v>
      </c>
      <c r="M145" s="376">
        <v>32.649946751354996</v>
      </c>
      <c r="N145" s="376">
        <v>32.383053453659997</v>
      </c>
      <c r="O145" s="376">
        <v>32.249606804812501</v>
      </c>
      <c r="P145" s="376">
        <v>31.804784641987499</v>
      </c>
      <c r="Q145" s="376">
        <v>30.559282586077497</v>
      </c>
      <c r="R145" s="376">
        <v>30.069978206969999</v>
      </c>
      <c r="S145" s="376">
        <v>26.377954255522496</v>
      </c>
      <c r="T145" s="376">
        <v>24.865558901917499</v>
      </c>
      <c r="U145" s="376">
        <v>18.4601197572375</v>
      </c>
      <c r="V145" s="376">
        <v>7.5174945517424998</v>
      </c>
      <c r="W145" s="376">
        <v>1.3789487047575</v>
      </c>
      <c r="X145" s="373">
        <v>0</v>
      </c>
      <c r="Y145" s="382">
        <v>0</v>
      </c>
    </row>
    <row r="146" spans="1:26" ht="13.5" thickBot="1" x14ac:dyDescent="0.25">
      <c r="A146" s="379" t="s">
        <v>116</v>
      </c>
      <c r="B146" s="374">
        <f t="shared" ref="B146:V146" si="32">(C145+B145)*(C144-B144)/2</f>
        <v>0.19071750231121876</v>
      </c>
      <c r="C146" s="375">
        <f t="shared" si="32"/>
        <v>0.52044193050525001</v>
      </c>
      <c r="D146" s="375">
        <f t="shared" si="32"/>
        <v>0.5982858089996248</v>
      </c>
      <c r="E146" s="375">
        <f t="shared" si="32"/>
        <v>0.56881634071246889</v>
      </c>
      <c r="F146" s="375">
        <f t="shared" si="32"/>
        <v>1.3033289370772498</v>
      </c>
      <c r="G146" s="375">
        <f t="shared" si="32"/>
        <v>0.71004737740940616</v>
      </c>
      <c r="H146" s="375">
        <f t="shared" si="32"/>
        <v>0.72339204229415688</v>
      </c>
      <c r="I146" s="375">
        <f t="shared" si="32"/>
        <v>3.0336871504664993</v>
      </c>
      <c r="J146" s="375">
        <f>(K145+J145)*(K144-J144)/2</f>
        <v>3.2027195723400008</v>
      </c>
      <c r="K146" s="375">
        <f t="shared" si="32"/>
        <v>3.2694428967637483</v>
      </c>
      <c r="L146" s="375">
        <f t="shared" si="32"/>
        <v>3.2738911183919988</v>
      </c>
      <c r="M146" s="375">
        <f t="shared" si="32"/>
        <v>3.2516500102507484</v>
      </c>
      <c r="N146" s="375">
        <f t="shared" si="32"/>
        <v>3.2316330129236279</v>
      </c>
      <c r="O146" s="375">
        <f t="shared" si="32"/>
        <v>3.202719572339999</v>
      </c>
      <c r="P146" s="375">
        <f t="shared" si="32"/>
        <v>6.2364067228065014</v>
      </c>
      <c r="Q146" s="375">
        <f t="shared" si="32"/>
        <v>3.0314630396523707</v>
      </c>
      <c r="R146" s="375">
        <f t="shared" si="32"/>
        <v>11.289586492498502</v>
      </c>
      <c r="S146" s="375">
        <f>(T145+S145)*(T144-S144)/2</f>
        <v>2.5621756578719963</v>
      </c>
      <c r="T146" s="375">
        <f t="shared" si="32"/>
        <v>2.1662839329577519</v>
      </c>
      <c r="U146" s="375">
        <f t="shared" si="32"/>
        <v>1.2988807154489983</v>
      </c>
      <c r="V146" s="375">
        <f t="shared" si="32"/>
        <v>0.44437734066217544</v>
      </c>
      <c r="W146" s="375">
        <f>(X145+W145)*(X144-W144)/2</f>
        <v>6.894743523786741E-5</v>
      </c>
      <c r="X146" s="375">
        <f>(Y145+X145)*(Y144-X144)/2</f>
        <v>0</v>
      </c>
      <c r="Y146" s="369"/>
    </row>
    <row r="147" spans="1:26" ht="13.5" thickBot="1" x14ac:dyDescent="0.25">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row>
    <row r="148" spans="1:26" ht="13.5" thickBot="1" x14ac:dyDescent="0.25">
      <c r="A148" s="361" t="s">
        <v>543</v>
      </c>
      <c r="B148" s="359">
        <f>ROW(A148)</f>
        <v>148</v>
      </c>
      <c r="C148" s="363" t="s">
        <v>115</v>
      </c>
      <c r="D148" s="353">
        <f>SUM(B151:Y151)</f>
        <v>55.589492</v>
      </c>
      <c r="E148" s="363" t="s">
        <v>114</v>
      </c>
      <c r="F148" s="354">
        <f>D148/g/J148</f>
        <v>177.08171508664634</v>
      </c>
      <c r="G148" s="363" t="s">
        <v>56</v>
      </c>
      <c r="H148" s="64">
        <v>0.10199999999999999</v>
      </c>
      <c r="I148" s="363" t="s">
        <v>271</v>
      </c>
      <c r="J148" s="355">
        <f>H148-L148</f>
        <v>3.1999999999999987E-2</v>
      </c>
      <c r="K148" s="363" t="s">
        <v>272</v>
      </c>
      <c r="L148" s="64">
        <v>7.0000000000000007E-2</v>
      </c>
      <c r="M148" s="363" t="s">
        <v>57</v>
      </c>
      <c r="N148" s="65">
        <v>49</v>
      </c>
      <c r="O148" s="363" t="s">
        <v>59</v>
      </c>
      <c r="P148" s="65">
        <v>49</v>
      </c>
      <c r="Q148" s="363" t="s">
        <v>60</v>
      </c>
      <c r="R148" s="65">
        <v>98</v>
      </c>
      <c r="S148" s="363" t="s">
        <v>61</v>
      </c>
      <c r="T148" s="65">
        <v>29</v>
      </c>
      <c r="U148" s="363" t="s">
        <v>54</v>
      </c>
      <c r="V148" s="66" t="s">
        <v>400</v>
      </c>
      <c r="W148" s="463" t="s">
        <v>394</v>
      </c>
      <c r="X148" s="465">
        <v>0.45</v>
      </c>
      <c r="Y148" s="463" t="s">
        <v>393</v>
      </c>
      <c r="Z148" s="358">
        <v>12</v>
      </c>
    </row>
    <row r="149" spans="1:26" x14ac:dyDescent="0.2">
      <c r="A149" s="362" t="s">
        <v>33</v>
      </c>
      <c r="B149" s="370">
        <v>0</v>
      </c>
      <c r="C149" s="371">
        <v>1E-3</v>
      </c>
      <c r="D149" s="371">
        <v>2.3E-2</v>
      </c>
      <c r="E149" s="371">
        <v>0.05</v>
      </c>
      <c r="F149" s="371">
        <v>5.8999999999999997E-2</v>
      </c>
      <c r="G149" s="371">
        <v>9.5000000000000001E-2</v>
      </c>
      <c r="H149" s="371">
        <v>0.21199999999999999</v>
      </c>
      <c r="I149" s="371">
        <v>0.34399999999999997</v>
      </c>
      <c r="J149" s="371">
        <v>1.5669999999999999</v>
      </c>
      <c r="K149" s="371">
        <v>1.631</v>
      </c>
      <c r="L149" s="371">
        <v>1.663</v>
      </c>
      <c r="M149" s="371">
        <v>1.7849999999999999</v>
      </c>
      <c r="N149" s="371">
        <v>1.8280000000000001</v>
      </c>
      <c r="O149" s="371">
        <v>2</v>
      </c>
      <c r="P149" s="371">
        <v>2</v>
      </c>
      <c r="Q149" s="371">
        <v>2</v>
      </c>
      <c r="R149" s="371">
        <v>2</v>
      </c>
      <c r="S149" s="371">
        <v>2</v>
      </c>
      <c r="T149" s="371">
        <v>2</v>
      </c>
      <c r="U149" s="371">
        <v>2</v>
      </c>
      <c r="V149" s="371">
        <v>2</v>
      </c>
      <c r="W149" s="371">
        <v>2</v>
      </c>
      <c r="X149" s="371">
        <v>2</v>
      </c>
      <c r="Y149" s="381">
        <v>1000</v>
      </c>
    </row>
    <row r="150" spans="1:26" x14ac:dyDescent="0.2">
      <c r="A150" s="378" t="s">
        <v>34</v>
      </c>
      <c r="B150" s="372">
        <v>0</v>
      </c>
      <c r="C150" s="373">
        <v>3.4830000000000001</v>
      </c>
      <c r="D150" s="373">
        <v>64.052999999999997</v>
      </c>
      <c r="E150" s="373">
        <v>31.347000000000001</v>
      </c>
      <c r="F150" s="373">
        <v>28.459</v>
      </c>
      <c r="G150" s="373">
        <v>32.027000000000001</v>
      </c>
      <c r="H150" s="373">
        <v>36.189</v>
      </c>
      <c r="I150" s="373">
        <v>37.548999999999999</v>
      </c>
      <c r="J150" s="373">
        <v>26.164999999999999</v>
      </c>
      <c r="K150" s="373">
        <v>26.93</v>
      </c>
      <c r="L150" s="373">
        <v>25.315999999999999</v>
      </c>
      <c r="M150" s="373">
        <v>3.653</v>
      </c>
      <c r="N150" s="373">
        <v>0</v>
      </c>
      <c r="O150" s="373">
        <v>0</v>
      </c>
      <c r="P150" s="373">
        <v>0</v>
      </c>
      <c r="Q150" s="373">
        <v>0</v>
      </c>
      <c r="R150" s="373">
        <v>0</v>
      </c>
      <c r="S150" s="373">
        <v>0</v>
      </c>
      <c r="T150" s="373">
        <v>0</v>
      </c>
      <c r="U150" s="373">
        <v>0</v>
      </c>
      <c r="V150" s="373">
        <v>0</v>
      </c>
      <c r="W150" s="373">
        <v>0</v>
      </c>
      <c r="X150" s="373">
        <v>0</v>
      </c>
      <c r="Y150" s="382">
        <v>0</v>
      </c>
    </row>
    <row r="151" spans="1:26" ht="13.5" thickBot="1" x14ac:dyDescent="0.25">
      <c r="A151" s="379" t="s">
        <v>116</v>
      </c>
      <c r="B151" s="374">
        <f t="shared" ref="B151" si="33">(C150+B150)*(C149-B149)/2</f>
        <v>1.7415E-3</v>
      </c>
      <c r="C151" s="375">
        <f t="shared" ref="C151" si="34">(D150+C150)*(D149-C149)/2</f>
        <v>0.742896</v>
      </c>
      <c r="D151" s="375">
        <f t="shared" ref="D151" si="35">(E150+D150)*(E149-D149)/2</f>
        <v>1.2879000000000003</v>
      </c>
      <c r="E151" s="375">
        <f t="shared" ref="E151" si="36">(F150+E150)*(F149-E149)/2</f>
        <v>0.26912699999999984</v>
      </c>
      <c r="F151" s="375">
        <f t="shared" ref="F151" si="37">(G150+F150)*(G149-F149)/2</f>
        <v>1.0887480000000003</v>
      </c>
      <c r="G151" s="375">
        <f t="shared" ref="G151" si="38">(H150+G150)*(H149-G149)/2</f>
        <v>3.9906360000000003</v>
      </c>
      <c r="H151" s="375">
        <f t="shared" ref="H151" si="39">(I150+H150)*(I149-H149)/2</f>
        <v>4.8667079999999991</v>
      </c>
      <c r="I151" s="375">
        <f t="shared" ref="I151" si="40">(J150+I150)*(J149-I149)/2</f>
        <v>38.961110999999995</v>
      </c>
      <c r="J151" s="375">
        <f t="shared" ref="J151" si="41">(K150+J150)*(K149-J149)/2</f>
        <v>1.6990400000000014</v>
      </c>
      <c r="K151" s="375">
        <f t="shared" ref="K151" si="42">(L150+K150)*(L149-K149)/2</f>
        <v>0.83593600000000068</v>
      </c>
      <c r="L151" s="375">
        <f t="shared" ref="L151" si="43">(M150+L150)*(M149-L149)/2</f>
        <v>1.7671089999999983</v>
      </c>
      <c r="M151" s="375">
        <f t="shared" ref="M151" si="44">(N150+M150)*(N149-M149)/2</f>
        <v>7.8539500000000276E-2</v>
      </c>
      <c r="N151" s="375">
        <f t="shared" ref="N151" si="45">(O150+N150)*(O149-N149)/2</f>
        <v>0</v>
      </c>
      <c r="O151" s="375">
        <f t="shared" ref="O151" si="46">(P150+O150)*(P149-O149)/2</f>
        <v>0</v>
      </c>
      <c r="P151" s="375">
        <f t="shared" ref="P151" si="47">(Q150+P150)*(Q149-P149)/2</f>
        <v>0</v>
      </c>
      <c r="Q151" s="375">
        <f t="shared" ref="Q151" si="48">(R150+Q150)*(R149-Q149)/2</f>
        <v>0</v>
      </c>
      <c r="R151" s="375">
        <f t="shared" ref="R151" si="49">(S150+R150)*(S149-R149)/2</f>
        <v>0</v>
      </c>
      <c r="S151" s="375">
        <f t="shared" ref="S151" si="50">(T150+S150)*(T149-S149)/2</f>
        <v>0</v>
      </c>
      <c r="T151" s="375">
        <f t="shared" ref="T151" si="51">(U150+T150)*(U149-T149)/2</f>
        <v>0</v>
      </c>
      <c r="U151" s="375">
        <f t="shared" ref="U151" si="52">(V150+U150)*(V149-U149)/2</f>
        <v>0</v>
      </c>
      <c r="V151" s="375">
        <f t="shared" ref="V151" si="53">(W150+V150)*(W149-V149)/2</f>
        <v>0</v>
      </c>
      <c r="W151" s="375">
        <f t="shared" ref="W151" si="54">(X150+W150)*(X149-W149)/2</f>
        <v>0</v>
      </c>
      <c r="X151" s="375">
        <f t="shared" ref="X151" si="55">(Y150+X150)*(Y149-X149)/2</f>
        <v>0</v>
      </c>
      <c r="Y151" s="369"/>
    </row>
    <row r="152" spans="1:26" ht="13.5" thickBot="1" x14ac:dyDescent="0.25">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row>
    <row r="153" spans="1:26" ht="13.5" thickBot="1" x14ac:dyDescent="0.25">
      <c r="A153" s="361" t="s">
        <v>384</v>
      </c>
      <c r="B153" s="359">
        <f>ROW(A153)</f>
        <v>153</v>
      </c>
      <c r="C153" s="363" t="s">
        <v>115</v>
      </c>
      <c r="D153" s="353">
        <f>SUM(B156:Y156)</f>
        <v>55.705884500000003</v>
      </c>
      <c r="E153" s="363" t="s">
        <v>114</v>
      </c>
      <c r="F153" s="354">
        <f>D153/g/J153</f>
        <v>180.84329814241278</v>
      </c>
      <c r="G153" s="363" t="s">
        <v>56</v>
      </c>
      <c r="H153" s="64">
        <v>0.1062</v>
      </c>
      <c r="I153" s="363" t="s">
        <v>271</v>
      </c>
      <c r="J153" s="355">
        <f>H153-L153</f>
        <v>3.1400000000000011E-2</v>
      </c>
      <c r="K153" s="363" t="s">
        <v>272</v>
      </c>
      <c r="L153" s="64">
        <v>7.4799999999999991E-2</v>
      </c>
      <c r="M153" s="363" t="s">
        <v>57</v>
      </c>
      <c r="N153" s="65">
        <v>49</v>
      </c>
      <c r="O153" s="363" t="s">
        <v>59</v>
      </c>
      <c r="P153" s="65">
        <v>49</v>
      </c>
      <c r="Q153" s="363" t="s">
        <v>60</v>
      </c>
      <c r="R153" s="65">
        <v>98</v>
      </c>
      <c r="S153" s="363" t="s">
        <v>61</v>
      </c>
      <c r="T153" s="65">
        <v>29</v>
      </c>
      <c r="U153" s="363" t="s">
        <v>54</v>
      </c>
      <c r="V153" s="66" t="s">
        <v>400</v>
      </c>
      <c r="W153" s="463" t="s">
        <v>394</v>
      </c>
      <c r="X153" s="465">
        <v>0.45</v>
      </c>
      <c r="Y153" s="463" t="s">
        <v>393</v>
      </c>
      <c r="Z153" s="358">
        <v>14</v>
      </c>
    </row>
    <row r="154" spans="1:26" x14ac:dyDescent="0.2">
      <c r="A154" s="362" t="s">
        <v>33</v>
      </c>
      <c r="B154" s="370">
        <v>0</v>
      </c>
      <c r="C154" s="371">
        <v>1.2999999999999999E-2</v>
      </c>
      <c r="D154" s="371">
        <v>1.7000000000000001E-2</v>
      </c>
      <c r="E154" s="371">
        <v>0.04</v>
      </c>
      <c r="F154" s="371">
        <v>0.125</v>
      </c>
      <c r="G154" s="371">
        <v>0.17899999999999999</v>
      </c>
      <c r="H154" s="371">
        <v>0.222</v>
      </c>
      <c r="I154" s="371">
        <v>0.28899999999999998</v>
      </c>
      <c r="J154" s="371">
        <v>0.35399999999999998</v>
      </c>
      <c r="K154" s="371">
        <v>0.39400000000000002</v>
      </c>
      <c r="L154" s="371">
        <v>0.40600000000000003</v>
      </c>
      <c r="M154" s="371">
        <v>0.41599999999999998</v>
      </c>
      <c r="N154" s="371">
        <v>0.42299999999999999</v>
      </c>
      <c r="O154" s="371">
        <v>0.43099999999999999</v>
      </c>
      <c r="P154" s="371">
        <v>0.44700000000000001</v>
      </c>
      <c r="Q154" s="371">
        <v>0.45300000000000001</v>
      </c>
      <c r="R154" s="371">
        <v>0.45500000000000002</v>
      </c>
      <c r="S154" s="371">
        <v>0.45500000000000002</v>
      </c>
      <c r="T154" s="371">
        <v>0.45500000000000002</v>
      </c>
      <c r="U154" s="371">
        <v>0.45500000000000002</v>
      </c>
      <c r="V154" s="371">
        <v>0.45500000000000002</v>
      </c>
      <c r="W154" s="371">
        <v>0.45500000000000002</v>
      </c>
      <c r="X154" s="371">
        <v>2</v>
      </c>
      <c r="Y154" s="381">
        <v>1000</v>
      </c>
    </row>
    <row r="155" spans="1:26" x14ac:dyDescent="0.2">
      <c r="A155" s="378" t="s">
        <v>34</v>
      </c>
      <c r="B155" s="372">
        <v>0</v>
      </c>
      <c r="C155" s="373">
        <v>79.242000000000004</v>
      </c>
      <c r="D155" s="373">
        <v>90.427000000000007</v>
      </c>
      <c r="E155" s="373">
        <v>101.422</v>
      </c>
      <c r="F155" s="373">
        <v>127.583</v>
      </c>
      <c r="G155" s="373">
        <v>136.114</v>
      </c>
      <c r="H155" s="373">
        <v>139.905</v>
      </c>
      <c r="I155" s="373">
        <v>143.50700000000001</v>
      </c>
      <c r="J155" s="373">
        <v>138.578</v>
      </c>
      <c r="K155" s="373">
        <v>125.498</v>
      </c>
      <c r="L155" s="373">
        <v>123.602</v>
      </c>
      <c r="M155" s="373">
        <v>125.11799999999999</v>
      </c>
      <c r="N155" s="373">
        <v>130.047</v>
      </c>
      <c r="O155" s="373">
        <v>120.569</v>
      </c>
      <c r="P155" s="373">
        <v>25.591999999999999</v>
      </c>
      <c r="Q155" s="373">
        <v>8.7200000000000006</v>
      </c>
      <c r="R155" s="373">
        <v>0</v>
      </c>
      <c r="S155" s="373">
        <v>0</v>
      </c>
      <c r="T155" s="373">
        <v>0</v>
      </c>
      <c r="U155" s="373">
        <v>0</v>
      </c>
      <c r="V155" s="373">
        <v>0</v>
      </c>
      <c r="W155" s="373">
        <v>0</v>
      </c>
      <c r="X155" s="373">
        <v>0</v>
      </c>
      <c r="Y155" s="382">
        <v>0</v>
      </c>
    </row>
    <row r="156" spans="1:26" ht="13.5" thickBot="1" x14ac:dyDescent="0.25">
      <c r="A156" s="379" t="s">
        <v>116</v>
      </c>
      <c r="B156" s="374">
        <f t="shared" ref="B156:X156" si="56">(C155+B155)*(C154-B154)/2</f>
        <v>0.515073</v>
      </c>
      <c r="C156" s="375">
        <f t="shared" si="56"/>
        <v>0.3393380000000002</v>
      </c>
      <c r="D156" s="375">
        <f t="shared" si="56"/>
        <v>2.2062634999999999</v>
      </c>
      <c r="E156" s="375">
        <f t="shared" si="56"/>
        <v>9.7327124999999981</v>
      </c>
      <c r="F156" s="375">
        <f t="shared" si="56"/>
        <v>7.1198189999999988</v>
      </c>
      <c r="G156" s="375">
        <f t="shared" si="56"/>
        <v>5.9344085000000018</v>
      </c>
      <c r="H156" s="375">
        <f t="shared" si="56"/>
        <v>9.4943019999999976</v>
      </c>
      <c r="I156" s="375">
        <f t="shared" si="56"/>
        <v>9.167762500000002</v>
      </c>
      <c r="J156" s="375">
        <f t="shared" si="56"/>
        <v>5.2815200000000049</v>
      </c>
      <c r="K156" s="375">
        <f t="shared" si="56"/>
        <v>1.4946000000000015</v>
      </c>
      <c r="L156" s="375">
        <f t="shared" si="56"/>
        <v>1.2435999999999943</v>
      </c>
      <c r="M156" s="375">
        <f t="shared" si="56"/>
        <v>0.89307750000000075</v>
      </c>
      <c r="N156" s="375">
        <f t="shared" si="56"/>
        <v>1.0024640000000009</v>
      </c>
      <c r="O156" s="375">
        <f t="shared" si="56"/>
        <v>1.169288000000001</v>
      </c>
      <c r="P156" s="375">
        <f t="shared" si="56"/>
        <v>0.10293600000000008</v>
      </c>
      <c r="Q156" s="375">
        <f t="shared" si="56"/>
        <v>8.720000000000009E-3</v>
      </c>
      <c r="R156" s="375">
        <f t="shared" si="56"/>
        <v>0</v>
      </c>
      <c r="S156" s="375">
        <f t="shared" si="56"/>
        <v>0</v>
      </c>
      <c r="T156" s="375">
        <f t="shared" si="56"/>
        <v>0</v>
      </c>
      <c r="U156" s="375">
        <f t="shared" si="56"/>
        <v>0</v>
      </c>
      <c r="V156" s="375">
        <f t="shared" si="56"/>
        <v>0</v>
      </c>
      <c r="W156" s="375">
        <f t="shared" si="56"/>
        <v>0</v>
      </c>
      <c r="X156" s="375">
        <f t="shared" si="56"/>
        <v>0</v>
      </c>
      <c r="Y156" s="369"/>
    </row>
    <row r="157" spans="1:26" ht="13.5" thickBot="1" x14ac:dyDescent="0.25">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row>
    <row r="158" spans="1:26" ht="13.5" thickBot="1" x14ac:dyDescent="0.25">
      <c r="A158" s="361" t="s">
        <v>385</v>
      </c>
      <c r="B158" s="359">
        <f>ROW(A158)</f>
        <v>158</v>
      </c>
      <c r="C158" s="363" t="s">
        <v>115</v>
      </c>
      <c r="D158" s="353">
        <f>SUM(B161:Y161)</f>
        <v>57.190000000000005</v>
      </c>
      <c r="E158" s="363" t="s">
        <v>114</v>
      </c>
      <c r="F158" s="354">
        <f>D158/g/J158</f>
        <v>188.05695307618953</v>
      </c>
      <c r="G158" s="363" t="s">
        <v>56</v>
      </c>
      <c r="H158" s="64">
        <v>9.9000000000000005E-2</v>
      </c>
      <c r="I158" s="363" t="s">
        <v>271</v>
      </c>
      <c r="J158" s="355">
        <f>H158-L158</f>
        <v>3.1E-2</v>
      </c>
      <c r="K158" s="363" t="s">
        <v>272</v>
      </c>
      <c r="L158" s="64">
        <v>6.8000000000000005E-2</v>
      </c>
      <c r="M158" s="363" t="s">
        <v>57</v>
      </c>
      <c r="N158" s="65">
        <v>49</v>
      </c>
      <c r="O158" s="363" t="s">
        <v>59</v>
      </c>
      <c r="P158" s="65">
        <v>49</v>
      </c>
      <c r="Q158" s="363" t="s">
        <v>60</v>
      </c>
      <c r="R158" s="65">
        <v>98</v>
      </c>
      <c r="S158" s="363" t="s">
        <v>61</v>
      </c>
      <c r="T158" s="65">
        <v>29</v>
      </c>
      <c r="U158" s="363" t="s">
        <v>54</v>
      </c>
      <c r="V158" s="66" t="s">
        <v>400</v>
      </c>
      <c r="W158" s="463" t="s">
        <v>394</v>
      </c>
      <c r="X158" s="465">
        <v>0.96</v>
      </c>
      <c r="Y158" s="463" t="s">
        <v>393</v>
      </c>
      <c r="Z158" s="358">
        <v>12</v>
      </c>
    </row>
    <row r="159" spans="1:26" x14ac:dyDescent="0.2">
      <c r="A159" s="362" t="s">
        <v>33</v>
      </c>
      <c r="B159" s="370">
        <v>0</v>
      </c>
      <c r="C159" s="371">
        <v>0.01</v>
      </c>
      <c r="D159" s="371">
        <v>0.02</v>
      </c>
      <c r="E159" s="371">
        <v>0.03</v>
      </c>
      <c r="F159" s="371">
        <v>0.04</v>
      </c>
      <c r="G159" s="371">
        <v>7.0000000000000007E-2</v>
      </c>
      <c r="H159" s="371">
        <v>0.1</v>
      </c>
      <c r="I159" s="371">
        <v>0.2</v>
      </c>
      <c r="J159" s="371">
        <v>0.3</v>
      </c>
      <c r="K159" s="371">
        <v>0.4</v>
      </c>
      <c r="L159" s="371">
        <v>0.5</v>
      </c>
      <c r="M159" s="371">
        <v>0.6</v>
      </c>
      <c r="N159" s="371">
        <v>0.7</v>
      </c>
      <c r="O159" s="371">
        <v>0.87</v>
      </c>
      <c r="P159" s="371">
        <v>0.9</v>
      </c>
      <c r="Q159" s="371">
        <v>0.97</v>
      </c>
      <c r="R159" s="371">
        <v>0.97</v>
      </c>
      <c r="S159" s="371">
        <v>0.97</v>
      </c>
      <c r="T159" s="371">
        <v>0.97</v>
      </c>
      <c r="U159" s="371">
        <v>0.97</v>
      </c>
      <c r="V159" s="371">
        <v>0.97</v>
      </c>
      <c r="W159" s="371">
        <v>0.97</v>
      </c>
      <c r="X159" s="371">
        <v>2</v>
      </c>
      <c r="Y159" s="381">
        <v>1000</v>
      </c>
    </row>
    <row r="160" spans="1:26" x14ac:dyDescent="0.2">
      <c r="A160" s="378" t="s">
        <v>34</v>
      </c>
      <c r="B160" s="372">
        <v>0</v>
      </c>
      <c r="C160" s="373">
        <v>16</v>
      </c>
      <c r="D160" s="373">
        <v>62</v>
      </c>
      <c r="E160" s="373">
        <v>67</v>
      </c>
      <c r="F160" s="373">
        <v>71</v>
      </c>
      <c r="G160" s="373">
        <v>58</v>
      </c>
      <c r="H160" s="373">
        <v>63</v>
      </c>
      <c r="I160" s="373">
        <v>67</v>
      </c>
      <c r="J160" s="373">
        <v>69</v>
      </c>
      <c r="K160" s="373">
        <v>67</v>
      </c>
      <c r="L160" s="373">
        <v>65</v>
      </c>
      <c r="M160" s="373">
        <v>63</v>
      </c>
      <c r="N160" s="373">
        <v>61</v>
      </c>
      <c r="O160" s="373">
        <v>60</v>
      </c>
      <c r="P160" s="373">
        <v>23</v>
      </c>
      <c r="Q160" s="373">
        <v>0</v>
      </c>
      <c r="R160" s="373">
        <v>0</v>
      </c>
      <c r="S160" s="373">
        <v>0</v>
      </c>
      <c r="T160" s="373">
        <v>0</v>
      </c>
      <c r="U160" s="373">
        <v>0</v>
      </c>
      <c r="V160" s="373">
        <v>0</v>
      </c>
      <c r="W160" s="373">
        <v>0</v>
      </c>
      <c r="X160" s="373">
        <v>0</v>
      </c>
      <c r="Y160" s="382">
        <v>0</v>
      </c>
    </row>
    <row r="161" spans="1:26" ht="13.5" thickBot="1" x14ac:dyDescent="0.25">
      <c r="A161" s="379" t="s">
        <v>116</v>
      </c>
      <c r="B161" s="374">
        <f t="shared" ref="B161:X161" si="57">(C160+B160)*(C159-B159)/2</f>
        <v>0.08</v>
      </c>
      <c r="C161" s="375">
        <f t="shared" si="57"/>
        <v>0.39</v>
      </c>
      <c r="D161" s="375">
        <f t="shared" si="57"/>
        <v>0.64499999999999991</v>
      </c>
      <c r="E161" s="375">
        <f t="shared" si="57"/>
        <v>0.69000000000000017</v>
      </c>
      <c r="F161" s="375">
        <f t="shared" si="57"/>
        <v>1.9350000000000003</v>
      </c>
      <c r="G161" s="375">
        <f t="shared" si="57"/>
        <v>1.8149999999999999</v>
      </c>
      <c r="H161" s="375">
        <f t="shared" si="57"/>
        <v>6.5</v>
      </c>
      <c r="I161" s="375">
        <f t="shared" si="57"/>
        <v>6.7999999999999989</v>
      </c>
      <c r="J161" s="375">
        <f t="shared" si="57"/>
        <v>6.8000000000000025</v>
      </c>
      <c r="K161" s="375">
        <f t="shared" si="57"/>
        <v>6.5999999999999988</v>
      </c>
      <c r="L161" s="375">
        <f t="shared" si="57"/>
        <v>6.3999999999999986</v>
      </c>
      <c r="M161" s="375">
        <f t="shared" si="57"/>
        <v>6.1999999999999984</v>
      </c>
      <c r="N161" s="375">
        <f t="shared" si="57"/>
        <v>10.285000000000002</v>
      </c>
      <c r="O161" s="375">
        <f t="shared" si="57"/>
        <v>1.245000000000001</v>
      </c>
      <c r="P161" s="375">
        <f t="shared" si="57"/>
        <v>0.80499999999999949</v>
      </c>
      <c r="Q161" s="375">
        <f t="shared" si="57"/>
        <v>0</v>
      </c>
      <c r="R161" s="375">
        <f t="shared" si="57"/>
        <v>0</v>
      </c>
      <c r="S161" s="375">
        <f t="shared" si="57"/>
        <v>0</v>
      </c>
      <c r="T161" s="375">
        <f t="shared" si="57"/>
        <v>0</v>
      </c>
      <c r="U161" s="375">
        <f t="shared" si="57"/>
        <v>0</v>
      </c>
      <c r="V161" s="375">
        <f t="shared" si="57"/>
        <v>0</v>
      </c>
      <c r="W161" s="375">
        <f t="shared" si="57"/>
        <v>0</v>
      </c>
      <c r="X161" s="375">
        <f t="shared" si="57"/>
        <v>0</v>
      </c>
      <c r="Y161" s="369"/>
    </row>
    <row r="162" spans="1:26" ht="13.5" thickBot="1" x14ac:dyDescent="0.25">
      <c r="A162" s="6" t="s">
        <v>315</v>
      </c>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row>
    <row r="163" spans="1:26" ht="13.5" thickBot="1" x14ac:dyDescent="0.25">
      <c r="A163" s="361" t="s">
        <v>321</v>
      </c>
      <c r="B163" s="359">
        <f>ROW(A163)</f>
        <v>163</v>
      </c>
      <c r="C163" s="363" t="s">
        <v>115</v>
      </c>
      <c r="D163" s="353">
        <f>SUM(B166:Y166)</f>
        <v>59.702267000000006</v>
      </c>
      <c r="E163" s="363" t="s">
        <v>114</v>
      </c>
      <c r="F163" s="354">
        <f>D163/g/J163</f>
        <v>190.77924771281306</v>
      </c>
      <c r="G163" s="363" t="s">
        <v>56</v>
      </c>
      <c r="H163" s="64">
        <v>9.3899999999999997E-2</v>
      </c>
      <c r="I163" s="363" t="s">
        <v>271</v>
      </c>
      <c r="J163" s="355">
        <f>H163-L163</f>
        <v>3.1899999999999998E-2</v>
      </c>
      <c r="K163" s="363" t="s">
        <v>272</v>
      </c>
      <c r="L163" s="64">
        <f>0.095-0.033</f>
        <v>6.2E-2</v>
      </c>
      <c r="M163" s="363" t="s">
        <v>57</v>
      </c>
      <c r="N163" s="396">
        <v>66.5</v>
      </c>
      <c r="O163" s="363" t="s">
        <v>59</v>
      </c>
      <c r="P163" s="396">
        <v>66.5</v>
      </c>
      <c r="Q163" s="363" t="s">
        <v>60</v>
      </c>
      <c r="R163" s="65">
        <v>133</v>
      </c>
      <c r="S163" s="363" t="s">
        <v>61</v>
      </c>
      <c r="T163" s="65">
        <v>24</v>
      </c>
      <c r="U163" s="363" t="s">
        <v>54</v>
      </c>
      <c r="V163" s="66" t="s">
        <v>399</v>
      </c>
      <c r="W163" s="463" t="s">
        <v>394</v>
      </c>
      <c r="X163" s="465">
        <v>1.2</v>
      </c>
      <c r="Y163" s="463" t="s">
        <v>393</v>
      </c>
      <c r="Z163" s="358">
        <v>13</v>
      </c>
    </row>
    <row r="164" spans="1:26" x14ac:dyDescent="0.2">
      <c r="A164" s="362" t="s">
        <v>33</v>
      </c>
      <c r="B164" s="370">
        <v>0</v>
      </c>
      <c r="C164" s="371">
        <v>1.4999999999999999E-2</v>
      </c>
      <c r="D164" s="371">
        <v>2.1999999999999999E-2</v>
      </c>
      <c r="E164" s="371">
        <v>6.4000000000000001E-2</v>
      </c>
      <c r="F164" s="371">
        <v>0.11799999999999999</v>
      </c>
      <c r="G164" s="371">
        <v>0.34200000000000003</v>
      </c>
      <c r="H164" s="371">
        <v>0.53600000000000003</v>
      </c>
      <c r="I164" s="371">
        <v>0.74299999999999999</v>
      </c>
      <c r="J164" s="371">
        <v>0.88400000000000001</v>
      </c>
      <c r="K164" s="371">
        <v>0.97599999999999998</v>
      </c>
      <c r="L164" s="371">
        <v>1.0960000000000001</v>
      </c>
      <c r="M164" s="371">
        <v>1.246</v>
      </c>
      <c r="N164" s="371">
        <v>1.298</v>
      </c>
      <c r="O164" s="371">
        <v>2</v>
      </c>
      <c r="P164" s="371">
        <v>2</v>
      </c>
      <c r="Q164" s="371">
        <v>2</v>
      </c>
      <c r="R164" s="371">
        <v>2</v>
      </c>
      <c r="S164" s="371">
        <v>2</v>
      </c>
      <c r="T164" s="371">
        <v>2</v>
      </c>
      <c r="U164" s="371">
        <v>2</v>
      </c>
      <c r="V164" s="371">
        <v>2</v>
      </c>
      <c r="W164" s="371">
        <v>2</v>
      </c>
      <c r="X164" s="371">
        <f t="shared" ref="T164:X165" si="58">W164</f>
        <v>2</v>
      </c>
      <c r="Y164" s="381">
        <v>1000</v>
      </c>
    </row>
    <row r="165" spans="1:26" x14ac:dyDescent="0.2">
      <c r="A165" s="378" t="s">
        <v>34</v>
      </c>
      <c r="B165" s="372">
        <v>0</v>
      </c>
      <c r="C165" s="373">
        <v>64.981999999999999</v>
      </c>
      <c r="D165" s="373">
        <v>69.516000000000005</v>
      </c>
      <c r="E165" s="373">
        <v>55.536999999999999</v>
      </c>
      <c r="F165" s="373">
        <v>62.81</v>
      </c>
      <c r="G165" s="373">
        <v>62.149000000000001</v>
      </c>
      <c r="H165" s="373">
        <v>59.41</v>
      </c>
      <c r="I165" s="373">
        <v>53.837000000000003</v>
      </c>
      <c r="J165" s="373">
        <v>46.942</v>
      </c>
      <c r="K165" s="373">
        <v>40.046999999999997</v>
      </c>
      <c r="L165" s="373">
        <v>12.561999999999999</v>
      </c>
      <c r="M165" s="373">
        <v>2.0779999999999998</v>
      </c>
      <c r="N165" s="373">
        <v>0</v>
      </c>
      <c r="O165" s="373">
        <v>0</v>
      </c>
      <c r="P165" s="373">
        <v>0</v>
      </c>
      <c r="Q165" s="373">
        <v>0</v>
      </c>
      <c r="R165" s="373">
        <v>0</v>
      </c>
      <c r="S165" s="373">
        <v>0</v>
      </c>
      <c r="T165" s="373">
        <f t="shared" si="58"/>
        <v>0</v>
      </c>
      <c r="U165" s="373">
        <f t="shared" si="58"/>
        <v>0</v>
      </c>
      <c r="V165" s="373">
        <f t="shared" si="58"/>
        <v>0</v>
      </c>
      <c r="W165" s="373">
        <f t="shared" si="58"/>
        <v>0</v>
      </c>
      <c r="X165" s="373">
        <f t="shared" si="58"/>
        <v>0</v>
      </c>
      <c r="Y165" s="382">
        <v>0</v>
      </c>
    </row>
    <row r="166" spans="1:26" ht="13.5" thickBot="1" x14ac:dyDescent="0.25">
      <c r="A166" s="379" t="s">
        <v>116</v>
      </c>
      <c r="B166" s="374">
        <f t="shared" ref="B166:V166" si="59">(C165+B165)*(C164-B164)/2</f>
        <v>0.48736499999999999</v>
      </c>
      <c r="C166" s="375">
        <f t="shared" si="59"/>
        <v>0.47074299999999991</v>
      </c>
      <c r="D166" s="375">
        <f t="shared" si="59"/>
        <v>2.6261130000000001</v>
      </c>
      <c r="E166" s="375">
        <f t="shared" si="59"/>
        <v>3.1953689999999999</v>
      </c>
      <c r="F166" s="375">
        <f t="shared" si="59"/>
        <v>13.995408000000003</v>
      </c>
      <c r="G166" s="375">
        <f t="shared" si="59"/>
        <v>11.791223</v>
      </c>
      <c r="H166" s="375">
        <f t="shared" si="59"/>
        <v>11.721064499999997</v>
      </c>
      <c r="I166" s="375">
        <f t="shared" si="59"/>
        <v>7.1049195000000003</v>
      </c>
      <c r="J166" s="375">
        <f>(K165+J165)*(K164-J164)/2</f>
        <v>4.0014939999999992</v>
      </c>
      <c r="K166" s="375">
        <f t="shared" si="59"/>
        <v>3.1565400000000023</v>
      </c>
      <c r="L166" s="375">
        <f t="shared" si="59"/>
        <v>1.0979999999999992</v>
      </c>
      <c r="M166" s="375">
        <f t="shared" si="59"/>
        <v>5.4028000000000041E-2</v>
      </c>
      <c r="N166" s="375">
        <f t="shared" si="59"/>
        <v>0</v>
      </c>
      <c r="O166" s="375">
        <f t="shared" si="59"/>
        <v>0</v>
      </c>
      <c r="P166" s="375">
        <f t="shared" si="59"/>
        <v>0</v>
      </c>
      <c r="Q166" s="375">
        <f t="shared" si="59"/>
        <v>0</v>
      </c>
      <c r="R166" s="375">
        <f t="shared" si="59"/>
        <v>0</v>
      </c>
      <c r="S166" s="375">
        <f>(T165+S165)*(T164-S164)/2</f>
        <v>0</v>
      </c>
      <c r="T166" s="375">
        <f t="shared" si="59"/>
        <v>0</v>
      </c>
      <c r="U166" s="375">
        <f t="shared" si="59"/>
        <v>0</v>
      </c>
      <c r="V166" s="375">
        <f t="shared" si="59"/>
        <v>0</v>
      </c>
      <c r="W166" s="375">
        <f>(X165+W165)*(X164-W164)/2</f>
        <v>0</v>
      </c>
      <c r="X166" s="375">
        <f>(Y165+X165)*(Y164-X164)/2</f>
        <v>0</v>
      </c>
      <c r="Y166" s="369"/>
    </row>
    <row r="167" spans="1:26" ht="13.5" thickBot="1" x14ac:dyDescent="0.25"/>
    <row r="168" spans="1:26" ht="13.5" thickBot="1" x14ac:dyDescent="0.25">
      <c r="A168" s="361" t="s">
        <v>322</v>
      </c>
      <c r="B168" s="359">
        <f>ROW(A168)</f>
        <v>168</v>
      </c>
      <c r="C168" s="363" t="s">
        <v>115</v>
      </c>
      <c r="D168" s="353">
        <f>SUM(B171:Y171)</f>
        <v>68.380602999999994</v>
      </c>
      <c r="E168" s="363" t="s">
        <v>114</v>
      </c>
      <c r="F168" s="354">
        <f>D168/g/J168</f>
        <v>134.04807300243078</v>
      </c>
      <c r="G168" s="363" t="s">
        <v>56</v>
      </c>
      <c r="H168" s="64">
        <v>0.1075</v>
      </c>
      <c r="I168" s="363" t="s">
        <v>271</v>
      </c>
      <c r="J168" s="355">
        <f>H168-L168</f>
        <v>5.1999999999999998E-2</v>
      </c>
      <c r="K168" s="363" t="s">
        <v>272</v>
      </c>
      <c r="L168" s="64">
        <v>5.5500000000000001E-2</v>
      </c>
      <c r="M168" s="363" t="s">
        <v>57</v>
      </c>
      <c r="N168" s="396">
        <v>66.5</v>
      </c>
      <c r="O168" s="363" t="s">
        <v>59</v>
      </c>
      <c r="P168" s="396">
        <v>66.5</v>
      </c>
      <c r="Q168" s="363" t="s">
        <v>60</v>
      </c>
      <c r="R168" s="65">
        <v>133</v>
      </c>
      <c r="S168" s="363" t="s">
        <v>61</v>
      </c>
      <c r="T168" s="65">
        <v>24</v>
      </c>
      <c r="U168" s="363" t="s">
        <v>54</v>
      </c>
      <c r="V168" s="66" t="s">
        <v>399</v>
      </c>
      <c r="W168" s="463" t="s">
        <v>394</v>
      </c>
      <c r="X168" s="465">
        <v>0.86</v>
      </c>
      <c r="Y168" s="463" t="s">
        <v>393</v>
      </c>
      <c r="Z168" s="358">
        <v>13</v>
      </c>
    </row>
    <row r="169" spans="1:26" x14ac:dyDescent="0.2">
      <c r="A169" s="362" t="s">
        <v>33</v>
      </c>
      <c r="B169" s="370">
        <v>0</v>
      </c>
      <c r="C169" s="371">
        <v>5.0000000000000001E-3</v>
      </c>
      <c r="D169" s="371">
        <v>1.2999999999999999E-2</v>
      </c>
      <c r="E169" s="371">
        <v>2.1999999999999999E-2</v>
      </c>
      <c r="F169" s="371">
        <v>4.2999999999999997E-2</v>
      </c>
      <c r="G169" s="371">
        <v>0.11899999999999999</v>
      </c>
      <c r="H169" s="371">
        <v>0.19800000000000001</v>
      </c>
      <c r="I169" s="371">
        <v>0.26700000000000002</v>
      </c>
      <c r="J169" s="371">
        <v>0.34300000000000003</v>
      </c>
      <c r="K169" s="371">
        <v>0.40400000000000003</v>
      </c>
      <c r="L169" s="371">
        <v>0.498</v>
      </c>
      <c r="M169" s="371">
        <v>0.55500000000000005</v>
      </c>
      <c r="N169" s="371">
        <v>0.622</v>
      </c>
      <c r="O169" s="371">
        <v>0.66300000000000003</v>
      </c>
      <c r="P169" s="371">
        <v>0.70399999999999996</v>
      </c>
      <c r="Q169" s="371">
        <v>0.72899999999999998</v>
      </c>
      <c r="R169" s="371">
        <v>0.747</v>
      </c>
      <c r="S169" s="371">
        <v>0.76800000000000002</v>
      </c>
      <c r="T169" s="371">
        <v>0.82099999999999995</v>
      </c>
      <c r="U169" s="371">
        <v>0.85199999999999998</v>
      </c>
      <c r="V169" s="371">
        <v>0.89200000000000002</v>
      </c>
      <c r="W169" s="371">
        <v>1</v>
      </c>
      <c r="X169" s="371">
        <v>2</v>
      </c>
      <c r="Y169" s="381">
        <v>1000</v>
      </c>
    </row>
    <row r="170" spans="1:26" x14ac:dyDescent="0.2">
      <c r="A170" s="378" t="s">
        <v>34</v>
      </c>
      <c r="B170" s="372">
        <v>0</v>
      </c>
      <c r="C170" s="373">
        <v>60</v>
      </c>
      <c r="D170" s="373">
        <v>89.007000000000005</v>
      </c>
      <c r="E170" s="373">
        <v>96.290999999999997</v>
      </c>
      <c r="F170" s="373">
        <v>81.721999999999994</v>
      </c>
      <c r="G170" s="373">
        <v>85.563000000000002</v>
      </c>
      <c r="H170" s="373">
        <v>87.947000000000003</v>
      </c>
      <c r="I170" s="373">
        <v>89.272000000000006</v>
      </c>
      <c r="J170" s="373">
        <v>89.933999999999997</v>
      </c>
      <c r="K170" s="373">
        <v>90.861000000000004</v>
      </c>
      <c r="L170" s="373">
        <v>91.522999999999996</v>
      </c>
      <c r="M170" s="373">
        <v>89.668999999999997</v>
      </c>
      <c r="N170" s="373">
        <v>83.974000000000004</v>
      </c>
      <c r="O170" s="373">
        <v>80.53</v>
      </c>
      <c r="P170" s="373">
        <v>78.94</v>
      </c>
      <c r="Q170" s="373">
        <v>74.171999999999997</v>
      </c>
      <c r="R170" s="373">
        <v>66.887</v>
      </c>
      <c r="S170" s="373">
        <v>53.774999999999999</v>
      </c>
      <c r="T170" s="373">
        <v>18.542999999999999</v>
      </c>
      <c r="U170" s="373">
        <v>7.8150000000000004</v>
      </c>
      <c r="V170" s="373">
        <v>2.1190000000000002</v>
      </c>
      <c r="W170" s="373">
        <v>0</v>
      </c>
      <c r="X170" s="373">
        <v>0</v>
      </c>
      <c r="Y170" s="382">
        <v>0</v>
      </c>
    </row>
    <row r="171" spans="1:26" ht="13.5" thickBot="1" x14ac:dyDescent="0.25">
      <c r="A171" s="379" t="s">
        <v>116</v>
      </c>
      <c r="B171" s="374">
        <f t="shared" ref="B171:X171" si="60">(C170+B170)*(C169-B169)/2</f>
        <v>0.15</v>
      </c>
      <c r="C171" s="375">
        <f t="shared" si="60"/>
        <v>0.596028</v>
      </c>
      <c r="D171" s="375">
        <f t="shared" si="60"/>
        <v>0.83384099999999994</v>
      </c>
      <c r="E171" s="375">
        <f t="shared" si="60"/>
        <v>1.8691364999999995</v>
      </c>
      <c r="F171" s="375">
        <f t="shared" si="60"/>
        <v>6.3568299999999995</v>
      </c>
      <c r="G171" s="375">
        <f t="shared" si="60"/>
        <v>6.8536450000000011</v>
      </c>
      <c r="H171" s="375">
        <f t="shared" si="60"/>
        <v>6.1140555000000001</v>
      </c>
      <c r="I171" s="375">
        <f t="shared" si="60"/>
        <v>6.8098280000000013</v>
      </c>
      <c r="J171" s="375">
        <f t="shared" si="60"/>
        <v>5.5142475000000006</v>
      </c>
      <c r="K171" s="375">
        <f t="shared" si="60"/>
        <v>8.5720479999999988</v>
      </c>
      <c r="L171" s="375">
        <f t="shared" si="60"/>
        <v>5.1639720000000047</v>
      </c>
      <c r="M171" s="375">
        <f t="shared" si="60"/>
        <v>5.8170404999999956</v>
      </c>
      <c r="N171" s="375">
        <f t="shared" si="60"/>
        <v>3.3723320000000032</v>
      </c>
      <c r="O171" s="375">
        <f t="shared" si="60"/>
        <v>3.2691349999999941</v>
      </c>
      <c r="P171" s="375">
        <f t="shared" si="60"/>
        <v>1.9139000000000017</v>
      </c>
      <c r="Q171" s="375">
        <f t="shared" si="60"/>
        <v>1.2695310000000011</v>
      </c>
      <c r="R171" s="375">
        <f t="shared" si="60"/>
        <v>1.2669510000000013</v>
      </c>
      <c r="S171" s="375">
        <f t="shared" si="60"/>
        <v>1.9164269999999977</v>
      </c>
      <c r="T171" s="375">
        <f t="shared" si="60"/>
        <v>0.40854900000000038</v>
      </c>
      <c r="U171" s="375">
        <f t="shared" si="60"/>
        <v>0.19868000000000019</v>
      </c>
      <c r="V171" s="375">
        <f t="shared" si="60"/>
        <v>0.114426</v>
      </c>
      <c r="W171" s="375">
        <f t="shared" si="60"/>
        <v>0</v>
      </c>
      <c r="X171" s="375">
        <f t="shared" si="60"/>
        <v>0</v>
      </c>
      <c r="Y171" s="369"/>
    </row>
    <row r="172" spans="1:26" ht="13.5" thickBot="1" x14ac:dyDescent="0.25">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row>
    <row r="173" spans="1:26" ht="13.5" thickBot="1" x14ac:dyDescent="0.25">
      <c r="A173" s="361" t="s">
        <v>323</v>
      </c>
      <c r="B173" s="359">
        <f>ROW(A173)</f>
        <v>173</v>
      </c>
      <c r="C173" s="363" t="s">
        <v>115</v>
      </c>
      <c r="D173" s="353">
        <f>SUM(B176:Y176)</f>
        <v>67.985428500000012</v>
      </c>
      <c r="E173" s="363" t="s">
        <v>114</v>
      </c>
      <c r="F173" s="354">
        <f>D173/g/J173</f>
        <v>181.89545859519862</v>
      </c>
      <c r="G173" s="363" t="s">
        <v>56</v>
      </c>
      <c r="H173" s="64">
        <v>9.1799999999999993E-2</v>
      </c>
      <c r="I173" s="363" t="s">
        <v>271</v>
      </c>
      <c r="J173" s="355">
        <f>H173-L173</f>
        <v>3.8099999999999988E-2</v>
      </c>
      <c r="K173" s="363" t="s">
        <v>272</v>
      </c>
      <c r="L173" s="64">
        <v>5.3700000000000005E-2</v>
      </c>
      <c r="M173" s="363" t="s">
        <v>57</v>
      </c>
      <c r="N173" s="396">
        <v>66.5</v>
      </c>
      <c r="O173" s="363" t="s">
        <v>59</v>
      </c>
      <c r="P173" s="396">
        <v>66.5</v>
      </c>
      <c r="Q173" s="363" t="s">
        <v>60</v>
      </c>
      <c r="R173" s="65">
        <v>133</v>
      </c>
      <c r="S173" s="363" t="s">
        <v>61</v>
      </c>
      <c r="T173" s="65">
        <v>24</v>
      </c>
      <c r="U173" s="363" t="s">
        <v>54</v>
      </c>
      <c r="V173" s="66" t="s">
        <v>399</v>
      </c>
      <c r="W173" s="463" t="s">
        <v>394</v>
      </c>
      <c r="X173" s="465">
        <v>0.33</v>
      </c>
      <c r="Y173" s="463" t="s">
        <v>393</v>
      </c>
      <c r="Z173" s="358">
        <v>15</v>
      </c>
    </row>
    <row r="174" spans="1:26" x14ac:dyDescent="0.2">
      <c r="A174" s="362" t="s">
        <v>33</v>
      </c>
      <c r="B174" s="370">
        <v>0</v>
      </c>
      <c r="C174" s="371">
        <v>4.0000000000000001E-3</v>
      </c>
      <c r="D174" s="371">
        <v>7.0000000000000001E-3</v>
      </c>
      <c r="E174" s="371">
        <v>0.01</v>
      </c>
      <c r="F174" s="371">
        <v>2.1999999999999999E-2</v>
      </c>
      <c r="G174" s="371">
        <v>2.8000000000000001E-2</v>
      </c>
      <c r="H174" s="371">
        <v>4.1000000000000002E-2</v>
      </c>
      <c r="I174" s="371">
        <v>5.8000000000000003E-2</v>
      </c>
      <c r="J174" s="371">
        <v>7.6999999999999999E-2</v>
      </c>
      <c r="K174" s="371">
        <v>8.8999999999999996E-2</v>
      </c>
      <c r="L174" s="371">
        <v>9.7000000000000003E-2</v>
      </c>
      <c r="M174" s="371">
        <v>0.11899999999999999</v>
      </c>
      <c r="N174" s="371">
        <v>0.14699999999999999</v>
      </c>
      <c r="O174" s="371">
        <v>0.17699999999999999</v>
      </c>
      <c r="P174" s="371">
        <v>0.20699999999999999</v>
      </c>
      <c r="Q174" s="371">
        <v>0.253</v>
      </c>
      <c r="R174" s="371">
        <v>0.25900000000000001</v>
      </c>
      <c r="S174" s="371">
        <v>0.27200000000000002</v>
      </c>
      <c r="T174" s="371">
        <v>0.28000000000000003</v>
      </c>
      <c r="U174" s="371">
        <v>0.28599999999999998</v>
      </c>
      <c r="V174" s="371">
        <v>0.29399999999999998</v>
      </c>
      <c r="W174" s="371">
        <v>0.32800000000000001</v>
      </c>
      <c r="X174" s="371">
        <v>2</v>
      </c>
      <c r="Y174" s="381">
        <v>1000</v>
      </c>
    </row>
    <row r="175" spans="1:26" x14ac:dyDescent="0.2">
      <c r="A175" s="378" t="s">
        <v>34</v>
      </c>
      <c r="B175" s="372">
        <v>0</v>
      </c>
      <c r="C175" s="376">
        <v>100.52800000000001</v>
      </c>
      <c r="D175" s="376">
        <v>197.49299999999999</v>
      </c>
      <c r="E175" s="376">
        <v>222.03200000000001</v>
      </c>
      <c r="F175" s="376">
        <v>241.42500000000001</v>
      </c>
      <c r="G175" s="376">
        <v>237.863</v>
      </c>
      <c r="H175" s="376">
        <v>239.446</v>
      </c>
      <c r="I175" s="376">
        <v>252.50700000000001</v>
      </c>
      <c r="J175" s="376">
        <v>263.98399999999998</v>
      </c>
      <c r="K175" s="376">
        <v>275.46199999999999</v>
      </c>
      <c r="L175" s="376">
        <v>271.50400000000002</v>
      </c>
      <c r="M175" s="376">
        <v>278.62799999999999</v>
      </c>
      <c r="N175" s="376">
        <v>281.39800000000002</v>
      </c>
      <c r="O175" s="376">
        <v>272.29599999999999</v>
      </c>
      <c r="P175" s="376">
        <v>258.44299999999998</v>
      </c>
      <c r="Q175" s="376">
        <v>218.47</v>
      </c>
      <c r="R175" s="376">
        <v>188.786</v>
      </c>
      <c r="S175" s="376">
        <v>74.802000000000007</v>
      </c>
      <c r="T175" s="376">
        <v>31.265999999999998</v>
      </c>
      <c r="U175" s="376">
        <v>15.831</v>
      </c>
      <c r="V175" s="376">
        <v>8.7070000000000007</v>
      </c>
      <c r="W175" s="376">
        <v>0</v>
      </c>
      <c r="X175" s="373">
        <v>0</v>
      </c>
      <c r="Y175" s="382">
        <v>0</v>
      </c>
    </row>
    <row r="176" spans="1:26" ht="13.5" thickBot="1" x14ac:dyDescent="0.25">
      <c r="A176" s="379" t="s">
        <v>116</v>
      </c>
      <c r="B176" s="374">
        <f t="shared" ref="B176:X176" si="61">(C175+B175)*(C174-B174)/2</f>
        <v>0.20105600000000001</v>
      </c>
      <c r="C176" s="375">
        <f t="shared" si="61"/>
        <v>0.44703150000000003</v>
      </c>
      <c r="D176" s="375">
        <f t="shared" si="61"/>
        <v>0.6292875</v>
      </c>
      <c r="E176" s="375">
        <f t="shared" si="61"/>
        <v>2.7807419999999996</v>
      </c>
      <c r="F176" s="375">
        <f t="shared" si="61"/>
        <v>1.4378640000000005</v>
      </c>
      <c r="G176" s="375">
        <f t="shared" si="61"/>
        <v>3.1025084999999999</v>
      </c>
      <c r="H176" s="375">
        <f t="shared" si="61"/>
        <v>4.1816005000000001</v>
      </c>
      <c r="I176" s="375">
        <f t="shared" si="61"/>
        <v>4.9066644999999989</v>
      </c>
      <c r="J176" s="375">
        <f t="shared" si="61"/>
        <v>3.2366759999999988</v>
      </c>
      <c r="K176" s="375">
        <f t="shared" si="61"/>
        <v>2.187864000000002</v>
      </c>
      <c r="L176" s="375">
        <f t="shared" si="61"/>
        <v>6.0514519999999985</v>
      </c>
      <c r="M176" s="375">
        <f t="shared" si="61"/>
        <v>7.8403640000000001</v>
      </c>
      <c r="N176" s="375">
        <f t="shared" si="61"/>
        <v>8.3054099999999984</v>
      </c>
      <c r="O176" s="375">
        <f t="shared" si="61"/>
        <v>7.9610850000000006</v>
      </c>
      <c r="P176" s="375">
        <f t="shared" si="61"/>
        <v>10.968999000000004</v>
      </c>
      <c r="Q176" s="375">
        <f t="shared" si="61"/>
        <v>1.2217680000000011</v>
      </c>
      <c r="R176" s="375">
        <f t="shared" si="61"/>
        <v>1.7133220000000016</v>
      </c>
      <c r="S176" s="375">
        <f t="shared" si="61"/>
        <v>0.42427200000000043</v>
      </c>
      <c r="T176" s="375">
        <f t="shared" si="61"/>
        <v>0.14129099999999881</v>
      </c>
      <c r="U176" s="375">
        <f t="shared" si="61"/>
        <v>9.8152000000000086E-2</v>
      </c>
      <c r="V176" s="375">
        <f t="shared" si="61"/>
        <v>0.14801900000000015</v>
      </c>
      <c r="W176" s="375">
        <f t="shared" si="61"/>
        <v>0</v>
      </c>
      <c r="X176" s="375">
        <f t="shared" si="61"/>
        <v>0</v>
      </c>
      <c r="Y176" s="369"/>
    </row>
    <row r="177" spans="1:26" ht="13.5" thickBot="1" x14ac:dyDescent="0.25">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row>
    <row r="178" spans="1:26" ht="13.5" thickBot="1" x14ac:dyDescent="0.25">
      <c r="A178" s="361" t="s">
        <v>324</v>
      </c>
      <c r="B178" s="359">
        <f>ROW(A178)</f>
        <v>178</v>
      </c>
      <c r="C178" s="363" t="s">
        <v>115</v>
      </c>
      <c r="D178" s="353">
        <f>SUM(B181:Y181)</f>
        <v>73.557381500000005</v>
      </c>
      <c r="E178" s="363" t="s">
        <v>114</v>
      </c>
      <c r="F178" s="354">
        <f>D178/g/J178</f>
        <v>156.86619302308719</v>
      </c>
      <c r="G178" s="363" t="s">
        <v>56</v>
      </c>
      <c r="H178" s="64">
        <v>0.1022</v>
      </c>
      <c r="I178" s="363" t="s">
        <v>271</v>
      </c>
      <c r="J178" s="355">
        <f>H178-L178</f>
        <v>4.7800000000000002E-2</v>
      </c>
      <c r="K178" s="363" t="s">
        <v>272</v>
      </c>
      <c r="L178" s="64">
        <v>5.4399999999999997E-2</v>
      </c>
      <c r="M178" s="363" t="s">
        <v>57</v>
      </c>
      <c r="N178" s="396">
        <v>66.5</v>
      </c>
      <c r="O178" s="363" t="s">
        <v>59</v>
      </c>
      <c r="P178" s="396">
        <v>66.5</v>
      </c>
      <c r="Q178" s="363" t="s">
        <v>60</v>
      </c>
      <c r="R178" s="65">
        <v>133</v>
      </c>
      <c r="S178" s="363" t="s">
        <v>61</v>
      </c>
      <c r="T178" s="65">
        <v>24</v>
      </c>
      <c r="U178" s="363" t="s">
        <v>54</v>
      </c>
      <c r="V178" s="66" t="s">
        <v>399</v>
      </c>
      <c r="W178" s="463" t="s">
        <v>394</v>
      </c>
      <c r="X178" s="465">
        <v>2.36</v>
      </c>
      <c r="Y178" s="463" t="s">
        <v>393</v>
      </c>
      <c r="Z178" s="358">
        <v>6</v>
      </c>
    </row>
    <row r="179" spans="1:26" x14ac:dyDescent="0.2">
      <c r="A179" s="362" t="s">
        <v>33</v>
      </c>
      <c r="B179" s="370">
        <v>0</v>
      </c>
      <c r="C179" s="371">
        <v>1.4E-2</v>
      </c>
      <c r="D179" s="371">
        <v>5.6000000000000001E-2</v>
      </c>
      <c r="E179" s="371">
        <v>9.1999999999999998E-2</v>
      </c>
      <c r="F179" s="371">
        <v>0.16</v>
      </c>
      <c r="G179" s="371">
        <v>0.23200000000000001</v>
      </c>
      <c r="H179" s="371">
        <v>0.36299999999999999</v>
      </c>
      <c r="I179" s="371">
        <v>0.499</v>
      </c>
      <c r="J179" s="371">
        <v>0.65500000000000003</v>
      </c>
      <c r="K179" s="371">
        <v>0.84299999999999997</v>
      </c>
      <c r="L179" s="371">
        <v>1.216</v>
      </c>
      <c r="M179" s="371">
        <v>1.3680000000000001</v>
      </c>
      <c r="N179" s="371">
        <v>1.54</v>
      </c>
      <c r="O179" s="371">
        <v>1.675</v>
      </c>
      <c r="P179" s="371">
        <v>1.861</v>
      </c>
      <c r="Q179" s="371">
        <v>2.0129999999999999</v>
      </c>
      <c r="R179" s="371">
        <v>2.1589999999999998</v>
      </c>
      <c r="S179" s="371">
        <v>2.302</v>
      </c>
      <c r="T179" s="371">
        <v>2.4620000000000002</v>
      </c>
      <c r="U179" s="371">
        <v>2.5979999999999999</v>
      </c>
      <c r="V179" s="371">
        <v>2.5979999999999999</v>
      </c>
      <c r="W179" s="371">
        <v>2.5979999999999999</v>
      </c>
      <c r="X179" s="371">
        <v>2.5979999999999999</v>
      </c>
      <c r="Y179" s="381">
        <v>1000</v>
      </c>
    </row>
    <row r="180" spans="1:26" x14ac:dyDescent="0.2">
      <c r="A180" s="378" t="s">
        <v>34</v>
      </c>
      <c r="B180" s="372">
        <v>0</v>
      </c>
      <c r="C180" s="376">
        <v>54.222000000000001</v>
      </c>
      <c r="D180" s="376">
        <v>43.456000000000003</v>
      </c>
      <c r="E180" s="376">
        <v>50.185000000000002</v>
      </c>
      <c r="F180" s="376">
        <v>54.063000000000002</v>
      </c>
      <c r="G180" s="376">
        <v>48.363999999999997</v>
      </c>
      <c r="H180" s="376">
        <v>45.752000000000002</v>
      </c>
      <c r="I180" s="376">
        <v>43.14</v>
      </c>
      <c r="J180" s="376">
        <v>40.29</v>
      </c>
      <c r="K180" s="376">
        <v>37.835999999999999</v>
      </c>
      <c r="L180" s="376">
        <v>32.612000000000002</v>
      </c>
      <c r="M180" s="376">
        <v>30.317</v>
      </c>
      <c r="N180" s="376">
        <v>26.359000000000002</v>
      </c>
      <c r="O180" s="376">
        <v>23.509</v>
      </c>
      <c r="P180" s="376">
        <v>19.077000000000002</v>
      </c>
      <c r="Q180" s="376">
        <v>14.565</v>
      </c>
      <c r="R180" s="376">
        <v>10.053000000000001</v>
      </c>
      <c r="S180" s="376">
        <v>4.8280000000000003</v>
      </c>
      <c r="T180" s="376">
        <v>1.504</v>
      </c>
      <c r="U180" s="373">
        <v>0</v>
      </c>
      <c r="V180" s="373">
        <v>0</v>
      </c>
      <c r="W180" s="373">
        <v>0</v>
      </c>
      <c r="X180" s="373">
        <v>0</v>
      </c>
      <c r="Y180" s="382">
        <v>0</v>
      </c>
    </row>
    <row r="181" spans="1:26" ht="13.5" thickBot="1" x14ac:dyDescent="0.25">
      <c r="A181" s="379" t="s">
        <v>116</v>
      </c>
      <c r="B181" s="374">
        <f t="shared" ref="B181:X181" si="62">(C180+B180)*(C179-B179)/2</f>
        <v>0.379554</v>
      </c>
      <c r="C181" s="375">
        <f t="shared" si="62"/>
        <v>2.0512380000000001</v>
      </c>
      <c r="D181" s="375">
        <f t="shared" si="62"/>
        <v>1.685538</v>
      </c>
      <c r="E181" s="375">
        <f t="shared" si="62"/>
        <v>3.5444320000000005</v>
      </c>
      <c r="F181" s="375">
        <f t="shared" si="62"/>
        <v>3.6873720000000003</v>
      </c>
      <c r="G181" s="375">
        <f t="shared" si="62"/>
        <v>6.1645979999999989</v>
      </c>
      <c r="H181" s="375">
        <f t="shared" si="62"/>
        <v>6.0446559999999998</v>
      </c>
      <c r="I181" s="375">
        <f t="shared" si="62"/>
        <v>6.5075400000000014</v>
      </c>
      <c r="J181" s="375">
        <f t="shared" si="62"/>
        <v>7.343843999999998</v>
      </c>
      <c r="K181" s="375">
        <f t="shared" si="62"/>
        <v>13.138552000000001</v>
      </c>
      <c r="L181" s="375">
        <f t="shared" si="62"/>
        <v>4.7826040000000045</v>
      </c>
      <c r="M181" s="375">
        <f t="shared" si="62"/>
        <v>4.8741359999999982</v>
      </c>
      <c r="N181" s="375">
        <f t="shared" si="62"/>
        <v>3.3660900000000002</v>
      </c>
      <c r="O181" s="375">
        <f t="shared" si="62"/>
        <v>3.9604979999999985</v>
      </c>
      <c r="P181" s="375">
        <f t="shared" si="62"/>
        <v>2.5567919999999988</v>
      </c>
      <c r="Q181" s="375">
        <f t="shared" si="62"/>
        <v>1.797113999999999</v>
      </c>
      <c r="R181" s="375">
        <f t="shared" si="62"/>
        <v>1.0639915000000018</v>
      </c>
      <c r="S181" s="375">
        <f t="shared" si="62"/>
        <v>0.50656000000000045</v>
      </c>
      <c r="T181" s="375">
        <f t="shared" si="62"/>
        <v>0.10227199999999975</v>
      </c>
      <c r="U181" s="375">
        <f t="shared" si="62"/>
        <v>0</v>
      </c>
      <c r="V181" s="375">
        <f t="shared" si="62"/>
        <v>0</v>
      </c>
      <c r="W181" s="375">
        <f t="shared" si="62"/>
        <v>0</v>
      </c>
      <c r="X181" s="375">
        <f t="shared" si="62"/>
        <v>0</v>
      </c>
      <c r="Y181" s="369"/>
    </row>
    <row r="182" spans="1:26" ht="13.5" thickBot="1" x14ac:dyDescent="0.25">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row>
    <row r="183" spans="1:26" ht="13.5" thickBot="1" x14ac:dyDescent="0.25">
      <c r="A183" s="361" t="s">
        <v>325</v>
      </c>
      <c r="B183" s="359">
        <f>ROW(A183)</f>
        <v>183</v>
      </c>
      <c r="C183" s="363" t="s">
        <v>115</v>
      </c>
      <c r="D183" s="353">
        <f>SUM(B186:Y186)</f>
        <v>73.169517999999997</v>
      </c>
      <c r="E183" s="363" t="s">
        <v>114</v>
      </c>
      <c r="F183" s="354">
        <f>D183/g/J183</f>
        <v>177.58729673316827</v>
      </c>
      <c r="G183" s="363" t="s">
        <v>56</v>
      </c>
      <c r="H183" s="64">
        <v>9.6000000000000002E-2</v>
      </c>
      <c r="I183" s="363" t="s">
        <v>271</v>
      </c>
      <c r="J183" s="355">
        <f>H183-L183</f>
        <v>4.2000000000000003E-2</v>
      </c>
      <c r="K183" s="363" t="s">
        <v>272</v>
      </c>
      <c r="L183" s="64">
        <v>5.3999999999999999E-2</v>
      </c>
      <c r="M183" s="363" t="s">
        <v>57</v>
      </c>
      <c r="N183" s="396">
        <v>66.5</v>
      </c>
      <c r="O183" s="363" t="s">
        <v>59</v>
      </c>
      <c r="P183" s="396">
        <v>66.5</v>
      </c>
      <c r="Q183" s="363" t="s">
        <v>60</v>
      </c>
      <c r="R183" s="65">
        <v>133</v>
      </c>
      <c r="S183" s="363" t="s">
        <v>61</v>
      </c>
      <c r="T183" s="65">
        <v>24</v>
      </c>
      <c r="U183" s="363" t="s">
        <v>54</v>
      </c>
      <c r="V183" s="66" t="s">
        <v>400</v>
      </c>
      <c r="W183" s="463" t="s">
        <v>394</v>
      </c>
      <c r="X183" s="465">
        <v>0.87</v>
      </c>
      <c r="Y183" s="463" t="s">
        <v>393</v>
      </c>
      <c r="Z183" s="358">
        <v>15</v>
      </c>
    </row>
    <row r="184" spans="1:26" x14ac:dyDescent="0.2">
      <c r="A184" s="362" t="s">
        <v>33</v>
      </c>
      <c r="B184" s="370">
        <v>0</v>
      </c>
      <c r="C184" s="371">
        <v>0.01</v>
      </c>
      <c r="D184" s="371">
        <v>2.3E-2</v>
      </c>
      <c r="E184" s="371">
        <v>0.04</v>
      </c>
      <c r="F184" s="371">
        <v>0.11799999999999999</v>
      </c>
      <c r="G184" s="371">
        <v>0.28299999999999997</v>
      </c>
      <c r="H184" s="371">
        <v>0.51</v>
      </c>
      <c r="I184" s="371">
        <v>0.68799999999999994</v>
      </c>
      <c r="J184" s="371">
        <v>0.78700000000000003</v>
      </c>
      <c r="K184" s="371">
        <v>0.85199999999999998</v>
      </c>
      <c r="L184" s="371">
        <v>0.873</v>
      </c>
      <c r="M184" s="371">
        <v>0.873</v>
      </c>
      <c r="N184" s="371">
        <v>0.873</v>
      </c>
      <c r="O184" s="371">
        <v>0.873</v>
      </c>
      <c r="P184" s="371">
        <v>0.873</v>
      </c>
      <c r="Q184" s="371">
        <v>0.873</v>
      </c>
      <c r="R184" s="371">
        <v>0.873</v>
      </c>
      <c r="S184" s="371">
        <v>0.873</v>
      </c>
      <c r="T184" s="371">
        <v>0.873</v>
      </c>
      <c r="U184" s="371">
        <v>0.873</v>
      </c>
      <c r="V184" s="371">
        <v>0.873</v>
      </c>
      <c r="W184" s="371">
        <v>0.873</v>
      </c>
      <c r="X184" s="371">
        <v>2</v>
      </c>
      <c r="Y184" s="381">
        <v>1000</v>
      </c>
    </row>
    <row r="185" spans="1:26" x14ac:dyDescent="0.2">
      <c r="A185" s="378" t="s">
        <v>34</v>
      </c>
      <c r="B185" s="372">
        <v>0</v>
      </c>
      <c r="C185" s="376">
        <v>76.073999999999998</v>
      </c>
      <c r="D185" s="376">
        <v>100.185</v>
      </c>
      <c r="E185" s="376">
        <v>92.424999999999997</v>
      </c>
      <c r="F185" s="376">
        <v>100.878</v>
      </c>
      <c r="G185" s="376">
        <v>102.402</v>
      </c>
      <c r="H185" s="376">
        <v>96.442999999999998</v>
      </c>
      <c r="I185" s="376">
        <v>87.436000000000007</v>
      </c>
      <c r="J185" s="376">
        <v>25.911999999999999</v>
      </c>
      <c r="K185" s="376">
        <v>7.2060000000000004</v>
      </c>
      <c r="L185" s="373">
        <v>0</v>
      </c>
      <c r="M185" s="373">
        <v>0</v>
      </c>
      <c r="N185" s="373">
        <v>0</v>
      </c>
      <c r="O185" s="373">
        <v>0</v>
      </c>
      <c r="P185" s="373">
        <v>0</v>
      </c>
      <c r="Q185" s="373">
        <v>0</v>
      </c>
      <c r="R185" s="373">
        <v>0</v>
      </c>
      <c r="S185" s="373">
        <v>0</v>
      </c>
      <c r="T185" s="373">
        <v>0</v>
      </c>
      <c r="U185" s="373">
        <v>0</v>
      </c>
      <c r="V185" s="373">
        <v>0</v>
      </c>
      <c r="W185" s="373">
        <v>0</v>
      </c>
      <c r="X185" s="373">
        <v>0</v>
      </c>
      <c r="Y185" s="382">
        <v>0</v>
      </c>
    </row>
    <row r="186" spans="1:26" ht="13.5" thickBot="1" x14ac:dyDescent="0.25">
      <c r="A186" s="379" t="s">
        <v>116</v>
      </c>
      <c r="B186" s="374">
        <f t="shared" ref="B186:X186" si="63">(C185+B185)*(C184-B184)/2</f>
        <v>0.38036999999999999</v>
      </c>
      <c r="C186" s="375">
        <f t="shared" si="63"/>
        <v>1.1456835000000001</v>
      </c>
      <c r="D186" s="375">
        <f t="shared" si="63"/>
        <v>1.6371850000000003</v>
      </c>
      <c r="E186" s="375">
        <f t="shared" si="63"/>
        <v>7.5388169999999981</v>
      </c>
      <c r="F186" s="375">
        <f t="shared" si="63"/>
        <v>16.770599999999998</v>
      </c>
      <c r="G186" s="375">
        <f t="shared" si="63"/>
        <v>22.568907500000002</v>
      </c>
      <c r="H186" s="375">
        <f t="shared" si="63"/>
        <v>16.365230999999994</v>
      </c>
      <c r="I186" s="375">
        <f t="shared" si="63"/>
        <v>5.6107260000000059</v>
      </c>
      <c r="J186" s="375">
        <f t="shared" si="63"/>
        <v>1.0763349999999992</v>
      </c>
      <c r="K186" s="375">
        <f t="shared" si="63"/>
        <v>7.5663000000000077E-2</v>
      </c>
      <c r="L186" s="375">
        <f t="shared" si="63"/>
        <v>0</v>
      </c>
      <c r="M186" s="375">
        <f t="shared" si="63"/>
        <v>0</v>
      </c>
      <c r="N186" s="375">
        <f t="shared" si="63"/>
        <v>0</v>
      </c>
      <c r="O186" s="375">
        <f t="shared" si="63"/>
        <v>0</v>
      </c>
      <c r="P186" s="375">
        <f t="shared" si="63"/>
        <v>0</v>
      </c>
      <c r="Q186" s="375">
        <f t="shared" si="63"/>
        <v>0</v>
      </c>
      <c r="R186" s="375">
        <f t="shared" si="63"/>
        <v>0</v>
      </c>
      <c r="S186" s="375">
        <f t="shared" si="63"/>
        <v>0</v>
      </c>
      <c r="T186" s="375">
        <f t="shared" si="63"/>
        <v>0</v>
      </c>
      <c r="U186" s="375">
        <f t="shared" si="63"/>
        <v>0</v>
      </c>
      <c r="V186" s="375">
        <f t="shared" si="63"/>
        <v>0</v>
      </c>
      <c r="W186" s="375">
        <f t="shared" si="63"/>
        <v>0</v>
      </c>
      <c r="X186" s="375">
        <f t="shared" si="63"/>
        <v>0</v>
      </c>
      <c r="Y186" s="369"/>
    </row>
    <row r="187" spans="1:26" ht="13.5" thickBot="1" x14ac:dyDescent="0.25">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row>
    <row r="188" spans="1:26" ht="13.5" thickBot="1" x14ac:dyDescent="0.25">
      <c r="A188" s="361" t="s">
        <v>326</v>
      </c>
      <c r="B188" s="359">
        <f>ROW(A188)</f>
        <v>188</v>
      </c>
      <c r="C188" s="363" t="s">
        <v>115</v>
      </c>
      <c r="D188" s="353">
        <f>SUM(B191:Y191)</f>
        <v>75.254384000000016</v>
      </c>
      <c r="E188" s="363" t="s">
        <v>114</v>
      </c>
      <c r="F188" s="354">
        <f>D188/g/J188</f>
        <v>232.46033422914161</v>
      </c>
      <c r="G188" s="363" t="s">
        <v>56</v>
      </c>
      <c r="H188" s="64">
        <v>9.5000000000000001E-2</v>
      </c>
      <c r="I188" s="363" t="s">
        <v>271</v>
      </c>
      <c r="J188" s="355">
        <f>H188-L188</f>
        <v>3.3000000000000002E-2</v>
      </c>
      <c r="K188" s="363" t="s">
        <v>272</v>
      </c>
      <c r="L188" s="64">
        <f>0.095-0.033</f>
        <v>6.2E-2</v>
      </c>
      <c r="M188" s="363" t="s">
        <v>57</v>
      </c>
      <c r="N188" s="396">
        <v>66.5</v>
      </c>
      <c r="O188" s="363" t="s">
        <v>59</v>
      </c>
      <c r="P188" s="396">
        <v>66.5</v>
      </c>
      <c r="Q188" s="363" t="s">
        <v>60</v>
      </c>
      <c r="R188" s="65">
        <v>133</v>
      </c>
      <c r="S188" s="363" t="s">
        <v>61</v>
      </c>
      <c r="T188" s="65">
        <v>24</v>
      </c>
      <c r="U188" s="363" t="s">
        <v>54</v>
      </c>
      <c r="V188" s="66" t="s">
        <v>400</v>
      </c>
      <c r="W188" s="463" t="s">
        <v>394</v>
      </c>
      <c r="X188" s="465">
        <v>1.5</v>
      </c>
      <c r="Y188" s="463" t="s">
        <v>393</v>
      </c>
      <c r="Z188" s="358">
        <v>12</v>
      </c>
    </row>
    <row r="189" spans="1:26" x14ac:dyDescent="0.2">
      <c r="A189" s="362" t="s">
        <v>33</v>
      </c>
      <c r="B189" s="370">
        <v>0</v>
      </c>
      <c r="C189" s="371">
        <v>0.02</v>
      </c>
      <c r="D189" s="371">
        <v>3.1E-2</v>
      </c>
      <c r="E189" s="371">
        <v>6.2E-2</v>
      </c>
      <c r="F189" s="371">
        <v>0.11700000000000001</v>
      </c>
      <c r="G189" s="371">
        <v>1.2110000000000001</v>
      </c>
      <c r="H189" s="371">
        <v>1.3759999999999999</v>
      </c>
      <c r="I189" s="371">
        <v>1.456</v>
      </c>
      <c r="J189" s="371">
        <v>1.532</v>
      </c>
      <c r="K189" s="371">
        <v>1.577</v>
      </c>
      <c r="L189" s="371">
        <v>2</v>
      </c>
      <c r="M189" s="371">
        <v>2</v>
      </c>
      <c r="N189" s="371">
        <v>2</v>
      </c>
      <c r="O189" s="371">
        <v>2</v>
      </c>
      <c r="P189" s="371">
        <v>2</v>
      </c>
      <c r="Q189" s="371">
        <v>2</v>
      </c>
      <c r="R189" s="371">
        <v>2</v>
      </c>
      <c r="S189" s="371">
        <v>2</v>
      </c>
      <c r="T189" s="371">
        <v>2</v>
      </c>
      <c r="U189" s="371">
        <v>2</v>
      </c>
      <c r="V189" s="371">
        <v>2</v>
      </c>
      <c r="W189" s="371">
        <v>2</v>
      </c>
      <c r="X189" s="371">
        <f t="shared" ref="T189:X190" si="64">W189</f>
        <v>2</v>
      </c>
      <c r="Y189" s="381">
        <v>1000</v>
      </c>
    </row>
    <row r="190" spans="1:26" x14ac:dyDescent="0.2">
      <c r="A190" s="378" t="s">
        <v>34</v>
      </c>
      <c r="B190" s="372">
        <v>0</v>
      </c>
      <c r="C190" s="373">
        <v>75.924000000000007</v>
      </c>
      <c r="D190" s="373">
        <v>84.147999999999996</v>
      </c>
      <c r="E190" s="373">
        <v>70.441000000000003</v>
      </c>
      <c r="F190" s="373">
        <v>73.659000000000006</v>
      </c>
      <c r="G190" s="373">
        <v>38.737000000000002</v>
      </c>
      <c r="H190" s="373">
        <v>14.779</v>
      </c>
      <c r="I190" s="373">
        <v>7.2709999999999999</v>
      </c>
      <c r="J190" s="373">
        <v>3.3370000000000002</v>
      </c>
      <c r="K190" s="373">
        <v>0</v>
      </c>
      <c r="L190" s="373">
        <v>0</v>
      </c>
      <c r="M190" s="373">
        <v>0</v>
      </c>
      <c r="N190" s="373">
        <v>0</v>
      </c>
      <c r="O190" s="373">
        <v>0</v>
      </c>
      <c r="P190" s="373">
        <v>0</v>
      </c>
      <c r="Q190" s="373">
        <v>0</v>
      </c>
      <c r="R190" s="373">
        <v>0</v>
      </c>
      <c r="S190" s="373">
        <v>0</v>
      </c>
      <c r="T190" s="373">
        <f t="shared" si="64"/>
        <v>0</v>
      </c>
      <c r="U190" s="373">
        <f t="shared" si="64"/>
        <v>0</v>
      </c>
      <c r="V190" s="373">
        <f t="shared" si="64"/>
        <v>0</v>
      </c>
      <c r="W190" s="373">
        <f t="shared" si="64"/>
        <v>0</v>
      </c>
      <c r="X190" s="373">
        <f t="shared" si="64"/>
        <v>0</v>
      </c>
      <c r="Y190" s="382">
        <v>0</v>
      </c>
    </row>
    <row r="191" spans="1:26" ht="13.5" thickBot="1" x14ac:dyDescent="0.25">
      <c r="A191" s="379" t="s">
        <v>116</v>
      </c>
      <c r="B191" s="374">
        <f t="shared" ref="B191:V191" si="65">(C190+B190)*(C189-B189)/2</f>
        <v>0.75924000000000014</v>
      </c>
      <c r="C191" s="375">
        <f t="shared" si="65"/>
        <v>0.88039599999999996</v>
      </c>
      <c r="D191" s="375">
        <f t="shared" si="65"/>
        <v>2.3961294999999998</v>
      </c>
      <c r="E191" s="375">
        <f t="shared" si="65"/>
        <v>3.9627500000000011</v>
      </c>
      <c r="F191" s="375">
        <f t="shared" si="65"/>
        <v>61.480612000000015</v>
      </c>
      <c r="G191" s="375">
        <f t="shared" si="65"/>
        <v>4.4150699999999956</v>
      </c>
      <c r="H191" s="375">
        <f t="shared" si="65"/>
        <v>0.88200000000000078</v>
      </c>
      <c r="I191" s="375">
        <f t="shared" si="65"/>
        <v>0.40310400000000035</v>
      </c>
      <c r="J191" s="375">
        <f>(K190+J190)*(K189-J189)/2</f>
        <v>7.5082499999999885E-2</v>
      </c>
      <c r="K191" s="375">
        <f t="shared" si="65"/>
        <v>0</v>
      </c>
      <c r="L191" s="375">
        <f t="shared" si="65"/>
        <v>0</v>
      </c>
      <c r="M191" s="375">
        <f t="shared" si="65"/>
        <v>0</v>
      </c>
      <c r="N191" s="375">
        <f t="shared" si="65"/>
        <v>0</v>
      </c>
      <c r="O191" s="375">
        <f t="shared" si="65"/>
        <v>0</v>
      </c>
      <c r="P191" s="375">
        <f t="shared" si="65"/>
        <v>0</v>
      </c>
      <c r="Q191" s="375">
        <f t="shared" si="65"/>
        <v>0</v>
      </c>
      <c r="R191" s="375">
        <f t="shared" si="65"/>
        <v>0</v>
      </c>
      <c r="S191" s="375">
        <f>(T190+S190)*(T189-S189)/2</f>
        <v>0</v>
      </c>
      <c r="T191" s="375">
        <f t="shared" si="65"/>
        <v>0</v>
      </c>
      <c r="U191" s="375">
        <f t="shared" si="65"/>
        <v>0</v>
      </c>
      <c r="V191" s="375">
        <f t="shared" si="65"/>
        <v>0</v>
      </c>
      <c r="W191" s="375">
        <f>(X190+W190)*(X189-W189)/2</f>
        <v>0</v>
      </c>
      <c r="X191" s="375">
        <f>(Y190+X190)*(Y189-X189)/2</f>
        <v>0</v>
      </c>
      <c r="Y191" s="369"/>
    </row>
    <row r="192" spans="1:26" ht="13.5" thickBot="1" x14ac:dyDescent="0.25">
      <c r="A192" s="6" t="s">
        <v>373</v>
      </c>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row>
    <row r="193" spans="1:26" ht="13.5" thickBot="1" x14ac:dyDescent="0.25">
      <c r="A193" s="361" t="s">
        <v>535</v>
      </c>
      <c r="B193" s="359">
        <f>ROW(A193)</f>
        <v>193</v>
      </c>
      <c r="C193" s="363" t="s">
        <v>115</v>
      </c>
      <c r="D193" s="353">
        <f>SUM(B196:Y196)</f>
        <v>141.04999999999998</v>
      </c>
      <c r="E193" s="363" t="s">
        <v>114</v>
      </c>
      <c r="F193" s="354">
        <f>D193/g/J193</f>
        <v>186.24592648930721</v>
      </c>
      <c r="G193" s="363" t="s">
        <v>56</v>
      </c>
      <c r="H193" s="64">
        <v>0.16189999999999999</v>
      </c>
      <c r="I193" s="363" t="s">
        <v>271</v>
      </c>
      <c r="J193" s="355">
        <f>H193-L193</f>
        <v>7.7199999999999991E-2</v>
      </c>
      <c r="K193" s="363" t="s">
        <v>272</v>
      </c>
      <c r="L193" s="64">
        <v>8.4699999999999998E-2</v>
      </c>
      <c r="M193" s="363" t="s">
        <v>57</v>
      </c>
      <c r="N193" s="65">
        <v>114</v>
      </c>
      <c r="O193" s="363" t="s">
        <v>59</v>
      </c>
      <c r="P193" s="65">
        <v>114</v>
      </c>
      <c r="Q193" s="363" t="s">
        <v>60</v>
      </c>
      <c r="R193" s="65">
        <v>228</v>
      </c>
      <c r="S193" s="363" t="s">
        <v>61</v>
      </c>
      <c r="T193" s="65">
        <v>24</v>
      </c>
      <c r="U193" s="363" t="s">
        <v>54</v>
      </c>
      <c r="V193" s="66" t="s">
        <v>119</v>
      </c>
      <c r="W193" s="463" t="s">
        <v>394</v>
      </c>
      <c r="X193" s="465">
        <v>0.96</v>
      </c>
      <c r="Y193" s="463" t="s">
        <v>393</v>
      </c>
      <c r="Z193" s="358">
        <v>15</v>
      </c>
    </row>
    <row r="194" spans="1:26" x14ac:dyDescent="0.2">
      <c r="A194" s="362" t="s">
        <v>33</v>
      </c>
      <c r="B194" s="370">
        <v>0</v>
      </c>
      <c r="C194" s="371">
        <v>0.02</v>
      </c>
      <c r="D194" s="371">
        <v>0.03</v>
      </c>
      <c r="E194" s="371">
        <v>0.05</v>
      </c>
      <c r="F194" s="371">
        <v>0.6</v>
      </c>
      <c r="G194" s="371">
        <v>0.67</v>
      </c>
      <c r="H194" s="371">
        <v>0.7</v>
      </c>
      <c r="I194" s="371">
        <v>0.8</v>
      </c>
      <c r="J194" s="371">
        <v>0.9</v>
      </c>
      <c r="K194" s="371">
        <v>1.05</v>
      </c>
      <c r="L194" s="371">
        <f t="shared" ref="L194:W194" si="66">K194</f>
        <v>1.05</v>
      </c>
      <c r="M194" s="371">
        <f t="shared" si="66"/>
        <v>1.05</v>
      </c>
      <c r="N194" s="371">
        <f t="shared" si="66"/>
        <v>1.05</v>
      </c>
      <c r="O194" s="371">
        <f t="shared" si="66"/>
        <v>1.05</v>
      </c>
      <c r="P194" s="371">
        <f t="shared" si="66"/>
        <v>1.05</v>
      </c>
      <c r="Q194" s="371">
        <f t="shared" si="66"/>
        <v>1.05</v>
      </c>
      <c r="R194" s="371">
        <f t="shared" si="66"/>
        <v>1.05</v>
      </c>
      <c r="S194" s="371">
        <f t="shared" si="66"/>
        <v>1.05</v>
      </c>
      <c r="T194" s="371">
        <f t="shared" si="66"/>
        <v>1.05</v>
      </c>
      <c r="U194" s="371">
        <f t="shared" si="66"/>
        <v>1.05</v>
      </c>
      <c r="V194" s="371">
        <f t="shared" si="66"/>
        <v>1.05</v>
      </c>
      <c r="W194" s="371">
        <f t="shared" si="66"/>
        <v>1.05</v>
      </c>
      <c r="X194" s="371">
        <v>2</v>
      </c>
      <c r="Y194" s="381">
        <v>1000</v>
      </c>
    </row>
    <row r="195" spans="1:26" x14ac:dyDescent="0.2">
      <c r="A195" s="378" t="s">
        <v>34</v>
      </c>
      <c r="B195" s="372">
        <v>0</v>
      </c>
      <c r="C195" s="373">
        <v>350</v>
      </c>
      <c r="D195" s="373">
        <v>250</v>
      </c>
      <c r="E195" s="373">
        <v>210</v>
      </c>
      <c r="F195" s="373">
        <v>150</v>
      </c>
      <c r="G195" s="373">
        <v>140</v>
      </c>
      <c r="H195" s="373">
        <v>130</v>
      </c>
      <c r="I195" s="373">
        <v>65</v>
      </c>
      <c r="J195" s="373">
        <v>30</v>
      </c>
      <c r="K195" s="373">
        <v>0</v>
      </c>
      <c r="L195" s="373">
        <v>0</v>
      </c>
      <c r="M195" s="373">
        <v>0</v>
      </c>
      <c r="N195" s="373">
        <v>0</v>
      </c>
      <c r="O195" s="373">
        <v>0</v>
      </c>
      <c r="P195" s="373">
        <v>0</v>
      </c>
      <c r="Q195" s="373">
        <v>0</v>
      </c>
      <c r="R195" s="373">
        <v>0</v>
      </c>
      <c r="S195" s="373">
        <f t="shared" ref="S195:X195" si="67">R195</f>
        <v>0</v>
      </c>
      <c r="T195" s="373">
        <f t="shared" si="67"/>
        <v>0</v>
      </c>
      <c r="U195" s="373">
        <f t="shared" si="67"/>
        <v>0</v>
      </c>
      <c r="V195" s="373">
        <f t="shared" si="67"/>
        <v>0</v>
      </c>
      <c r="W195" s="373">
        <f t="shared" si="67"/>
        <v>0</v>
      </c>
      <c r="X195" s="373">
        <f t="shared" si="67"/>
        <v>0</v>
      </c>
      <c r="Y195" s="382">
        <v>0</v>
      </c>
    </row>
    <row r="196" spans="1:26" ht="13.5" thickBot="1" x14ac:dyDescent="0.25">
      <c r="A196" s="379" t="s">
        <v>116</v>
      </c>
      <c r="B196" s="374">
        <f t="shared" ref="B196:X196" si="68">(C195+B195)*(C194-B194)/2</f>
        <v>3.5</v>
      </c>
      <c r="C196" s="375">
        <f t="shared" si="68"/>
        <v>2.9999999999999996</v>
      </c>
      <c r="D196" s="375">
        <f t="shared" si="68"/>
        <v>4.6000000000000005</v>
      </c>
      <c r="E196" s="375">
        <f t="shared" si="68"/>
        <v>98.999999999999986</v>
      </c>
      <c r="F196" s="375">
        <f t="shared" si="68"/>
        <v>10.150000000000009</v>
      </c>
      <c r="G196" s="375">
        <f t="shared" si="68"/>
        <v>4.0499999999999883</v>
      </c>
      <c r="H196" s="375">
        <f t="shared" si="68"/>
        <v>9.7500000000000089</v>
      </c>
      <c r="I196" s="375">
        <f t="shared" si="68"/>
        <v>4.7499999999999991</v>
      </c>
      <c r="J196" s="375">
        <f t="shared" si="68"/>
        <v>2.2500000000000004</v>
      </c>
      <c r="K196" s="375">
        <f t="shared" si="68"/>
        <v>0</v>
      </c>
      <c r="L196" s="375">
        <f t="shared" si="68"/>
        <v>0</v>
      </c>
      <c r="M196" s="375">
        <f t="shared" si="68"/>
        <v>0</v>
      </c>
      <c r="N196" s="375">
        <f t="shared" si="68"/>
        <v>0</v>
      </c>
      <c r="O196" s="375">
        <f t="shared" si="68"/>
        <v>0</v>
      </c>
      <c r="P196" s="375">
        <f t="shared" si="68"/>
        <v>0</v>
      </c>
      <c r="Q196" s="375">
        <f t="shared" si="68"/>
        <v>0</v>
      </c>
      <c r="R196" s="375">
        <f t="shared" si="68"/>
        <v>0</v>
      </c>
      <c r="S196" s="375">
        <f t="shared" si="68"/>
        <v>0</v>
      </c>
      <c r="T196" s="375">
        <f t="shared" si="68"/>
        <v>0</v>
      </c>
      <c r="U196" s="375">
        <f t="shared" si="68"/>
        <v>0</v>
      </c>
      <c r="V196" s="375">
        <f t="shared" si="68"/>
        <v>0</v>
      </c>
      <c r="W196" s="375">
        <f t="shared" si="68"/>
        <v>0</v>
      </c>
      <c r="X196" s="375">
        <f t="shared" si="68"/>
        <v>0</v>
      </c>
      <c r="Y196" s="369"/>
    </row>
    <row r="197" spans="1:26" ht="13.5" thickBot="1" x14ac:dyDescent="0.25">
      <c r="A197" s="12" t="s">
        <v>544</v>
      </c>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row>
    <row r="198" spans="1:26" ht="13.5" thickBot="1" x14ac:dyDescent="0.25">
      <c r="A198" s="361" t="s">
        <v>547</v>
      </c>
      <c r="B198" s="359">
        <f>ROW(A198)</f>
        <v>198</v>
      </c>
      <c r="C198" s="363" t="s">
        <v>115</v>
      </c>
      <c r="D198" s="353">
        <f>SUM(B201:Y201)</f>
        <v>142.44</v>
      </c>
      <c r="E198" s="363" t="s">
        <v>114</v>
      </c>
      <c r="F198" s="354">
        <f>D198/g/J198</f>
        <v>192.06187401906058</v>
      </c>
      <c r="G198" s="363" t="s">
        <v>56</v>
      </c>
      <c r="H198" s="64">
        <v>0.15989999999999999</v>
      </c>
      <c r="I198" s="363" t="s">
        <v>271</v>
      </c>
      <c r="J198" s="355">
        <f>H198-L198</f>
        <v>7.5599999999999987E-2</v>
      </c>
      <c r="K198" s="363" t="s">
        <v>272</v>
      </c>
      <c r="L198" s="64">
        <v>8.43E-2</v>
      </c>
      <c r="M198" s="363" t="s">
        <v>57</v>
      </c>
      <c r="N198" s="65">
        <v>114</v>
      </c>
      <c r="O198" s="363" t="s">
        <v>59</v>
      </c>
      <c r="P198" s="65">
        <v>114</v>
      </c>
      <c r="Q198" s="363" t="s">
        <v>60</v>
      </c>
      <c r="R198" s="65">
        <v>228</v>
      </c>
      <c r="S198" s="363" t="s">
        <v>61</v>
      </c>
      <c r="T198" s="65">
        <v>24</v>
      </c>
      <c r="U198" s="363" t="s">
        <v>54</v>
      </c>
      <c r="V198" s="66" t="s">
        <v>401</v>
      </c>
      <c r="W198" s="463" t="s">
        <v>394</v>
      </c>
      <c r="X198" s="465">
        <v>0.97</v>
      </c>
      <c r="Y198" s="463" t="s">
        <v>393</v>
      </c>
      <c r="Z198" s="358">
        <v>13</v>
      </c>
    </row>
    <row r="199" spans="1:26" x14ac:dyDescent="0.2">
      <c r="A199" s="362" t="s">
        <v>33</v>
      </c>
      <c r="B199" s="370">
        <v>0</v>
      </c>
      <c r="C199" s="371">
        <v>0.02</v>
      </c>
      <c r="D199" s="371">
        <v>0.04</v>
      </c>
      <c r="E199" s="371">
        <v>0.62</v>
      </c>
      <c r="F199" s="371">
        <v>0.66</v>
      </c>
      <c r="G199" s="371">
        <v>0.68</v>
      </c>
      <c r="H199" s="371">
        <v>0.8</v>
      </c>
      <c r="I199" s="371">
        <v>0.84</v>
      </c>
      <c r="J199" s="371">
        <v>0.88</v>
      </c>
      <c r="K199" s="371">
        <v>0.92</v>
      </c>
      <c r="L199" s="371">
        <v>0.96</v>
      </c>
      <c r="M199" s="371">
        <v>1</v>
      </c>
      <c r="N199" s="371">
        <v>1.08</v>
      </c>
      <c r="O199" s="371">
        <v>2</v>
      </c>
      <c r="P199" s="371">
        <v>2</v>
      </c>
      <c r="Q199" s="371">
        <v>2</v>
      </c>
      <c r="R199" s="371">
        <v>2</v>
      </c>
      <c r="S199" s="371">
        <f t="shared" ref="S199:X200" si="69">R199</f>
        <v>2</v>
      </c>
      <c r="T199" s="371">
        <f t="shared" si="69"/>
        <v>2</v>
      </c>
      <c r="U199" s="371">
        <f t="shared" si="69"/>
        <v>2</v>
      </c>
      <c r="V199" s="371">
        <f t="shared" si="69"/>
        <v>2</v>
      </c>
      <c r="W199" s="371">
        <f t="shared" si="69"/>
        <v>2</v>
      </c>
      <c r="X199" s="371">
        <f t="shared" si="69"/>
        <v>2</v>
      </c>
      <c r="Y199" s="381">
        <v>1000</v>
      </c>
    </row>
    <row r="200" spans="1:26" x14ac:dyDescent="0.2">
      <c r="A200" s="378" t="s">
        <v>34</v>
      </c>
      <c r="B200" s="372">
        <v>0</v>
      </c>
      <c r="C200" s="373">
        <v>250</v>
      </c>
      <c r="D200" s="373">
        <v>210</v>
      </c>
      <c r="E200" s="373">
        <v>160</v>
      </c>
      <c r="F200" s="373">
        <v>150</v>
      </c>
      <c r="G200" s="373">
        <v>142</v>
      </c>
      <c r="H200" s="373">
        <v>62</v>
      </c>
      <c r="I200" s="373">
        <v>48</v>
      </c>
      <c r="J200" s="373">
        <v>34</v>
      </c>
      <c r="K200" s="373">
        <v>24</v>
      </c>
      <c r="L200" s="373">
        <v>15</v>
      </c>
      <c r="M200" s="373">
        <v>10</v>
      </c>
      <c r="N200" s="373">
        <v>0</v>
      </c>
      <c r="O200" s="373">
        <v>0</v>
      </c>
      <c r="P200" s="373">
        <v>0</v>
      </c>
      <c r="Q200" s="373">
        <v>0</v>
      </c>
      <c r="R200" s="373">
        <v>0</v>
      </c>
      <c r="S200" s="373">
        <f t="shared" si="69"/>
        <v>0</v>
      </c>
      <c r="T200" s="373">
        <f t="shared" si="69"/>
        <v>0</v>
      </c>
      <c r="U200" s="373">
        <f t="shared" si="69"/>
        <v>0</v>
      </c>
      <c r="V200" s="373">
        <f t="shared" si="69"/>
        <v>0</v>
      </c>
      <c r="W200" s="373">
        <f t="shared" si="69"/>
        <v>0</v>
      </c>
      <c r="X200" s="373">
        <f t="shared" si="69"/>
        <v>0</v>
      </c>
      <c r="Y200" s="382">
        <v>0</v>
      </c>
    </row>
    <row r="201" spans="1:26" ht="13.5" thickBot="1" x14ac:dyDescent="0.25">
      <c r="A201" s="379" t="s">
        <v>116</v>
      </c>
      <c r="B201" s="374">
        <f t="shared" ref="B201:X201" si="70">(C200+B200)*(C199-B199)/2</f>
        <v>2.5</v>
      </c>
      <c r="C201" s="375">
        <f t="shared" si="70"/>
        <v>4.6000000000000005</v>
      </c>
      <c r="D201" s="375">
        <f t="shared" si="70"/>
        <v>107.3</v>
      </c>
      <c r="E201" s="375">
        <f t="shared" si="70"/>
        <v>6.2000000000000055</v>
      </c>
      <c r="F201" s="375">
        <f t="shared" si="70"/>
        <v>2.9200000000000026</v>
      </c>
      <c r="G201" s="375">
        <f t="shared" si="70"/>
        <v>12.24</v>
      </c>
      <c r="H201" s="375">
        <f t="shared" si="70"/>
        <v>2.1999999999999957</v>
      </c>
      <c r="I201" s="375">
        <f t="shared" si="70"/>
        <v>1.6400000000000015</v>
      </c>
      <c r="J201" s="375">
        <f t="shared" si="70"/>
        <v>1.160000000000001</v>
      </c>
      <c r="K201" s="375">
        <f t="shared" si="70"/>
        <v>0.77999999999999847</v>
      </c>
      <c r="L201" s="375">
        <f t="shared" si="70"/>
        <v>0.50000000000000044</v>
      </c>
      <c r="M201" s="375">
        <f t="shared" si="70"/>
        <v>0.40000000000000036</v>
      </c>
      <c r="N201" s="375">
        <f t="shared" si="70"/>
        <v>0</v>
      </c>
      <c r="O201" s="375">
        <f t="shared" si="70"/>
        <v>0</v>
      </c>
      <c r="P201" s="375">
        <f t="shared" si="70"/>
        <v>0</v>
      </c>
      <c r="Q201" s="375">
        <f t="shared" si="70"/>
        <v>0</v>
      </c>
      <c r="R201" s="375">
        <f t="shared" si="70"/>
        <v>0</v>
      </c>
      <c r="S201" s="375">
        <f t="shared" si="70"/>
        <v>0</v>
      </c>
      <c r="T201" s="375">
        <f t="shared" si="70"/>
        <v>0</v>
      </c>
      <c r="U201" s="375">
        <f t="shared" si="70"/>
        <v>0</v>
      </c>
      <c r="V201" s="375">
        <f t="shared" si="70"/>
        <v>0</v>
      </c>
      <c r="W201" s="375">
        <f t="shared" si="70"/>
        <v>0</v>
      </c>
      <c r="X201" s="375">
        <f t="shared" si="70"/>
        <v>0</v>
      </c>
      <c r="Y201" s="369"/>
    </row>
    <row r="202" spans="1:26" ht="13.5" thickBot="1" x14ac:dyDescent="0.25">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row>
    <row r="203" spans="1:26" ht="13.5" thickBot="1" x14ac:dyDescent="0.25">
      <c r="A203" s="361" t="s">
        <v>537</v>
      </c>
      <c r="B203" s="359">
        <f>ROW(A203)</f>
        <v>203</v>
      </c>
      <c r="C203" s="363" t="s">
        <v>115</v>
      </c>
      <c r="D203" s="353">
        <f>SUM(B206:Y206)</f>
        <v>143.08845000000002</v>
      </c>
      <c r="E203" s="363" t="s">
        <v>114</v>
      </c>
      <c r="F203" s="354">
        <f>D203/g/J203</f>
        <v>168.23504721190514</v>
      </c>
      <c r="G203" s="363" t="s">
        <v>56</v>
      </c>
      <c r="H203" s="64">
        <v>0.17249999999999999</v>
      </c>
      <c r="I203" s="363" t="s">
        <v>271</v>
      </c>
      <c r="J203" s="355">
        <f>H203-L203</f>
        <v>8.6699999999999985E-2</v>
      </c>
      <c r="K203" s="363" t="s">
        <v>272</v>
      </c>
      <c r="L203" s="64">
        <v>8.5800000000000001E-2</v>
      </c>
      <c r="M203" s="363" t="s">
        <v>57</v>
      </c>
      <c r="N203" s="65">
        <v>114</v>
      </c>
      <c r="O203" s="363" t="s">
        <v>59</v>
      </c>
      <c r="P203" s="65">
        <v>114</v>
      </c>
      <c r="Q203" s="363" t="s">
        <v>60</v>
      </c>
      <c r="R203" s="65">
        <v>228</v>
      </c>
      <c r="S203" s="363" t="s">
        <v>61</v>
      </c>
      <c r="T203" s="65">
        <v>24</v>
      </c>
      <c r="U203" s="363" t="s">
        <v>54</v>
      </c>
      <c r="V203" s="66" t="s">
        <v>119</v>
      </c>
      <c r="W203" s="463" t="s">
        <v>394</v>
      </c>
      <c r="X203" s="465">
        <v>0.97</v>
      </c>
      <c r="Y203" s="463" t="s">
        <v>393</v>
      </c>
      <c r="Z203" s="358">
        <v>11</v>
      </c>
    </row>
    <row r="204" spans="1:26" x14ac:dyDescent="0.2">
      <c r="A204" s="362" t="s">
        <v>33</v>
      </c>
      <c r="B204" s="370">
        <v>0</v>
      </c>
      <c r="C204" s="371">
        <v>8.0000000000000002E-3</v>
      </c>
      <c r="D204" s="371">
        <v>1.2999999999999999E-2</v>
      </c>
      <c r="E204" s="371">
        <v>2.1999999999999999E-2</v>
      </c>
      <c r="F204" s="371">
        <v>3.5000000000000003E-2</v>
      </c>
      <c r="G204" s="371">
        <v>6.3E-2</v>
      </c>
      <c r="H204" s="371">
        <v>0.10299999999999999</v>
      </c>
      <c r="I204" s="371">
        <v>0.19600000000000001</v>
      </c>
      <c r="J204" s="371">
        <v>0.311</v>
      </c>
      <c r="K204" s="371">
        <v>0.47399999999999998</v>
      </c>
      <c r="L204" s="371">
        <v>0.56399999999999995</v>
      </c>
      <c r="M204" s="371">
        <v>0.76200000000000001</v>
      </c>
      <c r="N204" s="371">
        <v>0.85799999999999998</v>
      </c>
      <c r="O204" s="371">
        <v>0.92800000000000005</v>
      </c>
      <c r="P204" s="371">
        <v>1.038</v>
      </c>
      <c r="Q204" s="371">
        <v>1.08</v>
      </c>
      <c r="R204" s="371">
        <v>1.131</v>
      </c>
      <c r="S204" s="371">
        <v>1.1850000000000001</v>
      </c>
      <c r="T204" s="371">
        <v>1.224</v>
      </c>
      <c r="U204" s="371">
        <v>1.258</v>
      </c>
      <c r="V204" s="371">
        <v>1.4</v>
      </c>
      <c r="W204" s="371">
        <v>1.4410000000000001</v>
      </c>
      <c r="X204" s="371">
        <v>2</v>
      </c>
      <c r="Y204" s="381">
        <v>1000</v>
      </c>
    </row>
    <row r="205" spans="1:26" x14ac:dyDescent="0.2">
      <c r="A205" s="378" t="s">
        <v>34</v>
      </c>
      <c r="B205" s="372">
        <v>0</v>
      </c>
      <c r="C205" s="373">
        <v>168.643</v>
      </c>
      <c r="D205" s="373">
        <v>177.339</v>
      </c>
      <c r="E205" s="373">
        <v>177.86600000000001</v>
      </c>
      <c r="F205" s="373">
        <v>171.27799999999999</v>
      </c>
      <c r="G205" s="373">
        <v>157.839</v>
      </c>
      <c r="H205" s="373">
        <v>154.941</v>
      </c>
      <c r="I205" s="373">
        <v>148.88</v>
      </c>
      <c r="J205" s="373">
        <v>144.137</v>
      </c>
      <c r="K205" s="373">
        <v>138.07599999999999</v>
      </c>
      <c r="L205" s="373">
        <v>135.70500000000001</v>
      </c>
      <c r="M205" s="373">
        <v>125.955</v>
      </c>
      <c r="N205" s="373">
        <v>116.733</v>
      </c>
      <c r="O205" s="373">
        <v>101.71299999999999</v>
      </c>
      <c r="P205" s="373">
        <v>57.444000000000003</v>
      </c>
      <c r="Q205" s="373">
        <v>42.688000000000002</v>
      </c>
      <c r="R205" s="373">
        <v>31.884</v>
      </c>
      <c r="S205" s="373">
        <v>17.655000000000001</v>
      </c>
      <c r="T205" s="373">
        <v>9.4860000000000007</v>
      </c>
      <c r="U205" s="373">
        <v>5.27</v>
      </c>
      <c r="V205" s="373">
        <v>0.79100000000000004</v>
      </c>
      <c r="W205" s="373">
        <v>0</v>
      </c>
      <c r="X205" s="373">
        <f>W205</f>
        <v>0</v>
      </c>
      <c r="Y205" s="382">
        <v>0</v>
      </c>
    </row>
    <row r="206" spans="1:26" ht="13.5" thickBot="1" x14ac:dyDescent="0.25">
      <c r="A206" s="379" t="s">
        <v>116</v>
      </c>
      <c r="B206" s="374">
        <f t="shared" ref="B206:X206" si="71">(C205+B205)*(C204-B204)/2</f>
        <v>0.67457200000000006</v>
      </c>
      <c r="C206" s="375">
        <f t="shared" si="71"/>
        <v>0.86495499999999981</v>
      </c>
      <c r="D206" s="375">
        <f t="shared" si="71"/>
        <v>1.5984225000000001</v>
      </c>
      <c r="E206" s="375">
        <f t="shared" si="71"/>
        <v>2.2694360000000007</v>
      </c>
      <c r="F206" s="375">
        <f t="shared" si="71"/>
        <v>4.6076379999999988</v>
      </c>
      <c r="G206" s="375">
        <f t="shared" si="71"/>
        <v>6.2555999999999985</v>
      </c>
      <c r="H206" s="375">
        <f t="shared" si="71"/>
        <v>14.127676500000003</v>
      </c>
      <c r="I206" s="375">
        <f t="shared" si="71"/>
        <v>16.848477499999998</v>
      </c>
      <c r="J206" s="375">
        <f t="shared" si="71"/>
        <v>23.000359499999995</v>
      </c>
      <c r="K206" s="375">
        <f t="shared" si="71"/>
        <v>12.320144999999997</v>
      </c>
      <c r="L206" s="375">
        <f t="shared" si="71"/>
        <v>25.904340000000012</v>
      </c>
      <c r="M206" s="375">
        <f t="shared" si="71"/>
        <v>11.649023999999997</v>
      </c>
      <c r="N206" s="375">
        <f t="shared" si="71"/>
        <v>7.6456100000000067</v>
      </c>
      <c r="O206" s="375">
        <f t="shared" si="71"/>
        <v>8.7536349999999974</v>
      </c>
      <c r="P206" s="375">
        <f t="shared" si="71"/>
        <v>2.1027720000000021</v>
      </c>
      <c r="Q206" s="375">
        <f t="shared" si="71"/>
        <v>1.9015859999999976</v>
      </c>
      <c r="R206" s="375">
        <f t="shared" si="71"/>
        <v>1.3375530000000013</v>
      </c>
      <c r="S206" s="375">
        <f t="shared" si="71"/>
        <v>0.52924949999999904</v>
      </c>
      <c r="T206" s="375">
        <f t="shared" si="71"/>
        <v>0.25085200000000024</v>
      </c>
      <c r="U206" s="375">
        <f t="shared" si="71"/>
        <v>0.43033099999999969</v>
      </c>
      <c r="V206" s="375">
        <f t="shared" si="71"/>
        <v>1.621550000000006E-2</v>
      </c>
      <c r="W206" s="375">
        <f t="shared" si="71"/>
        <v>0</v>
      </c>
      <c r="X206" s="375">
        <f t="shared" si="71"/>
        <v>0</v>
      </c>
      <c r="Y206" s="369"/>
    </row>
    <row r="207" spans="1:26" ht="13.5" thickBot="1" x14ac:dyDescent="0.25">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row>
    <row r="208" spans="1:26" ht="13.5" thickBot="1" x14ac:dyDescent="0.25">
      <c r="A208" s="361" t="s">
        <v>536</v>
      </c>
      <c r="B208" s="359">
        <f>ROW(A208)</f>
        <v>208</v>
      </c>
      <c r="C208" s="363" t="s">
        <v>115</v>
      </c>
      <c r="D208" s="353">
        <f>SUM(B211:Y211)</f>
        <v>139.423417</v>
      </c>
      <c r="E208" s="363" t="s">
        <v>114</v>
      </c>
      <c r="F208" s="354">
        <f>D208/g/J208</f>
        <v>158.62027745922524</v>
      </c>
      <c r="G208" s="363" t="s">
        <v>56</v>
      </c>
      <c r="H208" s="64">
        <v>0.19450000000000001</v>
      </c>
      <c r="I208" s="363" t="s">
        <v>271</v>
      </c>
      <c r="J208" s="355">
        <f>H208-L208</f>
        <v>8.9600000000000013E-2</v>
      </c>
      <c r="K208" s="363" t="s">
        <v>272</v>
      </c>
      <c r="L208" s="64">
        <v>0.10489999999999999</v>
      </c>
      <c r="M208" s="363" t="s">
        <v>57</v>
      </c>
      <c r="N208" s="65">
        <v>114</v>
      </c>
      <c r="O208" s="363" t="s">
        <v>59</v>
      </c>
      <c r="P208" s="65">
        <v>144</v>
      </c>
      <c r="Q208" s="363" t="s">
        <v>60</v>
      </c>
      <c r="R208" s="65">
        <v>228</v>
      </c>
      <c r="S208" s="363" t="s">
        <v>61</v>
      </c>
      <c r="T208" s="65">
        <v>24</v>
      </c>
      <c r="U208" s="363" t="s">
        <v>54</v>
      </c>
      <c r="V208" s="66" t="s">
        <v>119</v>
      </c>
      <c r="W208" s="463" t="s">
        <v>394</v>
      </c>
      <c r="X208" s="465">
        <v>1.3</v>
      </c>
      <c r="Y208" s="463" t="s">
        <v>393</v>
      </c>
      <c r="Z208" s="358">
        <v>12</v>
      </c>
    </row>
    <row r="209" spans="1:26" x14ac:dyDescent="0.2">
      <c r="A209" s="362" t="s">
        <v>33</v>
      </c>
      <c r="B209" s="370">
        <v>0</v>
      </c>
      <c r="C209" s="371">
        <v>1.0999999999999999E-2</v>
      </c>
      <c r="D209" s="371">
        <v>2.1999999999999999E-2</v>
      </c>
      <c r="E209" s="371">
        <v>4.5999999999999999E-2</v>
      </c>
      <c r="F209" s="371">
        <v>8.1000000000000003E-2</v>
      </c>
      <c r="G209" s="371">
        <v>0.219</v>
      </c>
      <c r="H209" s="371">
        <v>0.253</v>
      </c>
      <c r="I209" s="371">
        <v>0.27400000000000002</v>
      </c>
      <c r="J209" s="371">
        <v>0.30499999999999999</v>
      </c>
      <c r="K209" s="371">
        <v>0.41199999999999998</v>
      </c>
      <c r="L209" s="371">
        <v>0.78900000000000003</v>
      </c>
      <c r="M209" s="371">
        <v>0.89900000000000002</v>
      </c>
      <c r="N209" s="371">
        <v>0.95299999999999996</v>
      </c>
      <c r="O209" s="371">
        <v>0.999</v>
      </c>
      <c r="P209" s="371">
        <v>1.03</v>
      </c>
      <c r="Q209" s="371">
        <v>1.0569999999999999</v>
      </c>
      <c r="R209" s="371">
        <v>1.1020000000000001</v>
      </c>
      <c r="S209" s="371">
        <v>1.1539999999999999</v>
      </c>
      <c r="T209" s="371">
        <v>1.1970000000000001</v>
      </c>
      <c r="U209" s="371">
        <v>1.2769999999999999</v>
      </c>
      <c r="V209" s="371">
        <v>1.335</v>
      </c>
      <c r="W209" s="371">
        <v>1.4510000000000001</v>
      </c>
      <c r="X209" s="371">
        <v>2</v>
      </c>
      <c r="Y209" s="381">
        <v>1000</v>
      </c>
    </row>
    <row r="210" spans="1:26" x14ac:dyDescent="0.2">
      <c r="A210" s="378" t="s">
        <v>34</v>
      </c>
      <c r="B210" s="372">
        <v>0</v>
      </c>
      <c r="C210" s="373">
        <v>198.41800000000001</v>
      </c>
      <c r="D210" s="373">
        <v>221.83500000000001</v>
      </c>
      <c r="E210" s="373">
        <v>212.65799999999999</v>
      </c>
      <c r="F210" s="373">
        <v>218.35400000000001</v>
      </c>
      <c r="G210" s="373">
        <v>204.43</v>
      </c>
      <c r="H210" s="373">
        <v>195.886</v>
      </c>
      <c r="I210" s="373">
        <v>183.54400000000001</v>
      </c>
      <c r="J210" s="373">
        <v>88.290999999999997</v>
      </c>
      <c r="K210" s="373">
        <v>93.671000000000006</v>
      </c>
      <c r="L210" s="373">
        <v>93.986999999999995</v>
      </c>
      <c r="M210" s="373">
        <v>91.138999999999996</v>
      </c>
      <c r="N210" s="373">
        <v>89.873000000000005</v>
      </c>
      <c r="O210" s="373">
        <v>87.025000000000006</v>
      </c>
      <c r="P210" s="373">
        <v>81.328999999999994</v>
      </c>
      <c r="Q210" s="373">
        <v>69.936999999999998</v>
      </c>
      <c r="R210" s="373">
        <v>54.113999999999997</v>
      </c>
      <c r="S210" s="373">
        <v>42.405000000000001</v>
      </c>
      <c r="T210" s="373">
        <v>31.646000000000001</v>
      </c>
      <c r="U210" s="373">
        <v>17.088999999999999</v>
      </c>
      <c r="V210" s="373">
        <v>9.81</v>
      </c>
      <c r="W210" s="373">
        <v>0</v>
      </c>
      <c r="X210" s="373">
        <v>0</v>
      </c>
      <c r="Y210" s="382">
        <v>0</v>
      </c>
    </row>
    <row r="211" spans="1:26" ht="13.5" thickBot="1" x14ac:dyDescent="0.25">
      <c r="A211" s="379" t="s">
        <v>116</v>
      </c>
      <c r="B211" s="374">
        <f t="shared" ref="B211:X211" si="72">(C210+B210)*(C209-B209)/2</f>
        <v>1.091299</v>
      </c>
      <c r="C211" s="375">
        <f t="shared" si="72"/>
        <v>2.3113915</v>
      </c>
      <c r="D211" s="375">
        <f t="shared" si="72"/>
        <v>5.2139160000000002</v>
      </c>
      <c r="E211" s="375">
        <f t="shared" si="72"/>
        <v>7.5427100000000005</v>
      </c>
      <c r="F211" s="375">
        <f t="shared" si="72"/>
        <v>29.172096000000003</v>
      </c>
      <c r="G211" s="375">
        <f t="shared" si="72"/>
        <v>6.8053720000000011</v>
      </c>
      <c r="H211" s="375">
        <f t="shared" si="72"/>
        <v>3.9840150000000034</v>
      </c>
      <c r="I211" s="375">
        <f t="shared" si="72"/>
        <v>4.2134424999999966</v>
      </c>
      <c r="J211" s="375">
        <f t="shared" si="72"/>
        <v>9.7349669999999975</v>
      </c>
      <c r="K211" s="375">
        <f t="shared" si="72"/>
        <v>35.373533000000009</v>
      </c>
      <c r="L211" s="375">
        <f t="shared" si="72"/>
        <v>10.181929999999998</v>
      </c>
      <c r="M211" s="375">
        <f t="shared" si="72"/>
        <v>4.8873239999999942</v>
      </c>
      <c r="N211" s="375">
        <f t="shared" si="72"/>
        <v>4.068654000000004</v>
      </c>
      <c r="O211" s="375">
        <f t="shared" si="72"/>
        <v>2.6094870000000019</v>
      </c>
      <c r="P211" s="375">
        <f t="shared" si="72"/>
        <v>2.0420909999999934</v>
      </c>
      <c r="Q211" s="375">
        <f t="shared" si="72"/>
        <v>2.791147500000009</v>
      </c>
      <c r="R211" s="375">
        <f t="shared" si="72"/>
        <v>2.5094939999999917</v>
      </c>
      <c r="S211" s="375">
        <f t="shared" si="72"/>
        <v>1.5920965000000056</v>
      </c>
      <c r="T211" s="375">
        <f t="shared" si="72"/>
        <v>1.9493999999999962</v>
      </c>
      <c r="U211" s="375">
        <f t="shared" si="72"/>
        <v>0.78007100000000074</v>
      </c>
      <c r="V211" s="375">
        <f t="shared" si="72"/>
        <v>0.56898000000000049</v>
      </c>
      <c r="W211" s="375">
        <f t="shared" si="72"/>
        <v>0</v>
      </c>
      <c r="X211" s="375">
        <f t="shared" si="72"/>
        <v>0</v>
      </c>
      <c r="Y211" s="369"/>
    </row>
    <row r="212" spans="1:26" ht="13.5" thickBot="1" x14ac:dyDescent="0.25">
      <c r="A212" s="6" t="s">
        <v>316</v>
      </c>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row>
    <row r="213" spans="1:26" ht="13.5" thickBot="1" x14ac:dyDescent="0.25">
      <c r="A213" s="361" t="s">
        <v>375</v>
      </c>
      <c r="B213" s="359">
        <f>ROW(A213)</f>
        <v>213</v>
      </c>
      <c r="C213" s="363" t="s">
        <v>115</v>
      </c>
      <c r="D213" s="353">
        <f>SUM(B216:Y216)</f>
        <v>82.798500000000018</v>
      </c>
      <c r="E213" s="363" t="s">
        <v>114</v>
      </c>
      <c r="F213" s="354">
        <f>D213/g/J213</f>
        <v>131.87834480122325</v>
      </c>
      <c r="G213" s="363" t="s">
        <v>56</v>
      </c>
      <c r="H213" s="64">
        <v>0.152</v>
      </c>
      <c r="I213" s="363" t="s">
        <v>271</v>
      </c>
      <c r="J213" s="355">
        <f>H213-L213</f>
        <v>6.4000000000000001E-2</v>
      </c>
      <c r="K213" s="363" t="s">
        <v>272</v>
      </c>
      <c r="L213" s="64">
        <v>8.7999999999999995E-2</v>
      </c>
      <c r="M213" s="363" t="s">
        <v>57</v>
      </c>
      <c r="N213" s="65">
        <v>71</v>
      </c>
      <c r="O213" s="363" t="s">
        <v>59</v>
      </c>
      <c r="P213" s="65">
        <v>71</v>
      </c>
      <c r="Q213" s="363" t="s">
        <v>60</v>
      </c>
      <c r="R213" s="65">
        <v>142</v>
      </c>
      <c r="S213" s="363" t="s">
        <v>61</v>
      </c>
      <c r="T213" s="65">
        <v>29</v>
      </c>
      <c r="U213" s="363" t="s">
        <v>54</v>
      </c>
      <c r="V213" s="66" t="s">
        <v>119</v>
      </c>
      <c r="W213" s="463" t="s">
        <v>394</v>
      </c>
      <c r="X213" s="465">
        <v>0.96</v>
      </c>
      <c r="Y213" s="463" t="s">
        <v>393</v>
      </c>
      <c r="Z213" s="358">
        <v>11</v>
      </c>
    </row>
    <row r="214" spans="1:26" x14ac:dyDescent="0.2">
      <c r="A214" s="362" t="s">
        <v>33</v>
      </c>
      <c r="B214" s="370">
        <v>0</v>
      </c>
      <c r="C214" s="371">
        <v>0.02</v>
      </c>
      <c r="D214" s="371">
        <v>0.03</v>
      </c>
      <c r="E214" s="371">
        <v>0.04</v>
      </c>
      <c r="F214" s="371">
        <v>0.06</v>
      </c>
      <c r="G214" s="371">
        <v>0.08</v>
      </c>
      <c r="H214" s="371">
        <v>0.15</v>
      </c>
      <c r="I214" s="371">
        <v>0.18</v>
      </c>
      <c r="J214" s="371">
        <v>0.2</v>
      </c>
      <c r="K214" s="371">
        <v>0.3</v>
      </c>
      <c r="L214" s="371">
        <v>0.4</v>
      </c>
      <c r="M214" s="371">
        <v>0.5</v>
      </c>
      <c r="N214" s="371">
        <v>0.6</v>
      </c>
      <c r="O214" s="371">
        <v>0.7</v>
      </c>
      <c r="P214" s="371">
        <v>0.82</v>
      </c>
      <c r="Q214" s="371">
        <v>0.93</v>
      </c>
      <c r="R214" s="371">
        <v>1</v>
      </c>
      <c r="S214" s="371">
        <f t="shared" ref="S214:X215" si="73">R214</f>
        <v>1</v>
      </c>
      <c r="T214" s="371">
        <f t="shared" si="73"/>
        <v>1</v>
      </c>
      <c r="U214" s="371">
        <f t="shared" si="73"/>
        <v>1</v>
      </c>
      <c r="V214" s="371">
        <f t="shared" si="73"/>
        <v>1</v>
      </c>
      <c r="W214" s="371">
        <f t="shared" si="73"/>
        <v>1</v>
      </c>
      <c r="X214" s="371">
        <v>2</v>
      </c>
      <c r="Y214" s="381">
        <v>1000</v>
      </c>
    </row>
    <row r="215" spans="1:26" x14ac:dyDescent="0.2">
      <c r="A215" s="378" t="s">
        <v>34</v>
      </c>
      <c r="B215" s="372">
        <v>0</v>
      </c>
      <c r="C215" s="373">
        <v>41.9</v>
      </c>
      <c r="D215" s="373">
        <v>92.1</v>
      </c>
      <c r="E215" s="373">
        <v>116.7</v>
      </c>
      <c r="F215" s="373">
        <v>112.7</v>
      </c>
      <c r="G215" s="373">
        <v>82.7</v>
      </c>
      <c r="H215" s="373">
        <v>84.7</v>
      </c>
      <c r="I215" s="373">
        <v>86.2</v>
      </c>
      <c r="J215" s="373">
        <v>87.9</v>
      </c>
      <c r="K215" s="373">
        <v>90.9</v>
      </c>
      <c r="L215" s="373">
        <v>93.9</v>
      </c>
      <c r="M215" s="373">
        <v>95.3</v>
      </c>
      <c r="N215" s="373">
        <v>96.8</v>
      </c>
      <c r="O215" s="373">
        <v>97.6</v>
      </c>
      <c r="P215" s="373">
        <v>108.2</v>
      </c>
      <c r="Q215" s="373">
        <v>11</v>
      </c>
      <c r="R215" s="373">
        <v>0</v>
      </c>
      <c r="S215" s="373">
        <f t="shared" si="73"/>
        <v>0</v>
      </c>
      <c r="T215" s="373">
        <f t="shared" si="73"/>
        <v>0</v>
      </c>
      <c r="U215" s="373">
        <f t="shared" si="73"/>
        <v>0</v>
      </c>
      <c r="V215" s="373">
        <f t="shared" si="73"/>
        <v>0</v>
      </c>
      <c r="W215" s="373">
        <f t="shared" si="73"/>
        <v>0</v>
      </c>
      <c r="X215" s="373">
        <f t="shared" si="73"/>
        <v>0</v>
      </c>
      <c r="Y215" s="382">
        <v>0</v>
      </c>
    </row>
    <row r="216" spans="1:26" ht="13.5" thickBot="1" x14ac:dyDescent="0.25">
      <c r="A216" s="379" t="s">
        <v>116</v>
      </c>
      <c r="B216" s="374">
        <f t="shared" ref="B216:V216" si="74">(C215+B215)*(C214-B214)/2</f>
        <v>0.41899999999999998</v>
      </c>
      <c r="C216" s="375">
        <f t="shared" si="74"/>
        <v>0.66999999999999993</v>
      </c>
      <c r="D216" s="375">
        <f t="shared" si="74"/>
        <v>1.0440000000000003</v>
      </c>
      <c r="E216" s="375">
        <f t="shared" si="74"/>
        <v>2.2939999999999996</v>
      </c>
      <c r="F216" s="375">
        <f t="shared" si="74"/>
        <v>1.9540000000000004</v>
      </c>
      <c r="G216" s="375">
        <f t="shared" si="74"/>
        <v>5.859</v>
      </c>
      <c r="H216" s="375">
        <f t="shared" si="74"/>
        <v>2.5634999999999999</v>
      </c>
      <c r="I216" s="375">
        <f t="shared" si="74"/>
        <v>1.7410000000000019</v>
      </c>
      <c r="J216" s="375">
        <f>(K215+J215)*(K214-J214)/2</f>
        <v>8.9399999999999977</v>
      </c>
      <c r="K216" s="375">
        <f t="shared" si="74"/>
        <v>9.2400000000000038</v>
      </c>
      <c r="L216" s="375">
        <f t="shared" si="74"/>
        <v>9.4599999999999973</v>
      </c>
      <c r="M216" s="375">
        <f t="shared" si="74"/>
        <v>9.6049999999999969</v>
      </c>
      <c r="N216" s="375">
        <f t="shared" si="74"/>
        <v>9.7199999999999971</v>
      </c>
      <c r="O216" s="375">
        <f t="shared" si="74"/>
        <v>12.348000000000001</v>
      </c>
      <c r="P216" s="375">
        <f t="shared" si="74"/>
        <v>6.5560000000000063</v>
      </c>
      <c r="Q216" s="375">
        <f t="shared" si="74"/>
        <v>0.38499999999999973</v>
      </c>
      <c r="R216" s="375">
        <f t="shared" si="74"/>
        <v>0</v>
      </c>
      <c r="S216" s="375">
        <f>(T215+S215)*(T214-S214)/2</f>
        <v>0</v>
      </c>
      <c r="T216" s="375">
        <f t="shared" si="74"/>
        <v>0</v>
      </c>
      <c r="U216" s="375">
        <f t="shared" si="74"/>
        <v>0</v>
      </c>
      <c r="V216" s="375">
        <f t="shared" si="74"/>
        <v>0</v>
      </c>
      <c r="W216" s="375">
        <f>(X215+W215)*(X214-W214)/2</f>
        <v>0</v>
      </c>
      <c r="X216" s="375">
        <f>(Y215+X215)*(Y214-X214)/2</f>
        <v>0</v>
      </c>
      <c r="Y216" s="369"/>
    </row>
    <row r="217" spans="1:26" ht="13.5" thickBot="1" x14ac:dyDescent="0.25">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row>
    <row r="218" spans="1:26" ht="13.5" thickBot="1" x14ac:dyDescent="0.25">
      <c r="A218" s="361" t="s">
        <v>376</v>
      </c>
      <c r="B218" s="359">
        <f>ROW(A218)</f>
        <v>218</v>
      </c>
      <c r="C218" s="363" t="s">
        <v>115</v>
      </c>
      <c r="D218" s="353">
        <f>SUM(B221:Y221)</f>
        <v>98.257101163036367</v>
      </c>
      <c r="E218" s="363" t="s">
        <v>114</v>
      </c>
      <c r="F218" s="354">
        <f>D218/g/J218</f>
        <v>177.58890761893778</v>
      </c>
      <c r="G218" s="363" t="s">
        <v>56</v>
      </c>
      <c r="H218" s="64">
        <v>0.14319999999999999</v>
      </c>
      <c r="I218" s="363" t="s">
        <v>271</v>
      </c>
      <c r="J218" s="355">
        <f>H218-L218</f>
        <v>5.6399999999999992E-2</v>
      </c>
      <c r="K218" s="363" t="s">
        <v>272</v>
      </c>
      <c r="L218" s="64">
        <v>8.6800000000000002E-2</v>
      </c>
      <c r="M218" s="363" t="s">
        <v>57</v>
      </c>
      <c r="N218" s="65">
        <v>71</v>
      </c>
      <c r="O218" s="363" t="s">
        <v>59</v>
      </c>
      <c r="P218" s="65">
        <v>71</v>
      </c>
      <c r="Q218" s="363" t="s">
        <v>60</v>
      </c>
      <c r="R218" s="65">
        <v>142</v>
      </c>
      <c r="S218" s="363" t="s">
        <v>61</v>
      </c>
      <c r="T218" s="65">
        <v>29</v>
      </c>
      <c r="U218" s="363" t="s">
        <v>54</v>
      </c>
      <c r="V218" s="66" t="s">
        <v>119</v>
      </c>
      <c r="W218" s="463" t="s">
        <v>394</v>
      </c>
      <c r="X218" s="465">
        <v>1.1499999999999999</v>
      </c>
      <c r="Y218" s="463" t="s">
        <v>393</v>
      </c>
      <c r="Z218" s="358">
        <v>14</v>
      </c>
    </row>
    <row r="219" spans="1:26" x14ac:dyDescent="0.2">
      <c r="A219" s="362" t="s">
        <v>33</v>
      </c>
      <c r="B219" s="370">
        <v>0</v>
      </c>
      <c r="C219" s="371">
        <v>1.4999999999999999E-2</v>
      </c>
      <c r="D219" s="371">
        <v>0.03</v>
      </c>
      <c r="E219" s="371">
        <v>4.4999999999999998E-2</v>
      </c>
      <c r="F219" s="371">
        <v>0.06</v>
      </c>
      <c r="G219" s="371">
        <v>7.4999999999999997E-2</v>
      </c>
      <c r="H219" s="371">
        <v>0.09</v>
      </c>
      <c r="I219" s="371">
        <v>0.105</v>
      </c>
      <c r="J219" s="371">
        <v>0.12</v>
      </c>
      <c r="K219" s="371">
        <v>0.18</v>
      </c>
      <c r="L219" s="371">
        <v>0.24</v>
      </c>
      <c r="M219" s="371">
        <v>0.3</v>
      </c>
      <c r="N219" s="371">
        <v>0.48</v>
      </c>
      <c r="O219" s="371">
        <v>0.6</v>
      </c>
      <c r="P219" s="371">
        <v>0.66</v>
      </c>
      <c r="Q219" s="371">
        <v>0.72</v>
      </c>
      <c r="R219" s="371">
        <v>0.78</v>
      </c>
      <c r="S219" s="371">
        <v>0.84</v>
      </c>
      <c r="T219" s="371">
        <v>0.9</v>
      </c>
      <c r="U219" s="371">
        <v>0.96</v>
      </c>
      <c r="V219" s="371">
        <v>1.0349999999999999</v>
      </c>
      <c r="W219" s="371">
        <v>1.2</v>
      </c>
      <c r="X219" s="371">
        <v>2</v>
      </c>
      <c r="Y219" s="381">
        <v>1000</v>
      </c>
    </row>
    <row r="220" spans="1:26" x14ac:dyDescent="0.2">
      <c r="A220" s="378" t="s">
        <v>34</v>
      </c>
      <c r="B220" s="372">
        <v>0</v>
      </c>
      <c r="C220" s="376">
        <v>99.328788958822486</v>
      </c>
      <c r="D220" s="376">
        <v>109.07039432469</v>
      </c>
      <c r="E220" s="376">
        <v>65.255411286427503</v>
      </c>
      <c r="F220" s="376">
        <v>67.568486533117493</v>
      </c>
      <c r="G220" s="376">
        <v>73.929443461515007</v>
      </c>
      <c r="H220" s="376">
        <v>74.329783408057494</v>
      </c>
      <c r="I220" s="376">
        <v>78.1552540083525</v>
      </c>
      <c r="J220" s="376">
        <v>78.600076171177506</v>
      </c>
      <c r="K220" s="376">
        <v>82.203135690059995</v>
      </c>
      <c r="L220" s="376">
        <v>84.516210936749999</v>
      </c>
      <c r="M220" s="376">
        <v>88.51961040217499</v>
      </c>
      <c r="N220" s="376">
        <v>95.102978411984992</v>
      </c>
      <c r="O220" s="376">
        <v>95.547800574809997</v>
      </c>
      <c r="P220" s="376">
        <v>94.480227384029988</v>
      </c>
      <c r="Q220" s="376">
        <v>92.122669921057494</v>
      </c>
      <c r="R220" s="376">
        <v>90.743721216299988</v>
      </c>
      <c r="S220" s="376">
        <v>88.964432564999996</v>
      </c>
      <c r="T220" s="376">
        <v>85.405855262399996</v>
      </c>
      <c r="U220" s="376">
        <v>83.448637745970004</v>
      </c>
      <c r="V220" s="376">
        <v>88.074788239349999</v>
      </c>
      <c r="W220" s="376">
        <v>0</v>
      </c>
      <c r="X220" s="373">
        <v>0</v>
      </c>
      <c r="Y220" s="382">
        <v>0</v>
      </c>
    </row>
    <row r="221" spans="1:26" ht="13.5" thickBot="1" x14ac:dyDescent="0.25">
      <c r="A221" s="379" t="s">
        <v>116</v>
      </c>
      <c r="B221" s="374">
        <f t="shared" ref="B221:V221" si="75">(C220+B220)*(C219-B219)/2</f>
        <v>0.74496591719116867</v>
      </c>
      <c r="C221" s="375">
        <f t="shared" si="75"/>
        <v>1.5629938746263436</v>
      </c>
      <c r="D221" s="375">
        <f t="shared" si="75"/>
        <v>1.3074435420833814</v>
      </c>
      <c r="E221" s="375">
        <f t="shared" si="75"/>
        <v>0.99617923364658734</v>
      </c>
      <c r="F221" s="375">
        <f t="shared" si="75"/>
        <v>1.0612344749597438</v>
      </c>
      <c r="G221" s="375">
        <f t="shared" si="75"/>
        <v>1.1119442015217937</v>
      </c>
      <c r="H221" s="375">
        <f t="shared" si="75"/>
        <v>1.1436377806230749</v>
      </c>
      <c r="I221" s="375">
        <f t="shared" si="75"/>
        <v>1.175664976346475</v>
      </c>
      <c r="J221" s="375">
        <f>(K220+J220)*(K219-J219)/2</f>
        <v>4.824096355837125</v>
      </c>
      <c r="K221" s="375">
        <f t="shared" si="75"/>
        <v>5.0015803988042995</v>
      </c>
      <c r="L221" s="375">
        <f t="shared" si="75"/>
        <v>5.1910746401677494</v>
      </c>
      <c r="M221" s="375">
        <f t="shared" si="75"/>
        <v>16.526032993274399</v>
      </c>
      <c r="N221" s="375">
        <f t="shared" si="75"/>
        <v>11.439046739207699</v>
      </c>
      <c r="O221" s="375">
        <f t="shared" si="75"/>
        <v>5.7008408387652043</v>
      </c>
      <c r="P221" s="375">
        <f t="shared" si="75"/>
        <v>5.5980869191526192</v>
      </c>
      <c r="Q221" s="375">
        <f t="shared" si="75"/>
        <v>5.4859917341207289</v>
      </c>
      <c r="R221" s="375">
        <f t="shared" si="75"/>
        <v>5.3912446134389942</v>
      </c>
      <c r="S221" s="375">
        <f>(T220+S220)*(T219-S219)/2</f>
        <v>5.2311086348220037</v>
      </c>
      <c r="T221" s="375">
        <f t="shared" si="75"/>
        <v>5.0656347902510959</v>
      </c>
      <c r="U221" s="375">
        <f t="shared" si="75"/>
        <v>6.4321284744494962</v>
      </c>
      <c r="V221" s="375">
        <f t="shared" si="75"/>
        <v>7.2661700297463767</v>
      </c>
      <c r="W221" s="375">
        <f>(X220+W220)*(X219-W219)/2</f>
        <v>0</v>
      </c>
      <c r="X221" s="375">
        <f>(Y220+X220)*(Y219-X219)/2</f>
        <v>0</v>
      </c>
      <c r="Y221" s="369"/>
    </row>
    <row r="222" spans="1:26" ht="13.5" thickBot="1" x14ac:dyDescent="0.25">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row>
    <row r="223" spans="1:26" ht="13.5" thickBot="1" x14ac:dyDescent="0.25">
      <c r="A223" s="361" t="s">
        <v>377</v>
      </c>
      <c r="B223" s="359">
        <f>ROW(A223)</f>
        <v>223</v>
      </c>
      <c r="C223" s="363" t="s">
        <v>115</v>
      </c>
      <c r="D223" s="353">
        <f>SUM(B226:Y226)</f>
        <v>109.60639850000001</v>
      </c>
      <c r="E223" s="363" t="s">
        <v>114</v>
      </c>
      <c r="F223" s="354">
        <f>D223/g/J223</f>
        <v>194.31174666489383</v>
      </c>
      <c r="G223" s="363" t="s">
        <v>56</v>
      </c>
      <c r="H223" s="64">
        <v>0.14130000000000001</v>
      </c>
      <c r="I223" s="363" t="s">
        <v>271</v>
      </c>
      <c r="J223" s="355">
        <f>H223-L223</f>
        <v>5.7500000000000009E-2</v>
      </c>
      <c r="K223" s="363" t="s">
        <v>272</v>
      </c>
      <c r="L223" s="64">
        <v>8.3799999999999999E-2</v>
      </c>
      <c r="M223" s="363" t="s">
        <v>57</v>
      </c>
      <c r="N223" s="65">
        <v>71</v>
      </c>
      <c r="O223" s="363" t="s">
        <v>59</v>
      </c>
      <c r="P223" s="65">
        <v>71</v>
      </c>
      <c r="Q223" s="363" t="s">
        <v>60</v>
      </c>
      <c r="R223" s="65">
        <v>142</v>
      </c>
      <c r="S223" s="363" t="s">
        <v>61</v>
      </c>
      <c r="T223" s="65">
        <v>29</v>
      </c>
      <c r="U223" s="363" t="s">
        <v>54</v>
      </c>
      <c r="V223" s="66" t="s">
        <v>401</v>
      </c>
      <c r="W223" s="463" t="s">
        <v>394</v>
      </c>
      <c r="X223" s="465">
        <v>0.45</v>
      </c>
      <c r="Y223" s="463" t="s">
        <v>393</v>
      </c>
      <c r="Z223" s="358">
        <v>14</v>
      </c>
    </row>
    <row r="224" spans="1:26" x14ac:dyDescent="0.2">
      <c r="A224" s="362" t="s">
        <v>33</v>
      </c>
      <c r="B224" s="370">
        <v>0</v>
      </c>
      <c r="C224" s="371">
        <v>6.0000000000000001E-3</v>
      </c>
      <c r="D224" s="371">
        <v>1.0999999999999999E-2</v>
      </c>
      <c r="E224" s="371">
        <v>1.6E-2</v>
      </c>
      <c r="F224" s="371">
        <v>3.1E-2</v>
      </c>
      <c r="G224" s="371">
        <v>7.4999999999999997E-2</v>
      </c>
      <c r="H224" s="371">
        <v>0.122</v>
      </c>
      <c r="I224" s="371">
        <v>0.216</v>
      </c>
      <c r="J224" s="371">
        <v>0.25</v>
      </c>
      <c r="K224" s="371">
        <v>0.28699999999999998</v>
      </c>
      <c r="L224" s="371">
        <v>0.35399999999999998</v>
      </c>
      <c r="M224" s="371">
        <v>0.374</v>
      </c>
      <c r="N224" s="371">
        <v>0.4</v>
      </c>
      <c r="O224" s="371">
        <v>0.41299999999999998</v>
      </c>
      <c r="P224" s="371">
        <v>0.42</v>
      </c>
      <c r="Q224" s="371">
        <v>0.433</v>
      </c>
      <c r="R224" s="371">
        <v>0.44500000000000001</v>
      </c>
      <c r="S224" s="371">
        <v>0.45400000000000001</v>
      </c>
      <c r="T224" s="371">
        <f t="shared" ref="T224:X225" si="76">S224</f>
        <v>0.45400000000000001</v>
      </c>
      <c r="U224" s="371">
        <f t="shared" si="76"/>
        <v>0.45400000000000001</v>
      </c>
      <c r="V224" s="371">
        <f t="shared" si="76"/>
        <v>0.45400000000000001</v>
      </c>
      <c r="W224" s="371">
        <f t="shared" si="76"/>
        <v>0.45400000000000001</v>
      </c>
      <c r="X224" s="371">
        <v>2</v>
      </c>
      <c r="Y224" s="381">
        <v>1000</v>
      </c>
    </row>
    <row r="225" spans="1:26" x14ac:dyDescent="0.2">
      <c r="A225" s="378" t="s">
        <v>34</v>
      </c>
      <c r="B225" s="372">
        <v>0</v>
      </c>
      <c r="C225" s="373">
        <v>151.62100000000001</v>
      </c>
      <c r="D225" s="373">
        <v>198.07900000000001</v>
      </c>
      <c r="E225" s="373">
        <v>203.12100000000001</v>
      </c>
      <c r="F225" s="373">
        <v>201.68100000000001</v>
      </c>
      <c r="G225" s="373">
        <v>226.17</v>
      </c>
      <c r="H225" s="373">
        <v>250.3</v>
      </c>
      <c r="I225" s="373">
        <v>280.19200000000001</v>
      </c>
      <c r="J225" s="373">
        <v>287.03500000000003</v>
      </c>
      <c r="K225" s="373">
        <v>284.87400000000002</v>
      </c>
      <c r="L225" s="373">
        <v>269.74799999999999</v>
      </c>
      <c r="M225" s="373">
        <v>258.58300000000003</v>
      </c>
      <c r="N225" s="373">
        <v>233.37299999999999</v>
      </c>
      <c r="O225" s="373">
        <v>234.09399999999999</v>
      </c>
      <c r="P225" s="373">
        <v>227.61099999999999</v>
      </c>
      <c r="Q225" s="373">
        <v>137.935</v>
      </c>
      <c r="R225" s="373">
        <v>33.853999999999999</v>
      </c>
      <c r="S225" s="373">
        <v>0</v>
      </c>
      <c r="T225" s="373">
        <f t="shared" si="76"/>
        <v>0</v>
      </c>
      <c r="U225" s="373">
        <f t="shared" si="76"/>
        <v>0</v>
      </c>
      <c r="V225" s="373">
        <f t="shared" si="76"/>
        <v>0</v>
      </c>
      <c r="W225" s="373">
        <f t="shared" si="76"/>
        <v>0</v>
      </c>
      <c r="X225" s="373">
        <f t="shared" si="76"/>
        <v>0</v>
      </c>
      <c r="Y225" s="382">
        <v>0</v>
      </c>
    </row>
    <row r="226" spans="1:26" ht="13.5" thickBot="1" x14ac:dyDescent="0.25">
      <c r="A226" s="379" t="s">
        <v>116</v>
      </c>
      <c r="B226" s="374">
        <f t="shared" ref="B226:X226" si="77">(C225+B225)*(C224-B224)/2</f>
        <v>0.45486300000000002</v>
      </c>
      <c r="C226" s="375">
        <f t="shared" si="77"/>
        <v>0.87424999999999997</v>
      </c>
      <c r="D226" s="375">
        <f t="shared" si="77"/>
        <v>1.0030000000000003</v>
      </c>
      <c r="E226" s="375">
        <f t="shared" si="77"/>
        <v>3.0360149999999999</v>
      </c>
      <c r="F226" s="375">
        <f t="shared" si="77"/>
        <v>9.4127219999999987</v>
      </c>
      <c r="G226" s="375">
        <f t="shared" si="77"/>
        <v>11.197045000000001</v>
      </c>
      <c r="H226" s="375">
        <f t="shared" si="77"/>
        <v>24.933123999999999</v>
      </c>
      <c r="I226" s="375">
        <f t="shared" si="77"/>
        <v>9.6428590000000014</v>
      </c>
      <c r="J226" s="375">
        <f t="shared" si="77"/>
        <v>10.580316499999995</v>
      </c>
      <c r="K226" s="375">
        <f t="shared" si="77"/>
        <v>18.579837000000005</v>
      </c>
      <c r="L226" s="375">
        <f t="shared" si="77"/>
        <v>5.2833100000000046</v>
      </c>
      <c r="M226" s="375">
        <f t="shared" si="77"/>
        <v>6.3954280000000061</v>
      </c>
      <c r="N226" s="375">
        <f t="shared" si="77"/>
        <v>3.0385354999999898</v>
      </c>
      <c r="O226" s="375">
        <f t="shared" si="77"/>
        <v>1.6159675000000013</v>
      </c>
      <c r="P226" s="375">
        <f t="shared" si="77"/>
        <v>2.3760490000000019</v>
      </c>
      <c r="Q226" s="375">
        <f t="shared" si="77"/>
        <v>1.0307340000000009</v>
      </c>
      <c r="R226" s="375">
        <f t="shared" si="77"/>
        <v>0.15234300000000014</v>
      </c>
      <c r="S226" s="375">
        <f t="shared" si="77"/>
        <v>0</v>
      </c>
      <c r="T226" s="375">
        <f t="shared" si="77"/>
        <v>0</v>
      </c>
      <c r="U226" s="375">
        <f t="shared" si="77"/>
        <v>0</v>
      </c>
      <c r="V226" s="375">
        <f t="shared" si="77"/>
        <v>0</v>
      </c>
      <c r="W226" s="375">
        <f t="shared" si="77"/>
        <v>0</v>
      </c>
      <c r="X226" s="375">
        <f t="shared" si="77"/>
        <v>0</v>
      </c>
      <c r="Y226" s="369"/>
    </row>
    <row r="227" spans="1:26" ht="13.5" thickBot="1" x14ac:dyDescent="0.25">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row>
    <row r="228" spans="1:26" ht="13.5" thickBot="1" x14ac:dyDescent="0.25">
      <c r="A228" s="361" t="s">
        <v>378</v>
      </c>
      <c r="B228" s="359">
        <f>ROW(A228)</f>
        <v>228</v>
      </c>
      <c r="C228" s="363" t="s">
        <v>115</v>
      </c>
      <c r="D228" s="353">
        <f>SUM(B231:Y231)</f>
        <v>115.63</v>
      </c>
      <c r="E228" s="363" t="s">
        <v>114</v>
      </c>
      <c r="F228" s="354">
        <f>D228/g/J228</f>
        <v>199.77884897804037</v>
      </c>
      <c r="G228" s="363" t="s">
        <v>56</v>
      </c>
      <c r="H228" s="64">
        <v>0.14499999999999999</v>
      </c>
      <c r="I228" s="363" t="s">
        <v>271</v>
      </c>
      <c r="J228" s="355">
        <f>H228-L228</f>
        <v>5.8999999999999997E-2</v>
      </c>
      <c r="K228" s="363" t="s">
        <v>272</v>
      </c>
      <c r="L228" s="64">
        <v>8.5999999999999993E-2</v>
      </c>
      <c r="M228" s="363" t="s">
        <v>57</v>
      </c>
      <c r="N228" s="65">
        <v>71</v>
      </c>
      <c r="O228" s="363" t="s">
        <v>59</v>
      </c>
      <c r="P228" s="65">
        <v>71</v>
      </c>
      <c r="Q228" s="363" t="s">
        <v>60</v>
      </c>
      <c r="R228" s="65">
        <v>142</v>
      </c>
      <c r="S228" s="363" t="s">
        <v>61</v>
      </c>
      <c r="T228" s="65">
        <v>29</v>
      </c>
      <c r="U228" s="363" t="s">
        <v>54</v>
      </c>
      <c r="V228" s="66" t="s">
        <v>400</v>
      </c>
      <c r="W228" s="463" t="s">
        <v>394</v>
      </c>
      <c r="X228" s="465">
        <v>0.93</v>
      </c>
      <c r="Y228" s="463" t="s">
        <v>393</v>
      </c>
      <c r="Z228" s="358">
        <v>13</v>
      </c>
    </row>
    <row r="229" spans="1:26" x14ac:dyDescent="0.2">
      <c r="A229" s="362" t="s">
        <v>33</v>
      </c>
      <c r="B229" s="370">
        <v>0</v>
      </c>
      <c r="C229" s="371">
        <v>0.01</v>
      </c>
      <c r="D229" s="371">
        <v>0.02</v>
      </c>
      <c r="E229" s="371">
        <v>0.03</v>
      </c>
      <c r="F229" s="371">
        <v>0.04</v>
      </c>
      <c r="G229" s="371">
        <v>0.05</v>
      </c>
      <c r="H229" s="371">
        <v>0.1</v>
      </c>
      <c r="I229" s="371">
        <v>0.2</v>
      </c>
      <c r="J229" s="371">
        <v>0.3</v>
      </c>
      <c r="K229" s="371">
        <v>0.4</v>
      </c>
      <c r="L229" s="371">
        <v>0.6</v>
      </c>
      <c r="M229" s="371">
        <v>0.75</v>
      </c>
      <c r="N229" s="371">
        <v>0.81</v>
      </c>
      <c r="O229" s="371">
        <v>0.86</v>
      </c>
      <c r="P229" s="371">
        <v>0.9</v>
      </c>
      <c r="Q229" s="371">
        <v>0.95</v>
      </c>
      <c r="R229" s="371">
        <v>1</v>
      </c>
      <c r="S229" s="371">
        <v>1</v>
      </c>
      <c r="T229" s="371">
        <v>1</v>
      </c>
      <c r="U229" s="371">
        <v>1</v>
      </c>
      <c r="V229" s="371">
        <v>1</v>
      </c>
      <c r="W229" s="371">
        <v>1</v>
      </c>
      <c r="X229" s="371">
        <v>2</v>
      </c>
      <c r="Y229" s="381">
        <v>1000</v>
      </c>
    </row>
    <row r="230" spans="1:26" x14ac:dyDescent="0.2">
      <c r="A230" s="378" t="s">
        <v>34</v>
      </c>
      <c r="B230" s="372">
        <v>0</v>
      </c>
      <c r="C230" s="376">
        <v>55</v>
      </c>
      <c r="D230" s="376">
        <v>168</v>
      </c>
      <c r="E230" s="376">
        <v>157</v>
      </c>
      <c r="F230" s="376">
        <v>148</v>
      </c>
      <c r="G230" s="376">
        <v>125</v>
      </c>
      <c r="H230" s="376">
        <v>135</v>
      </c>
      <c r="I230" s="376">
        <v>141</v>
      </c>
      <c r="J230" s="376">
        <v>142</v>
      </c>
      <c r="K230" s="376">
        <v>141</v>
      </c>
      <c r="L230" s="376">
        <v>133</v>
      </c>
      <c r="M230" s="376">
        <v>127</v>
      </c>
      <c r="N230" s="376">
        <v>128</v>
      </c>
      <c r="O230" s="376">
        <v>60</v>
      </c>
      <c r="P230" s="376">
        <v>15</v>
      </c>
      <c r="Q230" s="376">
        <v>0</v>
      </c>
      <c r="R230" s="376">
        <v>0</v>
      </c>
      <c r="S230" s="376">
        <v>0</v>
      </c>
      <c r="T230" s="376">
        <v>0</v>
      </c>
      <c r="U230" s="376">
        <v>0</v>
      </c>
      <c r="V230" s="376">
        <v>0</v>
      </c>
      <c r="W230" s="376">
        <v>0</v>
      </c>
      <c r="X230" s="373">
        <v>0</v>
      </c>
      <c r="Y230" s="382">
        <v>0</v>
      </c>
    </row>
    <row r="231" spans="1:26" ht="13.5" thickBot="1" x14ac:dyDescent="0.25">
      <c r="A231" s="379" t="s">
        <v>116</v>
      </c>
      <c r="B231" s="374">
        <f t="shared" ref="B231:X231" si="78">(C230+B230)*(C229-B229)/2</f>
        <v>0.27500000000000002</v>
      </c>
      <c r="C231" s="375">
        <f t="shared" si="78"/>
        <v>1.115</v>
      </c>
      <c r="D231" s="375">
        <f t="shared" si="78"/>
        <v>1.6249999999999998</v>
      </c>
      <c r="E231" s="375">
        <f t="shared" si="78"/>
        <v>1.5250000000000004</v>
      </c>
      <c r="F231" s="375">
        <f t="shared" si="78"/>
        <v>1.3650000000000002</v>
      </c>
      <c r="G231" s="375">
        <f t="shared" si="78"/>
        <v>6.5</v>
      </c>
      <c r="H231" s="375">
        <f t="shared" si="78"/>
        <v>13.8</v>
      </c>
      <c r="I231" s="375">
        <f t="shared" si="78"/>
        <v>14.149999999999997</v>
      </c>
      <c r="J231" s="375">
        <f t="shared" si="78"/>
        <v>14.150000000000004</v>
      </c>
      <c r="K231" s="375">
        <f t="shared" si="78"/>
        <v>27.399999999999995</v>
      </c>
      <c r="L231" s="375">
        <f t="shared" si="78"/>
        <v>19.500000000000004</v>
      </c>
      <c r="M231" s="375">
        <f t="shared" si="78"/>
        <v>7.6500000000000066</v>
      </c>
      <c r="N231" s="375">
        <f t="shared" si="78"/>
        <v>4.699999999999994</v>
      </c>
      <c r="O231" s="375">
        <f t="shared" si="78"/>
        <v>1.5000000000000013</v>
      </c>
      <c r="P231" s="375">
        <f t="shared" si="78"/>
        <v>0.3749999999999995</v>
      </c>
      <c r="Q231" s="375">
        <f t="shared" si="78"/>
        <v>0</v>
      </c>
      <c r="R231" s="375">
        <f t="shared" si="78"/>
        <v>0</v>
      </c>
      <c r="S231" s="375">
        <f t="shared" si="78"/>
        <v>0</v>
      </c>
      <c r="T231" s="375">
        <f t="shared" si="78"/>
        <v>0</v>
      </c>
      <c r="U231" s="375">
        <f t="shared" si="78"/>
        <v>0</v>
      </c>
      <c r="V231" s="375">
        <f t="shared" si="78"/>
        <v>0</v>
      </c>
      <c r="W231" s="375">
        <f t="shared" si="78"/>
        <v>0</v>
      </c>
      <c r="X231" s="375">
        <f t="shared" si="78"/>
        <v>0</v>
      </c>
      <c r="Y231" s="369"/>
    </row>
    <row r="232" spans="1:26" ht="13.5" thickBot="1" x14ac:dyDescent="0.25">
      <c r="A232" s="6" t="s">
        <v>386</v>
      </c>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row>
    <row r="233" spans="1:26" ht="13.5" thickBot="1" x14ac:dyDescent="0.25">
      <c r="A233" s="361" t="s">
        <v>387</v>
      </c>
      <c r="B233" s="359">
        <f>ROW(A233)</f>
        <v>233</v>
      </c>
      <c r="C233" s="363" t="s">
        <v>115</v>
      </c>
      <c r="D233" s="353">
        <f>SUM(B236:Y236)</f>
        <v>115.63</v>
      </c>
      <c r="E233" s="363" t="s">
        <v>114</v>
      </c>
      <c r="F233" s="354">
        <f>D233/g/J233</f>
        <v>125.39310733728064</v>
      </c>
      <c r="G233" s="363" t="s">
        <v>56</v>
      </c>
      <c r="H233" s="64">
        <v>0.2</v>
      </c>
      <c r="I233" s="363" t="s">
        <v>271</v>
      </c>
      <c r="J233" s="355">
        <f>H233-L233</f>
        <v>9.4000000000000014E-2</v>
      </c>
      <c r="K233" s="363" t="s">
        <v>272</v>
      </c>
      <c r="L233" s="64">
        <v>0.106</v>
      </c>
      <c r="M233" s="363" t="s">
        <v>57</v>
      </c>
      <c r="N233" s="65">
        <v>93</v>
      </c>
      <c r="O233" s="363" t="s">
        <v>59</v>
      </c>
      <c r="P233" s="65">
        <v>93</v>
      </c>
      <c r="Q233" s="363" t="s">
        <v>60</v>
      </c>
      <c r="R233" s="65">
        <v>187</v>
      </c>
      <c r="S233" s="363" t="s">
        <v>61</v>
      </c>
      <c r="T233" s="65">
        <v>29</v>
      </c>
      <c r="U233" s="363" t="s">
        <v>54</v>
      </c>
      <c r="V233" s="66" t="s">
        <v>119</v>
      </c>
      <c r="W233" s="463" t="s">
        <v>394</v>
      </c>
      <c r="X233" s="465">
        <v>0.96</v>
      </c>
      <c r="Y233" s="463" t="s">
        <v>393</v>
      </c>
      <c r="Z233" s="358">
        <v>14</v>
      </c>
    </row>
    <row r="234" spans="1:26" x14ac:dyDescent="0.2">
      <c r="A234" s="362" t="s">
        <v>33</v>
      </c>
      <c r="B234" s="370">
        <v>0</v>
      </c>
      <c r="C234" s="371">
        <v>0.01</v>
      </c>
      <c r="D234" s="371">
        <v>0.02</v>
      </c>
      <c r="E234" s="371">
        <v>0.03</v>
      </c>
      <c r="F234" s="371">
        <v>0.04</v>
      </c>
      <c r="G234" s="371">
        <v>0.05</v>
      </c>
      <c r="H234" s="371">
        <v>0.1</v>
      </c>
      <c r="I234" s="371">
        <v>0.2</v>
      </c>
      <c r="J234" s="371">
        <v>0.3</v>
      </c>
      <c r="K234" s="371">
        <v>0.4</v>
      </c>
      <c r="L234" s="371">
        <v>0.6</v>
      </c>
      <c r="M234" s="371">
        <v>0.75</v>
      </c>
      <c r="N234" s="371">
        <v>0.81</v>
      </c>
      <c r="O234" s="371">
        <v>0.86</v>
      </c>
      <c r="P234" s="371">
        <v>0.9</v>
      </c>
      <c r="Q234" s="371">
        <v>0.95</v>
      </c>
      <c r="R234" s="371">
        <v>1</v>
      </c>
      <c r="S234" s="371">
        <f t="shared" ref="S234:X235" si="79">R234</f>
        <v>1</v>
      </c>
      <c r="T234" s="371">
        <f t="shared" si="79"/>
        <v>1</v>
      </c>
      <c r="U234" s="371">
        <f t="shared" si="79"/>
        <v>1</v>
      </c>
      <c r="V234" s="371">
        <f t="shared" si="79"/>
        <v>1</v>
      </c>
      <c r="W234" s="371">
        <f t="shared" si="79"/>
        <v>1</v>
      </c>
      <c r="X234" s="371">
        <v>2</v>
      </c>
      <c r="Y234" s="381">
        <v>1000</v>
      </c>
    </row>
    <row r="235" spans="1:26" x14ac:dyDescent="0.2">
      <c r="A235" s="378" t="s">
        <v>34</v>
      </c>
      <c r="B235" s="372">
        <v>0</v>
      </c>
      <c r="C235" s="373">
        <v>55</v>
      </c>
      <c r="D235" s="373">
        <v>168</v>
      </c>
      <c r="E235" s="373">
        <v>157</v>
      </c>
      <c r="F235" s="373">
        <v>148</v>
      </c>
      <c r="G235" s="373">
        <v>125</v>
      </c>
      <c r="H235" s="373">
        <v>135</v>
      </c>
      <c r="I235" s="373">
        <v>141</v>
      </c>
      <c r="J235" s="373">
        <v>142</v>
      </c>
      <c r="K235" s="373">
        <v>141</v>
      </c>
      <c r="L235" s="373">
        <v>133</v>
      </c>
      <c r="M235" s="373">
        <v>127</v>
      </c>
      <c r="N235" s="373">
        <v>128</v>
      </c>
      <c r="O235" s="373">
        <v>60</v>
      </c>
      <c r="P235" s="373">
        <v>15</v>
      </c>
      <c r="Q235" s="373">
        <v>0</v>
      </c>
      <c r="R235" s="373">
        <v>0</v>
      </c>
      <c r="S235" s="373">
        <f t="shared" si="79"/>
        <v>0</v>
      </c>
      <c r="T235" s="373">
        <f t="shared" si="79"/>
        <v>0</v>
      </c>
      <c r="U235" s="373">
        <f t="shared" si="79"/>
        <v>0</v>
      </c>
      <c r="V235" s="373">
        <f t="shared" si="79"/>
        <v>0</v>
      </c>
      <c r="W235" s="373">
        <f t="shared" si="79"/>
        <v>0</v>
      </c>
      <c r="X235" s="373">
        <f t="shared" si="79"/>
        <v>0</v>
      </c>
      <c r="Y235" s="382">
        <v>0</v>
      </c>
    </row>
    <row r="236" spans="1:26" ht="13.5" thickBot="1" x14ac:dyDescent="0.25">
      <c r="A236" s="379" t="s">
        <v>116</v>
      </c>
      <c r="B236" s="374">
        <f t="shared" ref="B236:X236" si="80">(C235+B235)*(C234-B234)/2</f>
        <v>0.27500000000000002</v>
      </c>
      <c r="C236" s="375">
        <f t="shared" si="80"/>
        <v>1.115</v>
      </c>
      <c r="D236" s="375">
        <f t="shared" si="80"/>
        <v>1.6249999999999998</v>
      </c>
      <c r="E236" s="375">
        <f t="shared" si="80"/>
        <v>1.5250000000000004</v>
      </c>
      <c r="F236" s="375">
        <f t="shared" si="80"/>
        <v>1.3650000000000002</v>
      </c>
      <c r="G236" s="375">
        <f t="shared" si="80"/>
        <v>6.5</v>
      </c>
      <c r="H236" s="375">
        <f t="shared" si="80"/>
        <v>13.8</v>
      </c>
      <c r="I236" s="375">
        <f t="shared" si="80"/>
        <v>14.149999999999997</v>
      </c>
      <c r="J236" s="375">
        <f t="shared" si="80"/>
        <v>14.150000000000004</v>
      </c>
      <c r="K236" s="375">
        <f t="shared" si="80"/>
        <v>27.399999999999995</v>
      </c>
      <c r="L236" s="375">
        <f t="shared" si="80"/>
        <v>19.500000000000004</v>
      </c>
      <c r="M236" s="375">
        <f t="shared" si="80"/>
        <v>7.6500000000000066</v>
      </c>
      <c r="N236" s="375">
        <f t="shared" si="80"/>
        <v>4.699999999999994</v>
      </c>
      <c r="O236" s="375">
        <f t="shared" si="80"/>
        <v>1.5000000000000013</v>
      </c>
      <c r="P236" s="375">
        <f t="shared" si="80"/>
        <v>0.3749999999999995</v>
      </c>
      <c r="Q236" s="375">
        <f t="shared" si="80"/>
        <v>0</v>
      </c>
      <c r="R236" s="375">
        <f t="shared" si="80"/>
        <v>0</v>
      </c>
      <c r="S236" s="375">
        <f t="shared" si="80"/>
        <v>0</v>
      </c>
      <c r="T236" s="375">
        <f t="shared" si="80"/>
        <v>0</v>
      </c>
      <c r="U236" s="375">
        <f t="shared" si="80"/>
        <v>0</v>
      </c>
      <c r="V236" s="375">
        <f t="shared" si="80"/>
        <v>0</v>
      </c>
      <c r="W236" s="375">
        <f t="shared" si="80"/>
        <v>0</v>
      </c>
      <c r="X236" s="375">
        <f t="shared" si="80"/>
        <v>0</v>
      </c>
      <c r="Y236" s="369"/>
    </row>
    <row r="237" spans="1:26" ht="13.5" thickBot="1" x14ac:dyDescent="0.25">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row>
    <row r="238" spans="1:26" ht="13.5" thickBot="1" x14ac:dyDescent="0.25">
      <c r="A238" s="361" t="s">
        <v>392</v>
      </c>
      <c r="B238" s="359">
        <f>ROW(A238)</f>
        <v>238</v>
      </c>
      <c r="C238" s="363" t="s">
        <v>115</v>
      </c>
      <c r="D238" s="353">
        <f>SUM(B241:Y241)</f>
        <v>158.04815100000002</v>
      </c>
      <c r="E238" s="363" t="s">
        <v>114</v>
      </c>
      <c r="F238" s="354">
        <v>198</v>
      </c>
      <c r="G238" s="363" t="s">
        <v>56</v>
      </c>
      <c r="H238" s="64">
        <v>0.19450000000000001</v>
      </c>
      <c r="I238" s="363" t="s">
        <v>271</v>
      </c>
      <c r="J238" s="355">
        <f>H238-L238</f>
        <v>8.9600000000000013E-2</v>
      </c>
      <c r="K238" s="363" t="s">
        <v>272</v>
      </c>
      <c r="L238" s="64">
        <v>0.10489999999999999</v>
      </c>
      <c r="M238" s="363" t="s">
        <v>57</v>
      </c>
      <c r="N238" s="65">
        <v>93</v>
      </c>
      <c r="O238" s="363" t="s">
        <v>59</v>
      </c>
      <c r="P238" s="65">
        <v>93</v>
      </c>
      <c r="Q238" s="363" t="s">
        <v>60</v>
      </c>
      <c r="R238" s="65">
        <v>187</v>
      </c>
      <c r="S238" s="363" t="s">
        <v>61</v>
      </c>
      <c r="T238" s="65">
        <v>29</v>
      </c>
      <c r="U238" s="363" t="s">
        <v>54</v>
      </c>
      <c r="V238" s="66" t="s">
        <v>119</v>
      </c>
      <c r="W238" s="463" t="s">
        <v>394</v>
      </c>
      <c r="X238" s="465">
        <v>1.27</v>
      </c>
      <c r="Y238" s="463" t="s">
        <v>393</v>
      </c>
      <c r="Z238" s="358">
        <v>14</v>
      </c>
    </row>
    <row r="239" spans="1:26" x14ac:dyDescent="0.2">
      <c r="A239" s="362" t="s">
        <v>33</v>
      </c>
      <c r="B239" s="471">
        <v>0</v>
      </c>
      <c r="C239" s="471">
        <v>4.0000000000000001E-3</v>
      </c>
      <c r="D239" s="471">
        <v>2.1999999999999999E-2</v>
      </c>
      <c r="E239" s="471">
        <v>3.9E-2</v>
      </c>
      <c r="F239" s="471">
        <v>0.122</v>
      </c>
      <c r="G239" s="471">
        <v>0.23599999999999999</v>
      </c>
      <c r="H239" s="471">
        <v>0.58899999999999997</v>
      </c>
      <c r="I239" s="471">
        <v>0.80100000000000005</v>
      </c>
      <c r="J239" s="471">
        <v>1.0680000000000001</v>
      </c>
      <c r="K239" s="471">
        <v>1.1180000000000001</v>
      </c>
      <c r="L239" s="471">
        <v>1.145</v>
      </c>
      <c r="M239" s="471">
        <v>1.1739999999999999</v>
      </c>
      <c r="N239" s="471">
        <v>1.2110000000000001</v>
      </c>
      <c r="O239" s="471">
        <v>1.2470000000000001</v>
      </c>
      <c r="P239" s="471">
        <v>1.2989999999999999</v>
      </c>
      <c r="Q239" s="371">
        <v>2</v>
      </c>
      <c r="R239" s="371">
        <v>2</v>
      </c>
      <c r="S239" s="371">
        <f t="shared" ref="S239:X240" si="81">R239</f>
        <v>2</v>
      </c>
      <c r="T239" s="371">
        <f t="shared" si="81"/>
        <v>2</v>
      </c>
      <c r="U239" s="371">
        <f t="shared" si="81"/>
        <v>2</v>
      </c>
      <c r="V239" s="371">
        <f t="shared" si="81"/>
        <v>2</v>
      </c>
      <c r="W239" s="371">
        <f t="shared" si="81"/>
        <v>2</v>
      </c>
      <c r="X239" s="371">
        <f t="shared" si="81"/>
        <v>2</v>
      </c>
      <c r="Y239" s="381">
        <v>1000</v>
      </c>
    </row>
    <row r="240" spans="1:26" x14ac:dyDescent="0.2">
      <c r="A240" s="378" t="s">
        <v>34</v>
      </c>
      <c r="B240" s="471">
        <v>0</v>
      </c>
      <c r="C240" s="471">
        <v>15.683</v>
      </c>
      <c r="D240" s="471">
        <v>170.834</v>
      </c>
      <c r="E240" s="471">
        <v>116.877</v>
      </c>
      <c r="F240" s="471">
        <v>142.642</v>
      </c>
      <c r="G240" s="471">
        <v>149.73699999999999</v>
      </c>
      <c r="H240" s="471">
        <v>142.642</v>
      </c>
      <c r="I240" s="471">
        <v>131.25299999999999</v>
      </c>
      <c r="J240" s="471">
        <v>122.104</v>
      </c>
      <c r="K240" s="471">
        <v>107.91500000000001</v>
      </c>
      <c r="L240" s="471">
        <v>78.415999999999997</v>
      </c>
      <c r="M240" s="471">
        <v>43.128999999999998</v>
      </c>
      <c r="N240" s="471">
        <v>21.471</v>
      </c>
      <c r="O240" s="471">
        <v>8.7750000000000004</v>
      </c>
      <c r="P240" s="471">
        <v>0</v>
      </c>
      <c r="Q240" s="373">
        <v>0</v>
      </c>
      <c r="R240" s="373">
        <v>0</v>
      </c>
      <c r="S240" s="373">
        <f t="shared" si="81"/>
        <v>0</v>
      </c>
      <c r="T240" s="373">
        <f t="shared" si="81"/>
        <v>0</v>
      </c>
      <c r="U240" s="373">
        <f t="shared" si="81"/>
        <v>0</v>
      </c>
      <c r="V240" s="373">
        <f t="shared" si="81"/>
        <v>0</v>
      </c>
      <c r="W240" s="373">
        <f t="shared" si="81"/>
        <v>0</v>
      </c>
      <c r="X240" s="373">
        <f t="shared" si="81"/>
        <v>0</v>
      </c>
      <c r="Y240" s="382">
        <v>0</v>
      </c>
    </row>
    <row r="241" spans="1:26" ht="13.5" thickBot="1" x14ac:dyDescent="0.25">
      <c r="A241" s="379" t="s">
        <v>116</v>
      </c>
      <c r="B241" s="374">
        <f t="shared" ref="B241:X241" si="82">(C240+B240)*(C239-B239)/2</f>
        <v>3.1365999999999998E-2</v>
      </c>
      <c r="C241" s="375">
        <f t="shared" si="82"/>
        <v>1.6786529999999997</v>
      </c>
      <c r="D241" s="375">
        <f t="shared" si="82"/>
        <v>2.4455435000000003</v>
      </c>
      <c r="E241" s="375">
        <f t="shared" si="82"/>
        <v>10.770038499999998</v>
      </c>
      <c r="F241" s="375">
        <f t="shared" si="82"/>
        <v>16.665603000000001</v>
      </c>
      <c r="G241" s="375">
        <f t="shared" si="82"/>
        <v>51.604893500000003</v>
      </c>
      <c r="H241" s="375">
        <f t="shared" si="82"/>
        <v>29.03287000000001</v>
      </c>
      <c r="I241" s="375">
        <f t="shared" si="82"/>
        <v>33.823159499999996</v>
      </c>
      <c r="J241" s="375">
        <f t="shared" si="82"/>
        <v>5.7504750000000051</v>
      </c>
      <c r="K241" s="375">
        <f t="shared" si="82"/>
        <v>2.5154684999999923</v>
      </c>
      <c r="L241" s="375">
        <f t="shared" si="82"/>
        <v>1.7624024999999945</v>
      </c>
      <c r="M241" s="375">
        <f t="shared" si="82"/>
        <v>1.1951000000000045</v>
      </c>
      <c r="N241" s="375">
        <f t="shared" si="82"/>
        <v>0.54442800000000058</v>
      </c>
      <c r="O241" s="375">
        <f t="shared" si="82"/>
        <v>0.22814999999999924</v>
      </c>
      <c r="P241" s="375">
        <f t="shared" si="82"/>
        <v>0</v>
      </c>
      <c r="Q241" s="375">
        <f t="shared" si="82"/>
        <v>0</v>
      </c>
      <c r="R241" s="375">
        <f t="shared" si="82"/>
        <v>0</v>
      </c>
      <c r="S241" s="375">
        <f t="shared" si="82"/>
        <v>0</v>
      </c>
      <c r="T241" s="375">
        <f t="shared" si="82"/>
        <v>0</v>
      </c>
      <c r="U241" s="375">
        <f t="shared" si="82"/>
        <v>0</v>
      </c>
      <c r="V241" s="375">
        <f t="shared" si="82"/>
        <v>0</v>
      </c>
      <c r="W241" s="375">
        <f t="shared" si="82"/>
        <v>0</v>
      </c>
      <c r="X241" s="375">
        <f t="shared" si="82"/>
        <v>0</v>
      </c>
      <c r="Y241" s="369"/>
    </row>
    <row r="242" spans="1:26" ht="13.5" thickBot="1" x14ac:dyDescent="0.25">
      <c r="A242" s="6" t="s">
        <v>374</v>
      </c>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row>
    <row r="243" spans="1:26" ht="13.5" thickBot="1" x14ac:dyDescent="0.25">
      <c r="A243" s="361" t="s">
        <v>379</v>
      </c>
      <c r="B243" s="359">
        <f>ROW(A243)</f>
        <v>243</v>
      </c>
      <c r="C243" s="363" t="s">
        <v>115</v>
      </c>
      <c r="D243" s="353">
        <f>SUM(B246:Y246)</f>
        <v>136.75235000000001</v>
      </c>
      <c r="E243" s="363" t="s">
        <v>114</v>
      </c>
      <c r="F243" s="354">
        <f>D243/g/J243</f>
        <v>152.35078513616639</v>
      </c>
      <c r="G243" s="363" t="s">
        <v>56</v>
      </c>
      <c r="H243" s="64">
        <v>0.21249999999999999</v>
      </c>
      <c r="I243" s="363" t="s">
        <v>271</v>
      </c>
      <c r="J243" s="355">
        <f>H243-L243</f>
        <v>9.1499999999999998E-2</v>
      </c>
      <c r="K243" s="363" t="s">
        <v>272</v>
      </c>
      <c r="L243" s="64">
        <v>0.121</v>
      </c>
      <c r="M243" s="363" t="s">
        <v>57</v>
      </c>
      <c r="N243" s="65">
        <v>63</v>
      </c>
      <c r="O243" s="363" t="s">
        <v>59</v>
      </c>
      <c r="P243" s="65">
        <v>114</v>
      </c>
      <c r="Q243" s="363" t="s">
        <v>60</v>
      </c>
      <c r="R243" s="65">
        <v>127</v>
      </c>
      <c r="S243" s="363" t="s">
        <v>61</v>
      </c>
      <c r="T243" s="65">
        <v>38</v>
      </c>
      <c r="U243" s="363" t="s">
        <v>54</v>
      </c>
      <c r="V243" s="66" t="s">
        <v>119</v>
      </c>
      <c r="W243" s="463" t="s">
        <v>394</v>
      </c>
      <c r="X243" s="465">
        <v>2.36</v>
      </c>
      <c r="Y243" s="463" t="s">
        <v>393</v>
      </c>
      <c r="Z243" s="358">
        <v>13</v>
      </c>
    </row>
    <row r="244" spans="1:26" x14ac:dyDescent="0.2">
      <c r="A244" s="362" t="s">
        <v>33</v>
      </c>
      <c r="B244" s="370">
        <v>0</v>
      </c>
      <c r="C244" s="371">
        <v>2.9000000000000001E-2</v>
      </c>
      <c r="D244" s="371">
        <v>4.5999999999999999E-2</v>
      </c>
      <c r="E244" s="371">
        <v>5.8000000000000003E-2</v>
      </c>
      <c r="F244" s="371">
        <v>8.4000000000000005E-2</v>
      </c>
      <c r="G244" s="371">
        <v>0.17100000000000001</v>
      </c>
      <c r="H244" s="371">
        <v>0.28000000000000003</v>
      </c>
      <c r="I244" s="371">
        <v>0.45500000000000002</v>
      </c>
      <c r="J244" s="371">
        <v>0.58599999999999997</v>
      </c>
      <c r="K244" s="371">
        <v>0.74099999999999999</v>
      </c>
      <c r="L244" s="371">
        <v>0.95199999999999996</v>
      </c>
      <c r="M244" s="371">
        <v>1.2170000000000001</v>
      </c>
      <c r="N244" s="371">
        <v>1.43</v>
      </c>
      <c r="O244" s="371">
        <v>1.6259999999999999</v>
      </c>
      <c r="P244" s="371">
        <v>1.8069999999999999</v>
      </c>
      <c r="Q244" s="371">
        <v>1.9590000000000001</v>
      </c>
      <c r="R244" s="371">
        <v>2.1040000000000001</v>
      </c>
      <c r="S244" s="371">
        <v>2.1680000000000001</v>
      </c>
      <c r="T244" s="371">
        <v>2.21</v>
      </c>
      <c r="U244" s="371">
        <v>2.2469999999999999</v>
      </c>
      <c r="V244" s="371">
        <v>2.3290000000000002</v>
      </c>
      <c r="W244" s="371">
        <f>2.4</f>
        <v>2.4</v>
      </c>
      <c r="X244" s="371">
        <f>W244</f>
        <v>2.4</v>
      </c>
      <c r="Y244" s="381">
        <v>1000</v>
      </c>
    </row>
    <row r="245" spans="1:26" x14ac:dyDescent="0.2">
      <c r="A245" s="378" t="s">
        <v>34</v>
      </c>
      <c r="B245" s="372">
        <v>0</v>
      </c>
      <c r="C245" s="373">
        <v>90.25</v>
      </c>
      <c r="D245" s="373">
        <v>69.17</v>
      </c>
      <c r="E245" s="373">
        <v>59.947000000000003</v>
      </c>
      <c r="F245" s="373">
        <v>47.167000000000002</v>
      </c>
      <c r="G245" s="373">
        <v>57.970999999999997</v>
      </c>
      <c r="H245" s="373">
        <v>59.552</v>
      </c>
      <c r="I245" s="373">
        <v>61.265000000000001</v>
      </c>
      <c r="J245" s="373">
        <v>61.66</v>
      </c>
      <c r="K245" s="373">
        <v>62.319000000000003</v>
      </c>
      <c r="L245" s="373">
        <v>63.768000000000001</v>
      </c>
      <c r="M245" s="373">
        <v>64.69</v>
      </c>
      <c r="N245" s="373">
        <v>63.768000000000001</v>
      </c>
      <c r="O245" s="373">
        <v>61.265000000000001</v>
      </c>
      <c r="P245" s="373">
        <v>58.103000000000002</v>
      </c>
      <c r="Q245" s="373">
        <v>53.887</v>
      </c>
      <c r="R245" s="373">
        <v>48.353000000000002</v>
      </c>
      <c r="S245" s="373">
        <v>47.563000000000002</v>
      </c>
      <c r="T245" s="373">
        <v>44.005000000000003</v>
      </c>
      <c r="U245" s="373">
        <v>37.286000000000001</v>
      </c>
      <c r="V245" s="373">
        <v>22.265999999999998</v>
      </c>
      <c r="W245" s="373">
        <v>0</v>
      </c>
      <c r="X245" s="373">
        <f>W245</f>
        <v>0</v>
      </c>
      <c r="Y245" s="382">
        <v>0</v>
      </c>
    </row>
    <row r="246" spans="1:26" ht="13.5" thickBot="1" x14ac:dyDescent="0.25">
      <c r="A246" s="379" t="s">
        <v>116</v>
      </c>
      <c r="B246" s="374">
        <f t="shared" ref="B246:X246" si="83">(C245+B245)*(C244-B244)/2</f>
        <v>1.3086250000000001</v>
      </c>
      <c r="C246" s="375">
        <f t="shared" si="83"/>
        <v>1.35507</v>
      </c>
      <c r="D246" s="375">
        <f t="shared" si="83"/>
        <v>0.77470200000000033</v>
      </c>
      <c r="E246" s="375">
        <f t="shared" si="83"/>
        <v>1.3924820000000002</v>
      </c>
      <c r="F246" s="375">
        <f t="shared" si="83"/>
        <v>4.5735030000000005</v>
      </c>
      <c r="G246" s="375">
        <f t="shared" si="83"/>
        <v>6.4050035000000003</v>
      </c>
      <c r="H246" s="375">
        <f t="shared" si="83"/>
        <v>10.5714875</v>
      </c>
      <c r="I246" s="375">
        <f t="shared" si="83"/>
        <v>8.0515874999999966</v>
      </c>
      <c r="J246" s="375">
        <f t="shared" si="83"/>
        <v>9.6083725000000015</v>
      </c>
      <c r="K246" s="375">
        <f t="shared" si="83"/>
        <v>13.302178499999998</v>
      </c>
      <c r="L246" s="375">
        <f t="shared" si="83"/>
        <v>17.020685000000007</v>
      </c>
      <c r="M246" s="375">
        <f t="shared" si="83"/>
        <v>13.68077699999999</v>
      </c>
      <c r="N246" s="375">
        <f t="shared" si="83"/>
        <v>12.253233999999997</v>
      </c>
      <c r="O246" s="375">
        <f t="shared" si="83"/>
        <v>10.802804000000002</v>
      </c>
      <c r="P246" s="375">
        <f t="shared" si="83"/>
        <v>8.5112400000000079</v>
      </c>
      <c r="Q246" s="375">
        <f t="shared" si="83"/>
        <v>7.4124000000000017</v>
      </c>
      <c r="R246" s="375">
        <f t="shared" si="83"/>
        <v>3.0693120000000027</v>
      </c>
      <c r="S246" s="375">
        <f t="shared" si="83"/>
        <v>1.9229279999999918</v>
      </c>
      <c r="T246" s="375">
        <f t="shared" si="83"/>
        <v>1.5038834999999968</v>
      </c>
      <c r="U246" s="375">
        <f t="shared" si="83"/>
        <v>2.4416320000000087</v>
      </c>
      <c r="V246" s="375">
        <f t="shared" si="83"/>
        <v>0.7904429999999969</v>
      </c>
      <c r="W246" s="375">
        <f t="shared" si="83"/>
        <v>0</v>
      </c>
      <c r="X246" s="375">
        <f t="shared" si="83"/>
        <v>0</v>
      </c>
      <c r="Y246" s="369"/>
    </row>
    <row r="247" spans="1:26" ht="13.5" thickBot="1" x14ac:dyDescent="0.25">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row>
    <row r="248" spans="1:26" ht="13.5" thickBot="1" x14ac:dyDescent="0.25">
      <c r="A248" s="361" t="s">
        <v>380</v>
      </c>
      <c r="B248" s="359">
        <f>ROW(A248)</f>
        <v>248</v>
      </c>
      <c r="C248" s="363" t="s">
        <v>115</v>
      </c>
      <c r="D248" s="353">
        <f>SUM(B251:Y251)</f>
        <v>127.06944999999999</v>
      </c>
      <c r="E248" s="363" t="s">
        <v>114</v>
      </c>
      <c r="F248" s="354">
        <f>D248/g/J248</f>
        <v>180.65624835614466</v>
      </c>
      <c r="G248" s="363" t="s">
        <v>56</v>
      </c>
      <c r="H248" s="64">
        <v>0.18840000000000001</v>
      </c>
      <c r="I248" s="363" t="s">
        <v>271</v>
      </c>
      <c r="J248" s="355">
        <f>H248-L248</f>
        <v>7.1700000000000014E-2</v>
      </c>
      <c r="K248" s="363" t="s">
        <v>272</v>
      </c>
      <c r="L248" s="64">
        <v>0.1167</v>
      </c>
      <c r="M248" s="363" t="s">
        <v>57</v>
      </c>
      <c r="N248" s="65">
        <v>63</v>
      </c>
      <c r="O248" s="363" t="s">
        <v>59</v>
      </c>
      <c r="P248" s="65">
        <v>114</v>
      </c>
      <c r="Q248" s="363" t="s">
        <v>60</v>
      </c>
      <c r="R248" s="65">
        <v>127</v>
      </c>
      <c r="S248" s="363" t="s">
        <v>61</v>
      </c>
      <c r="T248" s="65">
        <v>38</v>
      </c>
      <c r="U248" s="363" t="s">
        <v>54</v>
      </c>
      <c r="V248" s="66" t="s">
        <v>119</v>
      </c>
      <c r="W248" s="463" t="s">
        <v>394</v>
      </c>
      <c r="X248" s="465">
        <v>0.69</v>
      </c>
      <c r="Y248" s="463" t="s">
        <v>393</v>
      </c>
      <c r="Z248" s="358">
        <v>12</v>
      </c>
    </row>
    <row r="249" spans="1:26" x14ac:dyDescent="0.2">
      <c r="A249" s="362" t="s">
        <v>33</v>
      </c>
      <c r="B249" s="370">
        <v>0</v>
      </c>
      <c r="C249" s="371">
        <v>0.01</v>
      </c>
      <c r="D249" s="371">
        <v>0.02</v>
      </c>
      <c r="E249" s="371">
        <v>0.05</v>
      </c>
      <c r="F249" s="371">
        <v>0.1</v>
      </c>
      <c r="G249" s="371">
        <v>0.2</v>
      </c>
      <c r="H249" s="371">
        <v>0.3</v>
      </c>
      <c r="I249" s="371">
        <v>0.35</v>
      </c>
      <c r="J249" s="371">
        <v>0.4</v>
      </c>
      <c r="K249" s="371">
        <v>0.45</v>
      </c>
      <c r="L249" s="371">
        <v>0.5</v>
      </c>
      <c r="M249" s="371">
        <v>0.55000000000000004</v>
      </c>
      <c r="N249" s="371">
        <v>0.6</v>
      </c>
      <c r="O249" s="371">
        <v>0.61</v>
      </c>
      <c r="P249" s="371">
        <v>0.63</v>
      </c>
      <c r="Q249" s="371">
        <v>0.64</v>
      </c>
      <c r="R249" s="371">
        <v>0.65</v>
      </c>
      <c r="S249" s="371">
        <v>0.67</v>
      </c>
      <c r="T249" s="371">
        <v>0.68</v>
      </c>
      <c r="U249" s="371">
        <v>0.69</v>
      </c>
      <c r="V249" s="371">
        <f t="shared" ref="V249:X250" si="84">U249</f>
        <v>0.69</v>
      </c>
      <c r="W249" s="371">
        <f t="shared" si="84"/>
        <v>0.69</v>
      </c>
      <c r="X249" s="371">
        <v>2</v>
      </c>
      <c r="Y249" s="381">
        <v>1000</v>
      </c>
    </row>
    <row r="250" spans="1:26" x14ac:dyDescent="0.2">
      <c r="A250" s="378" t="s">
        <v>34</v>
      </c>
      <c r="B250" s="372">
        <v>0</v>
      </c>
      <c r="C250" s="373">
        <v>108.72</v>
      </c>
      <c r="D250" s="373">
        <v>131.19</v>
      </c>
      <c r="E250" s="373">
        <v>153.13999999999999</v>
      </c>
      <c r="F250" s="373">
        <v>168.97</v>
      </c>
      <c r="G250" s="373">
        <v>189.92</v>
      </c>
      <c r="H250" s="373">
        <v>199.95</v>
      </c>
      <c r="I250" s="373">
        <v>203.59</v>
      </c>
      <c r="J250" s="373">
        <v>205.03</v>
      </c>
      <c r="K250" s="373">
        <v>202.6</v>
      </c>
      <c r="L250" s="373">
        <v>203.06</v>
      </c>
      <c r="M250" s="373">
        <v>199.34</v>
      </c>
      <c r="N250" s="373">
        <v>194.71</v>
      </c>
      <c r="O250" s="373">
        <v>194.1</v>
      </c>
      <c r="P250" s="373">
        <v>193.49</v>
      </c>
      <c r="Q250" s="373">
        <v>193.68</v>
      </c>
      <c r="R250" s="373">
        <v>202.91</v>
      </c>
      <c r="S250" s="373">
        <v>163.38999999999999</v>
      </c>
      <c r="T250" s="373">
        <v>80.44</v>
      </c>
      <c r="U250" s="373">
        <v>0</v>
      </c>
      <c r="V250" s="373">
        <f t="shared" si="84"/>
        <v>0</v>
      </c>
      <c r="W250" s="373">
        <f t="shared" si="84"/>
        <v>0</v>
      </c>
      <c r="X250" s="373">
        <f t="shared" si="84"/>
        <v>0</v>
      </c>
      <c r="Y250" s="382">
        <v>0</v>
      </c>
    </row>
    <row r="251" spans="1:26" ht="13.5" thickBot="1" x14ac:dyDescent="0.25">
      <c r="A251" s="379" t="s">
        <v>116</v>
      </c>
      <c r="B251" s="374">
        <f t="shared" ref="B251:X251" si="85">(C250+B250)*(C249-B249)/2</f>
        <v>0.54359999999999997</v>
      </c>
      <c r="C251" s="375">
        <f t="shared" si="85"/>
        <v>1.1995500000000001</v>
      </c>
      <c r="D251" s="375">
        <f t="shared" si="85"/>
        <v>4.2649499999999998</v>
      </c>
      <c r="E251" s="375">
        <f t="shared" si="85"/>
        <v>8.0527500000000014</v>
      </c>
      <c r="F251" s="375">
        <f t="shared" si="85"/>
        <v>17.944500000000001</v>
      </c>
      <c r="G251" s="375">
        <f t="shared" si="85"/>
        <v>19.493499999999997</v>
      </c>
      <c r="H251" s="375">
        <f t="shared" si="85"/>
        <v>10.088499999999996</v>
      </c>
      <c r="I251" s="375">
        <f t="shared" si="85"/>
        <v>10.215500000000009</v>
      </c>
      <c r="J251" s="375">
        <f t="shared" si="85"/>
        <v>10.190749999999998</v>
      </c>
      <c r="K251" s="375">
        <f t="shared" si="85"/>
        <v>10.141499999999997</v>
      </c>
      <c r="L251" s="375">
        <f t="shared" si="85"/>
        <v>10.060000000000008</v>
      </c>
      <c r="M251" s="375">
        <f t="shared" si="85"/>
        <v>9.8512499999999878</v>
      </c>
      <c r="N251" s="375">
        <f t="shared" si="85"/>
        <v>1.9440500000000018</v>
      </c>
      <c r="O251" s="375">
        <f t="shared" si="85"/>
        <v>3.8759000000000037</v>
      </c>
      <c r="P251" s="375">
        <f t="shared" si="85"/>
        <v>1.9358500000000018</v>
      </c>
      <c r="Q251" s="375">
        <f t="shared" si="85"/>
        <v>1.982950000000002</v>
      </c>
      <c r="R251" s="375">
        <f t="shared" si="85"/>
        <v>3.6630000000000029</v>
      </c>
      <c r="S251" s="375">
        <f t="shared" si="85"/>
        <v>1.2191500000000011</v>
      </c>
      <c r="T251" s="375">
        <f t="shared" si="85"/>
        <v>0.40219999999999589</v>
      </c>
      <c r="U251" s="375">
        <f t="shared" si="85"/>
        <v>0</v>
      </c>
      <c r="V251" s="375">
        <f t="shared" si="85"/>
        <v>0</v>
      </c>
      <c r="W251" s="375">
        <f t="shared" si="85"/>
        <v>0</v>
      </c>
      <c r="X251" s="375">
        <f t="shared" si="85"/>
        <v>0</v>
      </c>
      <c r="Y251" s="369"/>
    </row>
    <row r="252" spans="1:26" ht="13.5" thickBot="1" x14ac:dyDescent="0.25">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row>
    <row r="253" spans="1:26" ht="13.5" thickBot="1" x14ac:dyDescent="0.25">
      <c r="A253" s="361" t="s">
        <v>388</v>
      </c>
      <c r="B253" s="359">
        <f>ROW(A253)</f>
        <v>253</v>
      </c>
      <c r="C253" s="363" t="s">
        <v>115</v>
      </c>
      <c r="D253" s="353">
        <f>SUM(B256:Y256)</f>
        <v>142.7236025</v>
      </c>
      <c r="E253" s="363" t="s">
        <v>114</v>
      </c>
      <c r="F253" s="354">
        <v>208</v>
      </c>
      <c r="G253" s="363" t="s">
        <v>56</v>
      </c>
      <c r="H253" s="64">
        <v>0.19700000000000001</v>
      </c>
      <c r="I253" s="363" t="s">
        <v>271</v>
      </c>
      <c r="J253" s="355">
        <f>H253-L253</f>
        <v>7.0000000000000007E-2</v>
      </c>
      <c r="K253" s="363" t="s">
        <v>272</v>
      </c>
      <c r="L253" s="64">
        <v>0.127</v>
      </c>
      <c r="M253" s="363" t="s">
        <v>57</v>
      </c>
      <c r="N253" s="65">
        <v>63</v>
      </c>
      <c r="O253" s="363" t="s">
        <v>59</v>
      </c>
      <c r="P253" s="65">
        <v>114</v>
      </c>
      <c r="Q253" s="363" t="s">
        <v>60</v>
      </c>
      <c r="R253" s="65">
        <v>127</v>
      </c>
      <c r="S253" s="363" t="s">
        <v>61</v>
      </c>
      <c r="T253" s="65">
        <v>38</v>
      </c>
      <c r="U253" s="363" t="s">
        <v>54</v>
      </c>
      <c r="V253" s="66" t="s">
        <v>119</v>
      </c>
      <c r="W253" s="463" t="s">
        <v>394</v>
      </c>
      <c r="X253" s="465">
        <v>1.8</v>
      </c>
      <c r="Y253" s="463" t="s">
        <v>393</v>
      </c>
      <c r="Z253" s="358">
        <v>15</v>
      </c>
    </row>
    <row r="254" spans="1:26" x14ac:dyDescent="0.2">
      <c r="A254" s="362" t="s">
        <v>33</v>
      </c>
      <c r="B254" s="370">
        <v>0</v>
      </c>
      <c r="C254" s="370">
        <v>6.0000000000000001E-3</v>
      </c>
      <c r="D254" s="371">
        <v>1.7999999999999999E-2</v>
      </c>
      <c r="E254" s="371">
        <v>3.5999999999999997E-2</v>
      </c>
      <c r="F254" s="371">
        <v>4.7E-2</v>
      </c>
      <c r="G254" s="371">
        <v>8.4000000000000005E-2</v>
      </c>
      <c r="H254" s="371">
        <v>0.13500000000000001</v>
      </c>
      <c r="I254" s="371">
        <v>0.23799999999999999</v>
      </c>
      <c r="J254" s="371">
        <v>0.438</v>
      </c>
      <c r="K254" s="371">
        <v>0.63</v>
      </c>
      <c r="L254" s="371">
        <v>0.85899999999999999</v>
      </c>
      <c r="M254" s="371">
        <v>1.2829999999999999</v>
      </c>
      <c r="N254" s="371">
        <v>1.4470000000000001</v>
      </c>
      <c r="O254" s="371">
        <v>1.643</v>
      </c>
      <c r="P254" s="371">
        <v>1.7130000000000001</v>
      </c>
      <c r="Q254" s="371">
        <v>1.7430000000000001</v>
      </c>
      <c r="R254" s="371">
        <v>1.79</v>
      </c>
      <c r="S254" s="371">
        <v>1.8180000000000001</v>
      </c>
      <c r="T254" s="371">
        <v>1.8520000000000001</v>
      </c>
      <c r="U254" s="371">
        <v>2</v>
      </c>
      <c r="V254" s="371">
        <f t="shared" ref="V254:X255" si="86">U254</f>
        <v>2</v>
      </c>
      <c r="W254" s="371">
        <f t="shared" si="86"/>
        <v>2</v>
      </c>
      <c r="X254" s="371">
        <f t="shared" si="86"/>
        <v>2</v>
      </c>
      <c r="Y254" s="381">
        <v>1000</v>
      </c>
    </row>
    <row r="255" spans="1:26" x14ac:dyDescent="0.2">
      <c r="A255" s="378" t="s">
        <v>34</v>
      </c>
      <c r="B255" s="372">
        <v>0</v>
      </c>
      <c r="C255" s="372">
        <v>104.068</v>
      </c>
      <c r="D255" s="373">
        <v>137.928</v>
      </c>
      <c r="E255" s="373">
        <v>70.706999999999994</v>
      </c>
      <c r="F255" s="373">
        <v>62.241999999999997</v>
      </c>
      <c r="G255" s="373">
        <v>73.694000000000003</v>
      </c>
      <c r="H255" s="373">
        <v>78.176000000000002</v>
      </c>
      <c r="I255" s="373">
        <v>84.150999999999996</v>
      </c>
      <c r="J255" s="373">
        <v>89.628</v>
      </c>
      <c r="K255" s="373">
        <v>88.135000000000005</v>
      </c>
      <c r="L255" s="373">
        <v>87.138999999999996</v>
      </c>
      <c r="M255" s="373">
        <v>77.180000000000007</v>
      </c>
      <c r="N255" s="373">
        <v>70.706999999999994</v>
      </c>
      <c r="O255" s="373">
        <v>67.718999999999994</v>
      </c>
      <c r="P255" s="373">
        <v>64.233999999999995</v>
      </c>
      <c r="Q255" s="373">
        <v>54.274999999999999</v>
      </c>
      <c r="R255" s="373">
        <v>18.423999999999999</v>
      </c>
      <c r="S255" s="373">
        <v>6.4729999999999999</v>
      </c>
      <c r="T255" s="373">
        <v>0</v>
      </c>
      <c r="U255" s="373">
        <v>0</v>
      </c>
      <c r="V255" s="373">
        <f t="shared" si="86"/>
        <v>0</v>
      </c>
      <c r="W255" s="373">
        <f t="shared" si="86"/>
        <v>0</v>
      </c>
      <c r="X255" s="373">
        <f t="shared" si="86"/>
        <v>0</v>
      </c>
      <c r="Y255" s="382">
        <v>0</v>
      </c>
    </row>
    <row r="256" spans="1:26" ht="13.5" thickBot="1" x14ac:dyDescent="0.25">
      <c r="A256" s="379" t="s">
        <v>116</v>
      </c>
      <c r="B256" s="374">
        <f t="shared" ref="B256:X256" si="87">(C255+B255)*(C254-B254)/2</f>
        <v>0.31220399999999998</v>
      </c>
      <c r="C256" s="375">
        <f t="shared" si="87"/>
        <v>1.4519759999999997</v>
      </c>
      <c r="D256" s="375">
        <f t="shared" si="87"/>
        <v>1.8777149999999998</v>
      </c>
      <c r="E256" s="375">
        <f t="shared" si="87"/>
        <v>0.73121950000000013</v>
      </c>
      <c r="F256" s="375">
        <f t="shared" si="87"/>
        <v>2.5148160000000006</v>
      </c>
      <c r="G256" s="375">
        <f t="shared" si="87"/>
        <v>3.8726850000000006</v>
      </c>
      <c r="H256" s="375">
        <f t="shared" si="87"/>
        <v>8.3598404999999989</v>
      </c>
      <c r="I256" s="375">
        <f t="shared" si="87"/>
        <v>17.3779</v>
      </c>
      <c r="J256" s="375">
        <f t="shared" si="87"/>
        <v>17.065248</v>
      </c>
      <c r="K256" s="375">
        <f t="shared" si="87"/>
        <v>20.068873</v>
      </c>
      <c r="L256" s="375">
        <f t="shared" si="87"/>
        <v>34.835628</v>
      </c>
      <c r="M256" s="375">
        <f t="shared" si="87"/>
        <v>12.126734000000011</v>
      </c>
      <c r="N256" s="375">
        <f t="shared" si="87"/>
        <v>13.565747999999996</v>
      </c>
      <c r="O256" s="375">
        <f t="shared" si="87"/>
        <v>4.6183550000000029</v>
      </c>
      <c r="P256" s="375">
        <f t="shared" si="87"/>
        <v>1.7776350000000014</v>
      </c>
      <c r="Q256" s="375">
        <f t="shared" si="87"/>
        <v>1.7084264999999974</v>
      </c>
      <c r="R256" s="375">
        <f t="shared" si="87"/>
        <v>0.34855800000000031</v>
      </c>
      <c r="S256" s="375">
        <f t="shared" si="87"/>
        <v>0.1100410000000001</v>
      </c>
      <c r="T256" s="375">
        <f t="shared" si="87"/>
        <v>0</v>
      </c>
      <c r="U256" s="375">
        <f t="shared" si="87"/>
        <v>0</v>
      </c>
      <c r="V256" s="375">
        <f t="shared" si="87"/>
        <v>0</v>
      </c>
      <c r="W256" s="375">
        <f t="shared" si="87"/>
        <v>0</v>
      </c>
      <c r="X256" s="375">
        <f t="shared" si="87"/>
        <v>0</v>
      </c>
      <c r="Y256" s="369"/>
    </row>
    <row r="257" spans="1:25" ht="13.5" thickBot="1" x14ac:dyDescent="0.25">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row>
    <row r="258" spans="1:25" ht="13.5" thickBot="1" x14ac:dyDescent="0.25">
      <c r="A258" s="361" t="s">
        <v>274</v>
      </c>
      <c r="B258" s="360">
        <f>ROW(A258)</f>
        <v>258</v>
      </c>
      <c r="C258" s="363" t="s">
        <v>115</v>
      </c>
      <c r="D258" s="353">
        <f>SUM(B261:Y261)</f>
        <v>33.500000000000007</v>
      </c>
      <c r="E258" s="363" t="s">
        <v>114</v>
      </c>
      <c r="F258" s="354">
        <f>D258/g/J258</f>
        <v>68.297655453618759</v>
      </c>
      <c r="G258" s="363" t="s">
        <v>56</v>
      </c>
      <c r="H258" s="64">
        <v>8.5000000000000006E-2</v>
      </c>
      <c r="I258" s="363" t="s">
        <v>271</v>
      </c>
      <c r="J258" s="355">
        <f>H258-L258</f>
        <v>0.05</v>
      </c>
      <c r="K258" s="363" t="s">
        <v>272</v>
      </c>
      <c r="L258" s="64">
        <v>3.5000000000000003E-2</v>
      </c>
      <c r="M258" s="363" t="s">
        <v>57</v>
      </c>
      <c r="N258" s="65">
        <v>20</v>
      </c>
      <c r="O258" s="363" t="s">
        <v>59</v>
      </c>
      <c r="P258" s="65">
        <v>20</v>
      </c>
      <c r="Q258" s="363" t="s">
        <v>60</v>
      </c>
      <c r="R258" s="65">
        <v>39</v>
      </c>
      <c r="S258" s="363" t="s">
        <v>61</v>
      </c>
      <c r="T258" s="65">
        <v>39</v>
      </c>
      <c r="U258" s="363" t="s">
        <v>54</v>
      </c>
      <c r="V258" s="66" t="s">
        <v>401</v>
      </c>
      <c r="W258" s="12"/>
      <c r="X258" s="12"/>
      <c r="Y258" s="12"/>
    </row>
    <row r="259" spans="1:25" x14ac:dyDescent="0.2">
      <c r="A259" s="362" t="s">
        <v>33</v>
      </c>
      <c r="B259" s="370">
        <v>0</v>
      </c>
      <c r="C259" s="371">
        <v>0.05</v>
      </c>
      <c r="D259" s="371">
        <v>0.1</v>
      </c>
      <c r="E259" s="371">
        <v>0.25</v>
      </c>
      <c r="F259" s="371">
        <v>0.3</v>
      </c>
      <c r="G259" s="371">
        <v>0.35</v>
      </c>
      <c r="H259" s="371">
        <v>0.45</v>
      </c>
      <c r="I259" s="371">
        <v>0.55000000000000004</v>
      </c>
      <c r="J259" s="371">
        <v>3.5</v>
      </c>
      <c r="K259" s="371">
        <v>3.6</v>
      </c>
      <c r="L259" s="371">
        <v>3.6</v>
      </c>
      <c r="M259" s="371">
        <v>3.6</v>
      </c>
      <c r="N259" s="371">
        <v>3.6</v>
      </c>
      <c r="O259" s="371">
        <v>3.6</v>
      </c>
      <c r="P259" s="371">
        <v>3.6</v>
      </c>
      <c r="Q259" s="371">
        <v>3.6</v>
      </c>
      <c r="R259" s="371">
        <v>3.6</v>
      </c>
      <c r="S259" s="371">
        <v>3.6</v>
      </c>
      <c r="T259" s="371">
        <v>3.6</v>
      </c>
      <c r="U259" s="371">
        <v>3.6</v>
      </c>
      <c r="V259" s="371">
        <v>3.6</v>
      </c>
      <c r="W259" s="371">
        <v>3.6</v>
      </c>
      <c r="X259" s="371">
        <v>3.6</v>
      </c>
      <c r="Y259" s="381">
        <v>1000</v>
      </c>
    </row>
    <row r="260" spans="1:25" x14ac:dyDescent="0.2">
      <c r="A260" s="378" t="s">
        <v>34</v>
      </c>
      <c r="B260" s="372">
        <v>0</v>
      </c>
      <c r="C260" s="373">
        <v>68</v>
      </c>
      <c r="D260" s="373">
        <v>62</v>
      </c>
      <c r="E260" s="373">
        <v>60</v>
      </c>
      <c r="F260" s="373">
        <v>39</v>
      </c>
      <c r="G260" s="373">
        <v>38</v>
      </c>
      <c r="H260" s="373">
        <v>9</v>
      </c>
      <c r="I260" s="373">
        <v>5</v>
      </c>
      <c r="J260" s="373">
        <v>3</v>
      </c>
      <c r="K260" s="373">
        <v>0</v>
      </c>
      <c r="L260" s="373">
        <v>0</v>
      </c>
      <c r="M260" s="373">
        <v>0</v>
      </c>
      <c r="N260" s="373">
        <v>0</v>
      </c>
      <c r="O260" s="373">
        <v>0</v>
      </c>
      <c r="P260" s="373">
        <v>0</v>
      </c>
      <c r="Q260" s="373">
        <v>0</v>
      </c>
      <c r="R260" s="373">
        <v>0</v>
      </c>
      <c r="S260" s="373">
        <v>0</v>
      </c>
      <c r="T260" s="373">
        <v>0</v>
      </c>
      <c r="U260" s="373">
        <v>0</v>
      </c>
      <c r="V260" s="373">
        <v>0</v>
      </c>
      <c r="W260" s="373">
        <v>0</v>
      </c>
      <c r="X260" s="373">
        <v>0</v>
      </c>
      <c r="Y260" s="382">
        <v>0</v>
      </c>
    </row>
    <row r="261" spans="1:25" ht="13.5" thickBot="1" x14ac:dyDescent="0.25">
      <c r="A261" s="379" t="s">
        <v>116</v>
      </c>
      <c r="B261" s="374">
        <f t="shared" ref="B261:V261" si="88">(C260+B260)*(C259-B259)/2</f>
        <v>1.7000000000000002</v>
      </c>
      <c r="C261" s="375">
        <f t="shared" si="88"/>
        <v>3.25</v>
      </c>
      <c r="D261" s="375">
        <f t="shared" si="88"/>
        <v>9.15</v>
      </c>
      <c r="E261" s="375">
        <f t="shared" si="88"/>
        <v>2.4749999999999996</v>
      </c>
      <c r="F261" s="375">
        <f t="shared" si="88"/>
        <v>1.9249999999999996</v>
      </c>
      <c r="G261" s="375">
        <f t="shared" si="88"/>
        <v>2.350000000000001</v>
      </c>
      <c r="H261" s="375">
        <f t="shared" si="88"/>
        <v>0.70000000000000018</v>
      </c>
      <c r="I261" s="375">
        <f t="shared" si="88"/>
        <v>11.8</v>
      </c>
      <c r="J261" s="375">
        <f t="shared" si="88"/>
        <v>0.15000000000000013</v>
      </c>
      <c r="K261" s="375">
        <f t="shared" si="88"/>
        <v>0</v>
      </c>
      <c r="L261" s="375">
        <f t="shared" si="88"/>
        <v>0</v>
      </c>
      <c r="M261" s="375">
        <f t="shared" si="88"/>
        <v>0</v>
      </c>
      <c r="N261" s="375">
        <f t="shared" si="88"/>
        <v>0</v>
      </c>
      <c r="O261" s="375">
        <f t="shared" si="88"/>
        <v>0</v>
      </c>
      <c r="P261" s="375">
        <f t="shared" si="88"/>
        <v>0</v>
      </c>
      <c r="Q261" s="375">
        <f t="shared" si="88"/>
        <v>0</v>
      </c>
      <c r="R261" s="375">
        <f t="shared" si="88"/>
        <v>0</v>
      </c>
      <c r="S261" s="375">
        <f t="shared" si="88"/>
        <v>0</v>
      </c>
      <c r="T261" s="375">
        <f t="shared" si="88"/>
        <v>0</v>
      </c>
      <c r="U261" s="375">
        <f t="shared" si="88"/>
        <v>0</v>
      </c>
      <c r="V261" s="375">
        <f t="shared" si="88"/>
        <v>0</v>
      </c>
      <c r="W261" s="375">
        <f>(X260+W260)*(X259-W259)/2</f>
        <v>0</v>
      </c>
      <c r="X261" s="375">
        <f>(Y260+X260)*(Y259-X259)/2</f>
        <v>0</v>
      </c>
      <c r="Y261" s="369"/>
    </row>
    <row r="262" spans="1:25" ht="13.5" thickBot="1" x14ac:dyDescent="0.25">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row>
    <row r="263" spans="1:25" ht="13.5" thickBot="1" x14ac:dyDescent="0.25">
      <c r="A263" s="361" t="s">
        <v>275</v>
      </c>
      <c r="B263" s="359">
        <f>ROW(A263)</f>
        <v>263</v>
      </c>
      <c r="C263" s="363" t="s">
        <v>115</v>
      </c>
      <c r="D263" s="353">
        <f>SUM(B266:Y266)</f>
        <v>145.46</v>
      </c>
      <c r="E263" s="363" t="s">
        <v>114</v>
      </c>
      <c r="F263" s="354">
        <f>D263/g/J263</f>
        <v>211.82466870540264</v>
      </c>
      <c r="G263" s="363" t="s">
        <v>56</v>
      </c>
      <c r="H263" s="64">
        <v>0.22</v>
      </c>
      <c r="I263" s="363" t="s">
        <v>271</v>
      </c>
      <c r="J263" s="355">
        <f>H263-L263</f>
        <v>7.0000000000000007E-2</v>
      </c>
      <c r="K263" s="363" t="s">
        <v>272</v>
      </c>
      <c r="L263" s="64">
        <v>0.15</v>
      </c>
      <c r="M263" s="363" t="s">
        <v>57</v>
      </c>
      <c r="N263" s="65">
        <v>50</v>
      </c>
      <c r="O263" s="363" t="s">
        <v>59</v>
      </c>
      <c r="P263" s="65">
        <v>55</v>
      </c>
      <c r="Q263" s="363" t="s">
        <v>60</v>
      </c>
      <c r="R263" s="65">
        <v>76</v>
      </c>
      <c r="S263" s="363" t="s">
        <v>61</v>
      </c>
      <c r="T263" s="65">
        <v>40</v>
      </c>
      <c r="U263" s="363" t="s">
        <v>54</v>
      </c>
      <c r="V263" s="66" t="s">
        <v>401</v>
      </c>
      <c r="W263" s="12"/>
      <c r="X263" s="12"/>
      <c r="Y263" s="12"/>
    </row>
    <row r="264" spans="1:25" x14ac:dyDescent="0.2">
      <c r="A264" s="362" t="s">
        <v>33</v>
      </c>
      <c r="B264" s="370">
        <v>0</v>
      </c>
      <c r="C264" s="371">
        <v>0.02</v>
      </c>
      <c r="D264" s="371">
        <v>0.04</v>
      </c>
      <c r="E264" s="371">
        <v>0.05</v>
      </c>
      <c r="F264" s="371">
        <v>0.06</v>
      </c>
      <c r="G264" s="371">
        <v>0.94</v>
      </c>
      <c r="H264" s="377">
        <v>0.94200000000000006</v>
      </c>
      <c r="I264" s="371">
        <v>0.95</v>
      </c>
      <c r="J264" s="371">
        <v>0.95</v>
      </c>
      <c r="K264" s="371">
        <v>0.95</v>
      </c>
      <c r="L264" s="371">
        <v>0.95</v>
      </c>
      <c r="M264" s="371">
        <v>0.95</v>
      </c>
      <c r="N264" s="371">
        <v>0.95</v>
      </c>
      <c r="O264" s="371">
        <v>0.95</v>
      </c>
      <c r="P264" s="371">
        <v>0.95</v>
      </c>
      <c r="Q264" s="371">
        <v>0.95</v>
      </c>
      <c r="R264" s="371">
        <v>0.95</v>
      </c>
      <c r="S264" s="371">
        <v>0.95</v>
      </c>
      <c r="T264" s="371">
        <v>0.95</v>
      </c>
      <c r="U264" s="371">
        <v>0.95</v>
      </c>
      <c r="V264" s="371">
        <v>0.95</v>
      </c>
      <c r="W264" s="371">
        <v>0.95</v>
      </c>
      <c r="X264" s="371">
        <v>2</v>
      </c>
      <c r="Y264" s="381">
        <v>1000</v>
      </c>
    </row>
    <row r="265" spans="1:25" x14ac:dyDescent="0.2">
      <c r="A265" s="378" t="s">
        <v>34</v>
      </c>
      <c r="B265" s="372">
        <v>0</v>
      </c>
      <c r="C265" s="373">
        <v>320</v>
      </c>
      <c r="D265" s="373">
        <v>170</v>
      </c>
      <c r="E265" s="373">
        <v>205</v>
      </c>
      <c r="F265" s="373">
        <v>217</v>
      </c>
      <c r="G265" s="373">
        <v>85</v>
      </c>
      <c r="H265" s="373">
        <v>82</v>
      </c>
      <c r="I265" s="373">
        <v>0</v>
      </c>
      <c r="J265" s="373">
        <v>0</v>
      </c>
      <c r="K265" s="373">
        <v>0</v>
      </c>
      <c r="L265" s="373">
        <v>0</v>
      </c>
      <c r="M265" s="373">
        <v>0</v>
      </c>
      <c r="N265" s="373">
        <v>0</v>
      </c>
      <c r="O265" s="373">
        <v>0</v>
      </c>
      <c r="P265" s="373">
        <v>0</v>
      </c>
      <c r="Q265" s="373">
        <v>0</v>
      </c>
      <c r="R265" s="373">
        <v>0</v>
      </c>
      <c r="S265" s="373">
        <v>0</v>
      </c>
      <c r="T265" s="373">
        <v>0</v>
      </c>
      <c r="U265" s="373">
        <v>0</v>
      </c>
      <c r="V265" s="373">
        <v>0</v>
      </c>
      <c r="W265" s="373">
        <v>0</v>
      </c>
      <c r="X265" s="373">
        <v>0</v>
      </c>
      <c r="Y265" s="382">
        <v>0</v>
      </c>
    </row>
    <row r="266" spans="1:25" ht="13.5" thickBot="1" x14ac:dyDescent="0.25">
      <c r="A266" s="379" t="s">
        <v>116</v>
      </c>
      <c r="B266" s="374">
        <f t="shared" ref="B266:H266" si="89">(C265+B265)*(C264-B264)/2</f>
        <v>3.2</v>
      </c>
      <c r="C266" s="375">
        <f t="shared" si="89"/>
        <v>4.9000000000000004</v>
      </c>
      <c r="D266" s="375">
        <f t="shared" si="89"/>
        <v>1.8750000000000004</v>
      </c>
      <c r="E266" s="375">
        <f t="shared" si="89"/>
        <v>2.109999999999999</v>
      </c>
      <c r="F266" s="375">
        <f t="shared" si="89"/>
        <v>132.88</v>
      </c>
      <c r="G266" s="375">
        <f t="shared" si="89"/>
        <v>0.16700000000000942</v>
      </c>
      <c r="H266" s="375">
        <f t="shared" si="89"/>
        <v>0.32799999999999574</v>
      </c>
      <c r="I266" s="375">
        <f t="shared" ref="I266:V266" si="90">(J265+I265)*(J264-I264)/2</f>
        <v>0</v>
      </c>
      <c r="J266" s="375">
        <f>(K265+J265)*(K264-J264)/2</f>
        <v>0</v>
      </c>
      <c r="K266" s="375">
        <f t="shared" si="90"/>
        <v>0</v>
      </c>
      <c r="L266" s="375">
        <f t="shared" si="90"/>
        <v>0</v>
      </c>
      <c r="M266" s="375">
        <f t="shared" si="90"/>
        <v>0</v>
      </c>
      <c r="N266" s="375">
        <f t="shared" si="90"/>
        <v>0</v>
      </c>
      <c r="O266" s="375">
        <f t="shared" si="90"/>
        <v>0</v>
      </c>
      <c r="P266" s="375">
        <f t="shared" si="90"/>
        <v>0</v>
      </c>
      <c r="Q266" s="375">
        <f t="shared" si="90"/>
        <v>0</v>
      </c>
      <c r="R266" s="375">
        <f t="shared" si="90"/>
        <v>0</v>
      </c>
      <c r="S266" s="375">
        <f>(T265+S265)*(T264-S264)/2</f>
        <v>0</v>
      </c>
      <c r="T266" s="375">
        <f t="shared" si="90"/>
        <v>0</v>
      </c>
      <c r="U266" s="375">
        <f t="shared" si="90"/>
        <v>0</v>
      </c>
      <c r="V266" s="375">
        <f t="shared" si="90"/>
        <v>0</v>
      </c>
      <c r="W266" s="375">
        <f>(X265+W265)*(X264-W264)/2</f>
        <v>0</v>
      </c>
      <c r="X266" s="375">
        <f>(Y265+X265)*(Y264-X264)/2</f>
        <v>0</v>
      </c>
      <c r="Y266" s="369"/>
    </row>
    <row r="267" spans="1:25" x14ac:dyDescent="0.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row>
    <row r="268" spans="1:25" ht="13.5" thickBot="1" x14ac:dyDescent="0.25">
      <c r="A268" s="6" t="s">
        <v>313</v>
      </c>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row>
    <row r="269" spans="1:25" ht="13.5" thickBot="1" x14ac:dyDescent="0.25">
      <c r="A269" s="361" t="s">
        <v>35</v>
      </c>
      <c r="B269" s="359">
        <f>ROW(A269)</f>
        <v>269</v>
      </c>
      <c r="C269" s="363" t="s">
        <v>115</v>
      </c>
      <c r="D269" s="353">
        <f>SUM(B272:Y272)</f>
        <v>1071.5999999999999</v>
      </c>
      <c r="E269" s="363" t="s">
        <v>114</v>
      </c>
      <c r="F269" s="354">
        <f>D269/g/J269</f>
        <v>163.03802090465106</v>
      </c>
      <c r="G269" s="363" t="s">
        <v>56</v>
      </c>
      <c r="H269" s="64">
        <v>2.02</v>
      </c>
      <c r="I269" s="363" t="s">
        <v>271</v>
      </c>
      <c r="J269" s="355">
        <f>H269-L269</f>
        <v>0.66999999999999993</v>
      </c>
      <c r="K269" s="363" t="s">
        <v>272</v>
      </c>
      <c r="L269" s="64">
        <v>1.35</v>
      </c>
      <c r="M269" s="363" t="s">
        <v>57</v>
      </c>
      <c r="N269" s="65">
        <v>154</v>
      </c>
      <c r="O269" s="363" t="s">
        <v>59</v>
      </c>
      <c r="P269" s="65">
        <v>168</v>
      </c>
      <c r="Q269" s="363" t="s">
        <v>60</v>
      </c>
      <c r="R269" s="65">
        <v>230</v>
      </c>
      <c r="S269" s="363" t="s">
        <v>61</v>
      </c>
      <c r="T269" s="65">
        <v>67</v>
      </c>
      <c r="U269" s="363" t="s">
        <v>54</v>
      </c>
      <c r="V269" s="66" t="s">
        <v>118</v>
      </c>
      <c r="W269" s="12"/>
      <c r="X269" s="12"/>
      <c r="Y269" s="12"/>
    </row>
    <row r="270" spans="1:25" x14ac:dyDescent="0.2">
      <c r="A270" s="362" t="s">
        <v>33</v>
      </c>
      <c r="B270" s="370">
        <v>0</v>
      </c>
      <c r="C270" s="371">
        <v>0.02</v>
      </c>
      <c r="D270" s="371">
        <v>0.05</v>
      </c>
      <c r="E270" s="371">
        <v>0.06</v>
      </c>
      <c r="F270" s="371">
        <v>0.09</v>
      </c>
      <c r="G270" s="371">
        <v>0.17</v>
      </c>
      <c r="H270" s="371">
        <v>0.2</v>
      </c>
      <c r="I270" s="371">
        <v>0.38</v>
      </c>
      <c r="J270" s="371">
        <v>0.75</v>
      </c>
      <c r="K270" s="371">
        <v>0.79</v>
      </c>
      <c r="L270" s="371">
        <v>1.1299999999999999</v>
      </c>
      <c r="M270" s="371">
        <v>1.2</v>
      </c>
      <c r="N270" s="371">
        <v>1.5</v>
      </c>
      <c r="O270" s="371">
        <v>1.54</v>
      </c>
      <c r="P270" s="371">
        <v>1.65</v>
      </c>
      <c r="Q270" s="371">
        <v>1.7</v>
      </c>
      <c r="R270" s="371">
        <v>1.79</v>
      </c>
      <c r="S270" s="371">
        <v>1.79</v>
      </c>
      <c r="T270" s="371">
        <v>1.79</v>
      </c>
      <c r="U270" s="371">
        <v>1.79</v>
      </c>
      <c r="V270" s="371">
        <v>1.79</v>
      </c>
      <c r="W270" s="371">
        <v>1.79</v>
      </c>
      <c r="X270" s="371">
        <v>1.79</v>
      </c>
      <c r="Y270" s="381">
        <v>1000</v>
      </c>
    </row>
    <row r="271" spans="1:25" x14ac:dyDescent="0.2">
      <c r="A271" s="378" t="s">
        <v>34</v>
      </c>
      <c r="B271" s="372">
        <v>0</v>
      </c>
      <c r="C271" s="373">
        <v>20</v>
      </c>
      <c r="D271" s="373">
        <v>870</v>
      </c>
      <c r="E271" s="373">
        <v>530</v>
      </c>
      <c r="F271" s="373">
        <v>790</v>
      </c>
      <c r="G271" s="373">
        <v>700</v>
      </c>
      <c r="H271" s="373">
        <v>710</v>
      </c>
      <c r="I271" s="373">
        <v>670</v>
      </c>
      <c r="J271" s="373">
        <v>630</v>
      </c>
      <c r="K271" s="373">
        <v>630</v>
      </c>
      <c r="L271" s="373">
        <v>710</v>
      </c>
      <c r="M271" s="373">
        <v>690</v>
      </c>
      <c r="N271" s="373">
        <v>690</v>
      </c>
      <c r="O271" s="373">
        <v>660</v>
      </c>
      <c r="P271" s="373">
        <v>160</v>
      </c>
      <c r="Q271" s="373">
        <v>10</v>
      </c>
      <c r="R271" s="373">
        <v>0</v>
      </c>
      <c r="S271" s="373">
        <v>0</v>
      </c>
      <c r="T271" s="373">
        <v>0</v>
      </c>
      <c r="U271" s="373">
        <v>0</v>
      </c>
      <c r="V271" s="373">
        <v>0</v>
      </c>
      <c r="W271" s="373">
        <v>0</v>
      </c>
      <c r="X271" s="373">
        <v>0</v>
      </c>
      <c r="Y271" s="382">
        <v>0</v>
      </c>
    </row>
    <row r="272" spans="1:25" ht="13.5" thickBot="1" x14ac:dyDescent="0.25">
      <c r="A272" s="379" t="s">
        <v>116</v>
      </c>
      <c r="B272" s="374">
        <f t="shared" ref="B272:Q272" si="91">(C271+B271)*(C270-B270)/2</f>
        <v>0.2</v>
      </c>
      <c r="C272" s="375">
        <f t="shared" si="91"/>
        <v>13.350000000000001</v>
      </c>
      <c r="D272" s="375">
        <f t="shared" si="91"/>
        <v>6.9999999999999964</v>
      </c>
      <c r="E272" s="375">
        <f t="shared" si="91"/>
        <v>19.8</v>
      </c>
      <c r="F272" s="375">
        <f t="shared" si="91"/>
        <v>59.600000000000009</v>
      </c>
      <c r="G272" s="375">
        <f t="shared" si="91"/>
        <v>21.15</v>
      </c>
      <c r="H272" s="375">
        <f t="shared" si="91"/>
        <v>124.19999999999999</v>
      </c>
      <c r="I272" s="375">
        <f t="shared" si="91"/>
        <v>240.5</v>
      </c>
      <c r="J272" s="375">
        <f>(K271+J271)*(K270-J270)/2</f>
        <v>25.200000000000024</v>
      </c>
      <c r="K272" s="375">
        <f t="shared" si="91"/>
        <v>227.7999999999999</v>
      </c>
      <c r="L272" s="375">
        <f t="shared" si="91"/>
        <v>49.000000000000043</v>
      </c>
      <c r="M272" s="375">
        <f t="shared" si="91"/>
        <v>207.00000000000003</v>
      </c>
      <c r="N272" s="375">
        <f t="shared" si="91"/>
        <v>27.000000000000025</v>
      </c>
      <c r="O272" s="375">
        <f t="shared" si="91"/>
        <v>45.099999999999952</v>
      </c>
      <c r="P272" s="375">
        <f t="shared" si="91"/>
        <v>4.2500000000000036</v>
      </c>
      <c r="Q272" s="375">
        <f t="shared" si="91"/>
        <v>0.4500000000000004</v>
      </c>
      <c r="R272" s="375">
        <f t="shared" ref="R272:X272" si="92">(S271+R271)*(S270-R270)/2</f>
        <v>0</v>
      </c>
      <c r="S272" s="375">
        <f t="shared" si="92"/>
        <v>0</v>
      </c>
      <c r="T272" s="375">
        <f t="shared" si="92"/>
        <v>0</v>
      </c>
      <c r="U272" s="375">
        <f t="shared" si="92"/>
        <v>0</v>
      </c>
      <c r="V272" s="375">
        <f t="shared" si="92"/>
        <v>0</v>
      </c>
      <c r="W272" s="375">
        <f t="shared" si="92"/>
        <v>0</v>
      </c>
      <c r="X272" s="375">
        <f t="shared" si="92"/>
        <v>0</v>
      </c>
      <c r="Y272" s="383"/>
    </row>
    <row r="273" spans="1:25" ht="13.5" thickBot="1" x14ac:dyDescent="0.25">
      <c r="S273" s="12"/>
      <c r="T273" s="12"/>
      <c r="U273" s="12"/>
      <c r="V273" s="12"/>
      <c r="W273" s="12"/>
      <c r="X273" s="12"/>
      <c r="Y273" s="12"/>
    </row>
    <row r="274" spans="1:25" ht="13.5" thickBot="1" x14ac:dyDescent="0.25">
      <c r="A274" s="361" t="s">
        <v>36</v>
      </c>
      <c r="B274" s="359">
        <f>ROW(A274)</f>
        <v>274</v>
      </c>
      <c r="C274" s="363" t="s">
        <v>115</v>
      </c>
      <c r="D274" s="353">
        <f>SUM(B277:Y277)</f>
        <v>2102.35</v>
      </c>
      <c r="E274" s="363" t="s">
        <v>114</v>
      </c>
      <c r="F274" s="354">
        <f>D274/g/J274</f>
        <v>174.23319493133766</v>
      </c>
      <c r="G274" s="363" t="s">
        <v>56</v>
      </c>
      <c r="H274" s="64">
        <v>3.7</v>
      </c>
      <c r="I274" s="363" t="s">
        <v>271</v>
      </c>
      <c r="J274" s="355">
        <f>H274-L274</f>
        <v>1.23</v>
      </c>
      <c r="K274" s="363" t="s">
        <v>272</v>
      </c>
      <c r="L274" s="64">
        <v>2.4700000000000002</v>
      </c>
      <c r="M274" s="363" t="s">
        <v>57</v>
      </c>
      <c r="N274" s="65">
        <v>151</v>
      </c>
      <c r="O274" s="363" t="s">
        <v>59</v>
      </c>
      <c r="P274" s="65">
        <v>171</v>
      </c>
      <c r="Q274" s="363" t="s">
        <v>60</v>
      </c>
      <c r="R274" s="65">
        <v>247</v>
      </c>
      <c r="S274" s="363" t="s">
        <v>61</v>
      </c>
      <c r="T274" s="65">
        <v>90</v>
      </c>
      <c r="U274" s="363" t="s">
        <v>54</v>
      </c>
      <c r="V274" s="66" t="s">
        <v>118</v>
      </c>
      <c r="W274" s="12"/>
      <c r="X274" s="12"/>
      <c r="Y274" s="12"/>
    </row>
    <row r="275" spans="1:25" x14ac:dyDescent="0.2">
      <c r="A275" s="362" t="s">
        <v>33</v>
      </c>
      <c r="B275" s="370">
        <v>0</v>
      </c>
      <c r="C275" s="371">
        <v>0.05</v>
      </c>
      <c r="D275" s="371">
        <v>0.1</v>
      </c>
      <c r="E275" s="371">
        <v>1</v>
      </c>
      <c r="F275" s="371">
        <v>1.35</v>
      </c>
      <c r="G275" s="371">
        <v>1.75</v>
      </c>
      <c r="H275" s="371">
        <v>2.15</v>
      </c>
      <c r="I275" s="371">
        <v>2.25</v>
      </c>
      <c r="J275" s="371">
        <v>2.48</v>
      </c>
      <c r="K275" s="371">
        <v>2.6</v>
      </c>
      <c r="L275" s="371">
        <v>2.8</v>
      </c>
      <c r="M275" s="371">
        <v>2.8</v>
      </c>
      <c r="N275" s="371">
        <v>2.8</v>
      </c>
      <c r="O275" s="371">
        <v>2.8</v>
      </c>
      <c r="P275" s="371">
        <v>2.8</v>
      </c>
      <c r="Q275" s="371">
        <v>2.8</v>
      </c>
      <c r="R275" s="371">
        <v>2.8</v>
      </c>
      <c r="S275" s="371">
        <v>2.8</v>
      </c>
      <c r="T275" s="371">
        <v>2.8</v>
      </c>
      <c r="U275" s="371">
        <v>2.8</v>
      </c>
      <c r="V275" s="371">
        <v>2.8</v>
      </c>
      <c r="W275" s="371">
        <v>2.8</v>
      </c>
      <c r="X275" s="371">
        <v>2.8</v>
      </c>
      <c r="Y275" s="381">
        <v>1000</v>
      </c>
    </row>
    <row r="276" spans="1:25" x14ac:dyDescent="0.2">
      <c r="A276" s="378" t="s">
        <v>34</v>
      </c>
      <c r="B276" s="372">
        <v>0</v>
      </c>
      <c r="C276" s="373">
        <v>860</v>
      </c>
      <c r="D276" s="373">
        <v>840</v>
      </c>
      <c r="E276" s="373">
        <v>840</v>
      </c>
      <c r="F276" s="373">
        <v>850</v>
      </c>
      <c r="G276" s="373">
        <v>900</v>
      </c>
      <c r="H276" s="373">
        <v>1050</v>
      </c>
      <c r="I276" s="373">
        <v>1020</v>
      </c>
      <c r="J276" s="373">
        <v>120</v>
      </c>
      <c r="K276" s="373">
        <v>30</v>
      </c>
      <c r="L276" s="373">
        <v>0</v>
      </c>
      <c r="M276" s="373">
        <v>0</v>
      </c>
      <c r="N276" s="373">
        <v>0</v>
      </c>
      <c r="O276" s="373">
        <v>0</v>
      </c>
      <c r="P276" s="373">
        <v>0</v>
      </c>
      <c r="Q276" s="373">
        <v>0</v>
      </c>
      <c r="R276" s="373">
        <v>0</v>
      </c>
      <c r="S276" s="373">
        <v>0</v>
      </c>
      <c r="T276" s="373">
        <v>0</v>
      </c>
      <c r="U276" s="373">
        <v>0</v>
      </c>
      <c r="V276" s="373">
        <v>0</v>
      </c>
      <c r="W276" s="373">
        <v>0</v>
      </c>
      <c r="X276" s="373">
        <v>0</v>
      </c>
      <c r="Y276" s="382">
        <v>0</v>
      </c>
    </row>
    <row r="277" spans="1:25" ht="13.5" thickBot="1" x14ac:dyDescent="0.25">
      <c r="A277" s="379" t="s">
        <v>116</v>
      </c>
      <c r="B277" s="374">
        <f t="shared" ref="B277:K277" si="93">(C276+B276)*(C275-B275)/2</f>
        <v>21.5</v>
      </c>
      <c r="C277" s="375">
        <f t="shared" si="93"/>
        <v>42.5</v>
      </c>
      <c r="D277" s="375">
        <f t="shared" si="93"/>
        <v>756</v>
      </c>
      <c r="E277" s="375">
        <f t="shared" si="93"/>
        <v>295.75000000000006</v>
      </c>
      <c r="F277" s="375">
        <f t="shared" si="93"/>
        <v>349.99999999999994</v>
      </c>
      <c r="G277" s="375">
        <f t="shared" si="93"/>
        <v>389.99999999999989</v>
      </c>
      <c r="H277" s="375">
        <f t="shared" si="93"/>
        <v>103.50000000000009</v>
      </c>
      <c r="I277" s="375">
        <f t="shared" si="93"/>
        <v>131.1</v>
      </c>
      <c r="J277" s="375">
        <f>(K276+J276)*(K275-J275)/2</f>
        <v>9.0000000000000071</v>
      </c>
      <c r="K277" s="375">
        <f t="shared" si="93"/>
        <v>2.999999999999996</v>
      </c>
      <c r="L277" s="375">
        <f t="shared" ref="L277:V277" si="94">(M276+L276)*(M275-L275)/2</f>
        <v>0</v>
      </c>
      <c r="M277" s="375">
        <f t="shared" si="94"/>
        <v>0</v>
      </c>
      <c r="N277" s="375">
        <f t="shared" si="94"/>
        <v>0</v>
      </c>
      <c r="O277" s="375">
        <f t="shared" si="94"/>
        <v>0</v>
      </c>
      <c r="P277" s="375">
        <f t="shared" si="94"/>
        <v>0</v>
      </c>
      <c r="Q277" s="375">
        <f t="shared" si="94"/>
        <v>0</v>
      </c>
      <c r="R277" s="375">
        <f t="shared" si="94"/>
        <v>0</v>
      </c>
      <c r="S277" s="375">
        <f>(T276+S276)*(T275-S275)/2</f>
        <v>0</v>
      </c>
      <c r="T277" s="375">
        <f t="shared" si="94"/>
        <v>0</v>
      </c>
      <c r="U277" s="375">
        <f t="shared" si="94"/>
        <v>0</v>
      </c>
      <c r="V277" s="375">
        <f t="shared" si="94"/>
        <v>0</v>
      </c>
      <c r="W277" s="375">
        <f>(X276+W276)*(X275-W275)/2</f>
        <v>0</v>
      </c>
      <c r="X277" s="375">
        <f>(Y276+X276)*(Y275-X275)/2</f>
        <v>0</v>
      </c>
      <c r="Y277" s="369"/>
    </row>
    <row r="278" spans="1:25" ht="13.5" thickBot="1" x14ac:dyDescent="0.25"/>
    <row r="279" spans="1:25" ht="13.5" thickBot="1" x14ac:dyDescent="0.25">
      <c r="A279" s="361" t="s">
        <v>548</v>
      </c>
      <c r="B279" s="359">
        <f>ROW(A279)</f>
        <v>279</v>
      </c>
      <c r="C279" s="363" t="s">
        <v>115</v>
      </c>
      <c r="D279" s="353">
        <f>SUM(B282:Y282)</f>
        <v>2058.37</v>
      </c>
      <c r="E279" s="363" t="s">
        <v>114</v>
      </c>
      <c r="F279" s="354">
        <f>D279/g/J279</f>
        <v>203.12066731598335</v>
      </c>
      <c r="G279" s="363" t="s">
        <v>56</v>
      </c>
      <c r="H279" s="64">
        <v>1.6850000000000001</v>
      </c>
      <c r="I279" s="363" t="s">
        <v>271</v>
      </c>
      <c r="J279" s="355">
        <f>H279-L279</f>
        <v>1.0329999999999999</v>
      </c>
      <c r="K279" s="363" t="s">
        <v>272</v>
      </c>
      <c r="L279" s="64">
        <v>0.65200000000000002</v>
      </c>
      <c r="M279" s="363" t="s">
        <v>57</v>
      </c>
      <c r="N279" s="65">
        <v>250</v>
      </c>
      <c r="O279" s="363" t="s">
        <v>59</v>
      </c>
      <c r="P279" s="65">
        <v>240</v>
      </c>
      <c r="Q279" s="363" t="s">
        <v>60</v>
      </c>
      <c r="R279" s="65">
        <v>488</v>
      </c>
      <c r="S279" s="363" t="s">
        <v>61</v>
      </c>
      <c r="T279" s="65">
        <v>54</v>
      </c>
      <c r="U279" s="363" t="s">
        <v>54</v>
      </c>
      <c r="V279" s="66" t="s">
        <v>118</v>
      </c>
      <c r="W279" s="12"/>
      <c r="X279" s="12"/>
      <c r="Y279" s="12"/>
    </row>
    <row r="280" spans="1:25" x14ac:dyDescent="0.2">
      <c r="A280" s="362" t="s">
        <v>33</v>
      </c>
      <c r="B280" s="370">
        <v>0</v>
      </c>
      <c r="C280" s="371">
        <v>0.05</v>
      </c>
      <c r="D280" s="371">
        <v>0.5</v>
      </c>
      <c r="E280" s="371">
        <v>1</v>
      </c>
      <c r="F280" s="371">
        <v>1.5</v>
      </c>
      <c r="G280" s="371">
        <v>2</v>
      </c>
      <c r="H280" s="371">
        <v>2.5</v>
      </c>
      <c r="I280" s="371">
        <v>2.97</v>
      </c>
      <c r="J280" s="371">
        <v>3.2</v>
      </c>
      <c r="K280" s="371">
        <v>3.47</v>
      </c>
      <c r="L280" s="371">
        <v>3.59</v>
      </c>
      <c r="M280" s="371">
        <v>3.59</v>
      </c>
      <c r="N280" s="371">
        <v>3.59</v>
      </c>
      <c r="O280" s="371">
        <v>3.59</v>
      </c>
      <c r="P280" s="371">
        <v>3.59</v>
      </c>
      <c r="Q280" s="371">
        <v>3.59</v>
      </c>
      <c r="R280" s="371">
        <v>3.59</v>
      </c>
      <c r="S280" s="371">
        <v>3.59</v>
      </c>
      <c r="T280" s="371">
        <v>3.59</v>
      </c>
      <c r="U280" s="371">
        <v>3.59</v>
      </c>
      <c r="V280" s="371">
        <v>3.59</v>
      </c>
      <c r="W280" s="371">
        <v>3.59</v>
      </c>
      <c r="X280" s="371">
        <v>3.59</v>
      </c>
      <c r="Y280" s="381">
        <v>1000</v>
      </c>
    </row>
    <row r="281" spans="1:25" x14ac:dyDescent="0.2">
      <c r="A281" s="378" t="s">
        <v>34</v>
      </c>
      <c r="B281" s="372">
        <v>0</v>
      </c>
      <c r="C281" s="373">
        <v>893</v>
      </c>
      <c r="D281" s="373">
        <v>798</v>
      </c>
      <c r="E281" s="373">
        <v>739</v>
      </c>
      <c r="F281" s="373">
        <v>659</v>
      </c>
      <c r="G281" s="373">
        <v>586</v>
      </c>
      <c r="H281" s="373">
        <v>513</v>
      </c>
      <c r="I281" s="373">
        <v>417</v>
      </c>
      <c r="J281" s="373">
        <v>225</v>
      </c>
      <c r="K281" s="373">
        <v>67</v>
      </c>
      <c r="L281" s="373">
        <v>0</v>
      </c>
      <c r="M281" s="373">
        <v>0</v>
      </c>
      <c r="N281" s="373">
        <v>0</v>
      </c>
      <c r="O281" s="373">
        <v>0</v>
      </c>
      <c r="P281" s="373">
        <v>0</v>
      </c>
      <c r="Q281" s="373">
        <v>0</v>
      </c>
      <c r="R281" s="373">
        <v>0</v>
      </c>
      <c r="S281" s="373">
        <v>0</v>
      </c>
      <c r="T281" s="373">
        <v>0</v>
      </c>
      <c r="U281" s="373">
        <v>0</v>
      </c>
      <c r="V281" s="373">
        <v>0</v>
      </c>
      <c r="W281" s="373">
        <v>0</v>
      </c>
      <c r="X281" s="373">
        <v>0</v>
      </c>
      <c r="Y281" s="382">
        <v>0</v>
      </c>
    </row>
    <row r="282" spans="1:25" ht="13.5" thickBot="1" x14ac:dyDescent="0.25">
      <c r="A282" s="380" t="s">
        <v>116</v>
      </c>
      <c r="B282" s="374">
        <f t="shared" ref="B282:V282" si="95">(C281+B281)*(C280-B280)/2</f>
        <v>22.325000000000003</v>
      </c>
      <c r="C282" s="375">
        <f t="shared" si="95"/>
        <v>380.47500000000002</v>
      </c>
      <c r="D282" s="375">
        <f t="shared" si="95"/>
        <v>384.25</v>
      </c>
      <c r="E282" s="375">
        <f t="shared" si="95"/>
        <v>349.5</v>
      </c>
      <c r="F282" s="375">
        <f t="shared" si="95"/>
        <v>311.25</v>
      </c>
      <c r="G282" s="375">
        <f t="shared" si="95"/>
        <v>274.75</v>
      </c>
      <c r="H282" s="375">
        <f t="shared" si="95"/>
        <v>218.5500000000001</v>
      </c>
      <c r="I282" s="375">
        <f t="shared" si="95"/>
        <v>73.83</v>
      </c>
      <c r="J282" s="375">
        <f>(K281+J281)*(K280-J280)/2</f>
        <v>39.42</v>
      </c>
      <c r="K282" s="375">
        <f t="shared" si="95"/>
        <v>4.0199999999999889</v>
      </c>
      <c r="L282" s="375">
        <f t="shared" si="95"/>
        <v>0</v>
      </c>
      <c r="M282" s="375">
        <f t="shared" si="95"/>
        <v>0</v>
      </c>
      <c r="N282" s="375">
        <f t="shared" si="95"/>
        <v>0</v>
      </c>
      <c r="O282" s="375">
        <f t="shared" si="95"/>
        <v>0</v>
      </c>
      <c r="P282" s="375">
        <f t="shared" si="95"/>
        <v>0</v>
      </c>
      <c r="Q282" s="375">
        <f t="shared" si="95"/>
        <v>0</v>
      </c>
      <c r="R282" s="375">
        <f t="shared" si="95"/>
        <v>0</v>
      </c>
      <c r="S282" s="375">
        <f>(T281+S281)*(T280-S280)/2</f>
        <v>0</v>
      </c>
      <c r="T282" s="375">
        <f t="shared" si="95"/>
        <v>0</v>
      </c>
      <c r="U282" s="375">
        <f t="shared" si="95"/>
        <v>0</v>
      </c>
      <c r="V282" s="375">
        <f t="shared" si="95"/>
        <v>0</v>
      </c>
      <c r="W282" s="375">
        <f>(X281+W281)*(X280-W280)/2</f>
        <v>0</v>
      </c>
      <c r="X282" s="375">
        <f>(Y281+X281)*(Y280-X280)/2</f>
        <v>0</v>
      </c>
      <c r="Y282" s="369"/>
    </row>
    <row r="283" spans="1:25" ht="13.5" thickBot="1" x14ac:dyDescent="0.25">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row>
    <row r="284" spans="1:25" ht="13.5" thickBot="1" x14ac:dyDescent="0.25">
      <c r="A284" s="361" t="s">
        <v>551</v>
      </c>
      <c r="B284" s="359">
        <f>ROW(A284)</f>
        <v>284</v>
      </c>
      <c r="C284" s="363" t="s">
        <v>115</v>
      </c>
      <c r="D284" s="353">
        <f>SUM(B287:Y287)</f>
        <v>1998.2428999999995</v>
      </c>
      <c r="E284" s="363" t="s">
        <v>114</v>
      </c>
      <c r="F284" s="354">
        <f>D284/g/J284</f>
        <v>207.42819268753979</v>
      </c>
      <c r="G284" s="363" t="s">
        <v>56</v>
      </c>
      <c r="H284" s="64">
        <v>1.6319999999999999</v>
      </c>
      <c r="I284" s="363" t="s">
        <v>271</v>
      </c>
      <c r="J284" s="355">
        <f>H284-L284</f>
        <v>0.98199999999999987</v>
      </c>
      <c r="K284" s="363" t="s">
        <v>272</v>
      </c>
      <c r="L284" s="64">
        <v>0.65</v>
      </c>
      <c r="M284" s="363" t="s">
        <v>57</v>
      </c>
      <c r="N284" s="65">
        <v>250</v>
      </c>
      <c r="O284" s="363" t="s">
        <v>59</v>
      </c>
      <c r="P284" s="65">
        <v>240</v>
      </c>
      <c r="Q284" s="363" t="s">
        <v>60</v>
      </c>
      <c r="R284" s="65">
        <v>488</v>
      </c>
      <c r="S284" s="363" t="s">
        <v>61</v>
      </c>
      <c r="T284" s="65">
        <v>54</v>
      </c>
      <c r="U284" s="363" t="s">
        <v>54</v>
      </c>
      <c r="V284" s="66" t="s">
        <v>118</v>
      </c>
      <c r="W284" s="12"/>
      <c r="X284" s="12"/>
      <c r="Y284" s="12"/>
    </row>
    <row r="285" spans="1:25" x14ac:dyDescent="0.2">
      <c r="A285" s="362" t="s">
        <v>33</v>
      </c>
      <c r="B285" s="373">
        <v>0</v>
      </c>
      <c r="C285" s="373">
        <v>0.01</v>
      </c>
      <c r="D285" s="373">
        <v>0.02</v>
      </c>
      <c r="E285" s="373">
        <v>0.05</v>
      </c>
      <c r="F285" s="373">
        <v>0.1</v>
      </c>
      <c r="G285" s="373">
        <v>0.2</v>
      </c>
      <c r="H285" s="373">
        <v>0.4</v>
      </c>
      <c r="I285" s="373">
        <v>0.8</v>
      </c>
      <c r="J285" s="373">
        <v>0.9</v>
      </c>
      <c r="K285" s="373">
        <v>1</v>
      </c>
      <c r="L285" s="373">
        <v>1.1000000000000001</v>
      </c>
      <c r="M285" s="373">
        <v>1.2</v>
      </c>
      <c r="N285" s="373">
        <v>1.3</v>
      </c>
      <c r="O285" s="373">
        <v>1.4</v>
      </c>
      <c r="P285" s="373">
        <v>1.55</v>
      </c>
      <c r="Q285" s="373">
        <v>1.6</v>
      </c>
      <c r="R285" s="373">
        <v>1.62</v>
      </c>
      <c r="S285" s="373">
        <v>1.64</v>
      </c>
      <c r="T285" s="373">
        <v>1.66</v>
      </c>
      <c r="U285" s="373">
        <v>1.67</v>
      </c>
      <c r="V285" s="373">
        <v>1.68</v>
      </c>
      <c r="W285" s="533">
        <v>1.69</v>
      </c>
      <c r="X285" s="533">
        <v>1.7</v>
      </c>
      <c r="Y285" s="381">
        <v>1000</v>
      </c>
    </row>
    <row r="286" spans="1:25" x14ac:dyDescent="0.2">
      <c r="A286" s="378" t="s">
        <v>34</v>
      </c>
      <c r="B286" s="373">
        <v>0</v>
      </c>
      <c r="C286" s="373">
        <v>492.25</v>
      </c>
      <c r="D286" s="373">
        <v>1369.46</v>
      </c>
      <c r="E286" s="373">
        <v>1236.01</v>
      </c>
      <c r="F286" s="373">
        <v>1279.47</v>
      </c>
      <c r="G286" s="373">
        <v>1311.39</v>
      </c>
      <c r="H286" s="373">
        <v>1331.39</v>
      </c>
      <c r="I286" s="373">
        <v>1304.08</v>
      </c>
      <c r="J286" s="373">
        <v>1280.6199999999999</v>
      </c>
      <c r="K286" s="373">
        <v>1249.8599999999999</v>
      </c>
      <c r="L286" s="373">
        <v>1217.94</v>
      </c>
      <c r="M286" s="373">
        <v>1199.29</v>
      </c>
      <c r="N286" s="373">
        <v>1158.77</v>
      </c>
      <c r="O286" s="373">
        <v>1112.56</v>
      </c>
      <c r="P286" s="373">
        <v>941.81</v>
      </c>
      <c r="Q286" s="373">
        <v>726.07</v>
      </c>
      <c r="R286" s="373">
        <v>559.16999999999996</v>
      </c>
      <c r="S286" s="373">
        <v>399.95</v>
      </c>
      <c r="T286" s="373">
        <v>317.66000000000003</v>
      </c>
      <c r="U286" s="373">
        <v>247.28</v>
      </c>
      <c r="V286" s="373">
        <v>198.05</v>
      </c>
      <c r="W286" s="373">
        <v>67.3</v>
      </c>
      <c r="X286" s="373">
        <v>0</v>
      </c>
      <c r="Y286" s="382">
        <v>0</v>
      </c>
    </row>
    <row r="287" spans="1:25" ht="13.5" thickBot="1" x14ac:dyDescent="0.25">
      <c r="A287" s="379" t="s">
        <v>116</v>
      </c>
      <c r="B287" s="374">
        <f t="shared" ref="B287:V287" si="96">(C286+B286)*(C285-B285)/2</f>
        <v>2.4612500000000002</v>
      </c>
      <c r="C287" s="375">
        <f t="shared" si="96"/>
        <v>9.3085500000000003</v>
      </c>
      <c r="D287" s="375">
        <f t="shared" si="96"/>
        <v>39.08205000000001</v>
      </c>
      <c r="E287" s="375">
        <f t="shared" si="96"/>
        <v>62.887</v>
      </c>
      <c r="F287" s="375">
        <f t="shared" si="96"/>
        <v>129.54300000000001</v>
      </c>
      <c r="G287" s="375">
        <f t="shared" si="96"/>
        <v>264.27800000000002</v>
      </c>
      <c r="H287" s="375">
        <f t="shared" si="96"/>
        <v>527.09400000000005</v>
      </c>
      <c r="I287" s="375">
        <f t="shared" si="96"/>
        <v>129.23499999999996</v>
      </c>
      <c r="J287" s="375">
        <f>(K286+J286)*(K285-J285)/2</f>
        <v>126.52399999999994</v>
      </c>
      <c r="K287" s="375">
        <f t="shared" si="96"/>
        <v>123.39000000000011</v>
      </c>
      <c r="L287" s="375">
        <f t="shared" si="96"/>
        <v>120.86149999999984</v>
      </c>
      <c r="M287" s="375">
        <f t="shared" si="96"/>
        <v>117.90300000000011</v>
      </c>
      <c r="N287" s="375">
        <f t="shared" si="96"/>
        <v>113.56649999999985</v>
      </c>
      <c r="O287" s="375">
        <f t="shared" si="96"/>
        <v>154.07775000000012</v>
      </c>
      <c r="P287" s="375">
        <f t="shared" si="96"/>
        <v>41.697000000000038</v>
      </c>
      <c r="Q287" s="375">
        <f t="shared" si="96"/>
        <v>12.852400000000012</v>
      </c>
      <c r="R287" s="375">
        <f t="shared" si="96"/>
        <v>9.5911999999999011</v>
      </c>
      <c r="S287" s="375">
        <f>(T286+S286)*(T285-S285)/2</f>
        <v>7.1761000000000061</v>
      </c>
      <c r="T287" s="375">
        <f t="shared" si="96"/>
        <v>2.8247000000000027</v>
      </c>
      <c r="U287" s="375">
        <f t="shared" si="96"/>
        <v>2.226650000000002</v>
      </c>
      <c r="V287" s="375">
        <f t="shared" si="96"/>
        <v>1.3267500000000012</v>
      </c>
      <c r="W287" s="375">
        <f>(X286+W286)*(X285-W285)/2</f>
        <v>0.3365000000000003</v>
      </c>
      <c r="X287" s="375">
        <f>(Y286+X286)*(Y285-X285)/2</f>
        <v>0</v>
      </c>
      <c r="Y287" s="369"/>
    </row>
    <row r="288" spans="1:25" ht="13.5" thickBot="1" x14ac:dyDescent="0.25">
      <c r="A288" s="12"/>
      <c r="L288" s="12"/>
      <c r="M288" s="12"/>
      <c r="N288" s="12"/>
      <c r="O288" s="12"/>
      <c r="P288" s="12"/>
      <c r="Q288" s="12"/>
      <c r="R288" s="12"/>
      <c r="S288" s="12"/>
      <c r="T288" s="12"/>
      <c r="U288" s="12"/>
      <c r="V288" s="12"/>
      <c r="W288" s="12"/>
      <c r="X288" s="12"/>
      <c r="Y288" s="12"/>
    </row>
    <row r="289" spans="1:25" ht="13.5" thickBot="1" x14ac:dyDescent="0.25">
      <c r="A289" s="361" t="s">
        <v>549</v>
      </c>
      <c r="B289" s="359">
        <f>ROW(A289)</f>
        <v>289</v>
      </c>
      <c r="C289" s="363" t="s">
        <v>115</v>
      </c>
      <c r="D289" s="353">
        <f>SUM(B292:Y292)</f>
        <v>3739.0284999999994</v>
      </c>
      <c r="E289" s="363" t="s">
        <v>114</v>
      </c>
      <c r="F289" s="354">
        <f>D289/g/J289</f>
        <v>203.4941790441234</v>
      </c>
      <c r="G289" s="363" t="s">
        <v>56</v>
      </c>
      <c r="H289" s="64">
        <v>3.5110000000000001</v>
      </c>
      <c r="I289" s="363" t="s">
        <v>271</v>
      </c>
      <c r="J289" s="355">
        <f>H289-L289</f>
        <v>1.8730000000000002</v>
      </c>
      <c r="K289" s="363" t="s">
        <v>272</v>
      </c>
      <c r="L289" s="64">
        <v>1.6379999999999999</v>
      </c>
      <c r="M289" s="363" t="s">
        <v>57</v>
      </c>
      <c r="N289" s="65">
        <v>243</v>
      </c>
      <c r="O289" s="363" t="s">
        <v>59</v>
      </c>
      <c r="P289" s="65">
        <v>249</v>
      </c>
      <c r="Q289" s="363" t="s">
        <v>60</v>
      </c>
      <c r="R289" s="65">
        <v>498</v>
      </c>
      <c r="S289" s="363" t="s">
        <v>61</v>
      </c>
      <c r="T289" s="65">
        <v>75</v>
      </c>
      <c r="U289" s="363" t="s">
        <v>54</v>
      </c>
      <c r="V289" s="66" t="s">
        <v>118</v>
      </c>
      <c r="W289" s="12"/>
      <c r="X289" s="12"/>
      <c r="Y289" s="12"/>
    </row>
    <row r="290" spans="1:25" x14ac:dyDescent="0.2">
      <c r="A290" s="362" t="s">
        <v>33</v>
      </c>
      <c r="B290" s="370">
        <v>0</v>
      </c>
      <c r="C290" s="371">
        <v>0.01</v>
      </c>
      <c r="D290" s="371">
        <v>0.1</v>
      </c>
      <c r="E290" s="371">
        <v>0.12</v>
      </c>
      <c r="F290" s="371">
        <v>0.26</v>
      </c>
      <c r="G290" s="371">
        <v>0.71</v>
      </c>
      <c r="H290" s="371">
        <v>1.28</v>
      </c>
      <c r="I290" s="371">
        <v>2.0499999999999998</v>
      </c>
      <c r="J290" s="371">
        <v>2.41</v>
      </c>
      <c r="K290" s="371">
        <v>2.83</v>
      </c>
      <c r="L290" s="371">
        <v>3.25</v>
      </c>
      <c r="M290" s="371">
        <v>3.65</v>
      </c>
      <c r="N290" s="371">
        <v>3.8</v>
      </c>
      <c r="O290" s="371">
        <v>4</v>
      </c>
      <c r="P290" s="371">
        <v>4.0999999999999996</v>
      </c>
      <c r="Q290" s="371">
        <v>4.1900000000000004</v>
      </c>
      <c r="R290" s="371">
        <v>4.3099999999999996</v>
      </c>
      <c r="S290" s="371">
        <v>4.41</v>
      </c>
      <c r="T290" s="371">
        <v>4.5199999999999996</v>
      </c>
      <c r="U290" s="371">
        <v>4.5999999999999996</v>
      </c>
      <c r="V290" s="371">
        <v>4.6500000000000004</v>
      </c>
      <c r="W290" s="371">
        <v>4.67</v>
      </c>
      <c r="X290" s="371">
        <v>4.68</v>
      </c>
      <c r="Y290" s="381">
        <v>1000</v>
      </c>
    </row>
    <row r="291" spans="1:25" x14ac:dyDescent="0.2">
      <c r="A291" s="378" t="s">
        <v>34</v>
      </c>
      <c r="B291" s="372">
        <v>27</v>
      </c>
      <c r="C291" s="373">
        <v>402.4</v>
      </c>
      <c r="D291" s="373">
        <v>1286</v>
      </c>
      <c r="E291" s="373">
        <v>1257</v>
      </c>
      <c r="F291" s="373">
        <v>1042</v>
      </c>
      <c r="G291" s="373">
        <v>1027</v>
      </c>
      <c r="H291" s="373">
        <v>998.4</v>
      </c>
      <c r="I291" s="373">
        <v>901.4</v>
      </c>
      <c r="J291" s="373">
        <v>849.6</v>
      </c>
      <c r="K291" s="373">
        <v>763.5</v>
      </c>
      <c r="L291" s="373">
        <v>707.1</v>
      </c>
      <c r="M291" s="373">
        <v>655.1</v>
      </c>
      <c r="N291" s="373">
        <v>651.70000000000005</v>
      </c>
      <c r="O291" s="373">
        <v>624.1</v>
      </c>
      <c r="P291" s="373">
        <v>601.29999999999995</v>
      </c>
      <c r="Q291" s="373">
        <v>536.20000000000005</v>
      </c>
      <c r="R291" s="373">
        <v>415.7</v>
      </c>
      <c r="S291" s="373">
        <v>270.2</v>
      </c>
      <c r="T291" s="373">
        <v>140.19999999999999</v>
      </c>
      <c r="U291" s="373">
        <v>76.900000000000006</v>
      </c>
      <c r="V291" s="373">
        <v>54.9</v>
      </c>
      <c r="W291" s="373">
        <v>40.200000000000003</v>
      </c>
      <c r="X291" s="373">
        <v>0</v>
      </c>
      <c r="Y291" s="382">
        <v>0</v>
      </c>
    </row>
    <row r="292" spans="1:25" ht="13.5" thickBot="1" x14ac:dyDescent="0.25">
      <c r="A292" s="379" t="s">
        <v>116</v>
      </c>
      <c r="B292" s="374">
        <f t="shared" ref="B292:V292" si="97">(C291+B291)*(C290-B290)/2</f>
        <v>2.1469999999999998</v>
      </c>
      <c r="C292" s="375">
        <f t="shared" si="97"/>
        <v>75.978000000000009</v>
      </c>
      <c r="D292" s="375">
        <f t="shared" si="97"/>
        <v>25.429999999999989</v>
      </c>
      <c r="E292" s="375">
        <f t="shared" si="97"/>
        <v>160.93</v>
      </c>
      <c r="F292" s="375">
        <f t="shared" si="97"/>
        <v>465.52499999999998</v>
      </c>
      <c r="G292" s="375">
        <f t="shared" si="97"/>
        <v>577.23900000000003</v>
      </c>
      <c r="H292" s="375">
        <f t="shared" si="97"/>
        <v>731.42299999999977</v>
      </c>
      <c r="I292" s="375">
        <f t="shared" si="97"/>
        <v>315.18000000000029</v>
      </c>
      <c r="J292" s="375">
        <f>(K291+J291)*(K290-J290)/2</f>
        <v>338.75099999999992</v>
      </c>
      <c r="K292" s="375">
        <f t="shared" si="97"/>
        <v>308.82599999999991</v>
      </c>
      <c r="L292" s="375">
        <f t="shared" si="97"/>
        <v>272.43999999999994</v>
      </c>
      <c r="M292" s="375">
        <f t="shared" si="97"/>
        <v>98.009999999999962</v>
      </c>
      <c r="N292" s="375">
        <f t="shared" si="97"/>
        <v>127.58000000000013</v>
      </c>
      <c r="O292" s="375">
        <f t="shared" si="97"/>
        <v>61.26999999999979</v>
      </c>
      <c r="P292" s="375">
        <f t="shared" si="97"/>
        <v>51.187500000000426</v>
      </c>
      <c r="Q292" s="375">
        <f t="shared" si="97"/>
        <v>57.113999999999635</v>
      </c>
      <c r="R292" s="375">
        <f t="shared" si="97"/>
        <v>34.295000000000179</v>
      </c>
      <c r="S292" s="375">
        <f>(T291+S291)*(T290-S290)/2</f>
        <v>22.571999999999882</v>
      </c>
      <c r="T292" s="375">
        <f t="shared" si="97"/>
        <v>8.6840000000000082</v>
      </c>
      <c r="U292" s="375">
        <f t="shared" si="97"/>
        <v>3.295000000000047</v>
      </c>
      <c r="V292" s="375">
        <f t="shared" si="97"/>
        <v>0.95099999999997964</v>
      </c>
      <c r="W292" s="375">
        <f>(X291+W291)*(X290-W290)/2</f>
        <v>0.20099999999999574</v>
      </c>
      <c r="X292" s="375">
        <f>(Y291+X291)*(Y290-X290)/2</f>
        <v>0</v>
      </c>
      <c r="Y292" s="369"/>
    </row>
    <row r="293" spans="1:25" ht="13.5" thickBot="1" x14ac:dyDescent="0.25">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row>
    <row r="294" spans="1:25" ht="13.5" thickBot="1" x14ac:dyDescent="0.25">
      <c r="A294" s="361" t="s">
        <v>555</v>
      </c>
      <c r="B294" s="359">
        <f>ROW(A294)</f>
        <v>294</v>
      </c>
      <c r="C294" s="363" t="s">
        <v>115</v>
      </c>
      <c r="D294" s="353">
        <f>SUM(B297:Y297)</f>
        <v>14273.976008499998</v>
      </c>
      <c r="E294" s="363" t="s">
        <v>114</v>
      </c>
      <c r="F294" s="354">
        <f>D294/g/J294</f>
        <v>169.50645688990159</v>
      </c>
      <c r="G294" s="363" t="s">
        <v>56</v>
      </c>
      <c r="H294" s="64">
        <v>13.247999999999999</v>
      </c>
      <c r="I294" s="363" t="s">
        <v>271</v>
      </c>
      <c r="J294" s="355">
        <f>H294-L294</f>
        <v>8.5839999999999996</v>
      </c>
      <c r="K294" s="363" t="s">
        <v>272</v>
      </c>
      <c r="L294" s="64">
        <v>4.6639999999999997</v>
      </c>
      <c r="M294" s="363" t="s">
        <v>57</v>
      </c>
      <c r="N294" s="65">
        <f>R294/2</f>
        <v>505</v>
      </c>
      <c r="O294" s="363" t="s">
        <v>59</v>
      </c>
      <c r="P294" s="65">
        <v>505</v>
      </c>
      <c r="Q294" s="363" t="s">
        <v>60</v>
      </c>
      <c r="R294" s="65">
        <v>1010</v>
      </c>
      <c r="S294" s="363" t="s">
        <v>61</v>
      </c>
      <c r="T294" s="65">
        <v>98</v>
      </c>
      <c r="U294" s="363" t="s">
        <v>54</v>
      </c>
      <c r="V294" s="66" t="s">
        <v>118</v>
      </c>
      <c r="W294" s="12"/>
      <c r="X294" s="12"/>
      <c r="Y294" s="12"/>
    </row>
    <row r="295" spans="1:25" x14ac:dyDescent="0.2">
      <c r="A295" s="362" t="s">
        <v>33</v>
      </c>
      <c r="B295" s="370">
        <v>0</v>
      </c>
      <c r="C295" s="371">
        <v>0.04</v>
      </c>
      <c r="D295" s="371">
        <v>0.08</v>
      </c>
      <c r="E295" s="371">
        <v>0.20100000000000001</v>
      </c>
      <c r="F295" s="371">
        <v>0.44700000000000001</v>
      </c>
      <c r="G295" s="371">
        <v>0.67800000000000005</v>
      </c>
      <c r="H295" s="371">
        <v>0.75800000000000001</v>
      </c>
      <c r="I295" s="371">
        <v>0.85299999999999998</v>
      </c>
      <c r="J295" s="371">
        <v>2.4249999999999998</v>
      </c>
      <c r="K295" s="371">
        <v>2.52</v>
      </c>
      <c r="L295" s="371">
        <v>2.7610000000000001</v>
      </c>
      <c r="M295" s="371">
        <v>3.4340000000000002</v>
      </c>
      <c r="N295" s="371">
        <v>3.7149999999999999</v>
      </c>
      <c r="O295" s="371">
        <v>4.077</v>
      </c>
      <c r="P295" s="371">
        <v>4.96</v>
      </c>
      <c r="Q295" s="371">
        <v>5.492</v>
      </c>
      <c r="R295" s="371">
        <v>6.1050000000000004</v>
      </c>
      <c r="S295" s="371">
        <v>6.4459999999999997</v>
      </c>
      <c r="T295" s="371">
        <v>6.6470000000000002</v>
      </c>
      <c r="U295" s="371">
        <v>7.0739999999999998</v>
      </c>
      <c r="V295" s="371">
        <v>7.2389999999999999</v>
      </c>
      <c r="W295" s="533">
        <v>7.2539999999999996</v>
      </c>
      <c r="X295" s="371">
        <v>8</v>
      </c>
      <c r="Y295" s="381">
        <v>1000</v>
      </c>
    </row>
    <row r="296" spans="1:25" x14ac:dyDescent="0.2">
      <c r="A296" s="378" t="s">
        <v>34</v>
      </c>
      <c r="B296" s="372">
        <v>0</v>
      </c>
      <c r="C296" s="373">
        <v>1382.46</v>
      </c>
      <c r="D296" s="373">
        <v>1699.1469999999999</v>
      </c>
      <c r="E296" s="373">
        <v>1781.364</v>
      </c>
      <c r="F296" s="373">
        <v>1793.5440000000001</v>
      </c>
      <c r="G296" s="373">
        <v>1820.95</v>
      </c>
      <c r="H296" s="373">
        <v>1927.527</v>
      </c>
      <c r="I296" s="373">
        <v>1842.2660000000001</v>
      </c>
      <c r="J296" s="373">
        <v>2088.9160000000002</v>
      </c>
      <c r="K296" s="373">
        <v>2180.268</v>
      </c>
      <c r="L296" s="373">
        <v>2198.538</v>
      </c>
      <c r="M296" s="373">
        <v>2213.7640000000001</v>
      </c>
      <c r="N296" s="373">
        <v>2268.5749999999998</v>
      </c>
      <c r="O296" s="373">
        <v>2299.0259999999998</v>
      </c>
      <c r="P296" s="373">
        <v>2238.1239999999998</v>
      </c>
      <c r="Q296" s="373">
        <v>2161.998</v>
      </c>
      <c r="R296" s="373">
        <v>2024.97</v>
      </c>
      <c r="S296" s="373">
        <v>1878.806</v>
      </c>
      <c r="T296" s="373">
        <v>1668.6969999999999</v>
      </c>
      <c r="U296" s="373">
        <v>602.923</v>
      </c>
      <c r="V296" s="373">
        <v>140.07300000000001</v>
      </c>
      <c r="W296" s="373">
        <v>0</v>
      </c>
      <c r="X296" s="373">
        <v>0</v>
      </c>
      <c r="Y296" s="382">
        <v>0</v>
      </c>
    </row>
    <row r="297" spans="1:25" ht="13.5" thickBot="1" x14ac:dyDescent="0.25">
      <c r="A297" s="379" t="s">
        <v>116</v>
      </c>
      <c r="B297" s="374">
        <f t="shared" ref="B297:X297" si="98">(C296+B296)*(C295-B295)/2</f>
        <v>27.6492</v>
      </c>
      <c r="C297" s="375">
        <f t="shared" si="98"/>
        <v>61.63214</v>
      </c>
      <c r="D297" s="375">
        <f t="shared" si="98"/>
        <v>210.57091550000001</v>
      </c>
      <c r="E297" s="375">
        <f t="shared" si="98"/>
        <v>439.71368400000006</v>
      </c>
      <c r="F297" s="375">
        <f t="shared" si="98"/>
        <v>417.47405700000007</v>
      </c>
      <c r="G297" s="375">
        <f t="shared" si="98"/>
        <v>149.93907999999993</v>
      </c>
      <c r="H297" s="375">
        <f t="shared" si="98"/>
        <v>179.06516749999994</v>
      </c>
      <c r="I297" s="375">
        <f t="shared" si="98"/>
        <v>3089.909052</v>
      </c>
      <c r="J297" s="375">
        <f t="shared" si="98"/>
        <v>202.78624000000042</v>
      </c>
      <c r="K297" s="375">
        <f t="shared" si="98"/>
        <v>527.64612300000033</v>
      </c>
      <c r="L297" s="375">
        <f t="shared" si="98"/>
        <v>1484.7396229999999</v>
      </c>
      <c r="M297" s="375">
        <f t="shared" si="98"/>
        <v>629.76862949999929</v>
      </c>
      <c r="N297" s="375">
        <f t="shared" si="98"/>
        <v>826.7357810000002</v>
      </c>
      <c r="O297" s="375">
        <f t="shared" si="98"/>
        <v>2003.1517249999999</v>
      </c>
      <c r="P297" s="375">
        <f t="shared" si="98"/>
        <v>1170.432452</v>
      </c>
      <c r="Q297" s="375">
        <f t="shared" si="98"/>
        <v>1283.3056920000008</v>
      </c>
      <c r="R297" s="375">
        <f t="shared" si="98"/>
        <v>665.5938079999986</v>
      </c>
      <c r="S297" s="375">
        <f t="shared" si="98"/>
        <v>356.52405150000089</v>
      </c>
      <c r="T297" s="375">
        <f t="shared" si="98"/>
        <v>484.99086999999952</v>
      </c>
      <c r="U297" s="375">
        <f t="shared" si="98"/>
        <v>61.297170000000008</v>
      </c>
      <c r="V297" s="375">
        <f t="shared" si="98"/>
        <v>1.0505474999999778</v>
      </c>
      <c r="W297" s="375">
        <f t="shared" si="98"/>
        <v>0</v>
      </c>
      <c r="X297" s="375">
        <f t="shared" si="98"/>
        <v>0</v>
      </c>
      <c r="Y297" s="369"/>
    </row>
    <row r="298" spans="1:25" ht="13.5" thickBot="1" x14ac:dyDescent="0.25">
      <c r="A298" s="12"/>
      <c r="L298" s="12"/>
      <c r="M298" s="12"/>
      <c r="N298" s="12"/>
      <c r="O298" s="12"/>
      <c r="P298" s="12"/>
      <c r="Q298" s="12"/>
      <c r="R298" s="12"/>
      <c r="S298" s="12"/>
      <c r="T298" s="12"/>
      <c r="U298" s="12"/>
      <c r="V298" s="12"/>
      <c r="W298" s="12"/>
      <c r="X298" s="12"/>
      <c r="Y298" s="12"/>
    </row>
    <row r="299" spans="1:25" ht="13.5" thickBot="1" x14ac:dyDescent="0.25">
      <c r="A299" s="361" t="s">
        <v>318</v>
      </c>
      <c r="B299" s="359">
        <f>ROW(A299)</f>
        <v>299</v>
      </c>
      <c r="C299" s="363" t="s">
        <v>115</v>
      </c>
      <c r="D299" s="353">
        <f>SUM(B302:Y302)</f>
        <v>7412.4371409999985</v>
      </c>
      <c r="E299" s="363" t="s">
        <v>114</v>
      </c>
      <c r="F299" s="354">
        <f>D299/g/J299</f>
        <v>223.28608637999045</v>
      </c>
      <c r="G299" s="363" t="s">
        <v>56</v>
      </c>
      <c r="H299" s="64">
        <v>6.25</v>
      </c>
      <c r="I299" s="363" t="s">
        <v>271</v>
      </c>
      <c r="J299" s="355">
        <f>H299-L299</f>
        <v>3.3839999999999999</v>
      </c>
      <c r="K299" s="363" t="s">
        <v>272</v>
      </c>
      <c r="L299" s="64">
        <v>2.8660000000000001</v>
      </c>
      <c r="M299" s="363" t="s">
        <v>57</v>
      </c>
      <c r="N299" s="65">
        <v>290</v>
      </c>
      <c r="O299" s="363" t="s">
        <v>59</v>
      </c>
      <c r="P299" s="65">
        <v>290</v>
      </c>
      <c r="Q299" s="363" t="s">
        <v>60</v>
      </c>
      <c r="R299" s="65">
        <v>579</v>
      </c>
      <c r="S299" s="363" t="s">
        <v>61</v>
      </c>
      <c r="T299" s="65">
        <v>98</v>
      </c>
      <c r="U299" s="363" t="s">
        <v>54</v>
      </c>
      <c r="V299" s="66" t="s">
        <v>118</v>
      </c>
      <c r="W299" s="12"/>
      <c r="X299" s="12"/>
      <c r="Y299" s="12"/>
    </row>
    <row r="300" spans="1:25" x14ac:dyDescent="0.2">
      <c r="A300" s="362" t="s">
        <v>33</v>
      </c>
      <c r="B300" s="370">
        <v>0</v>
      </c>
      <c r="C300" s="371">
        <v>1.7000000000000001E-2</v>
      </c>
      <c r="D300" s="371">
        <v>5.1999999999999998E-2</v>
      </c>
      <c r="E300" s="371">
        <v>8.7999999999999995E-2</v>
      </c>
      <c r="F300" s="371">
        <v>0.108</v>
      </c>
      <c r="G300" s="371">
        <v>0.127</v>
      </c>
      <c r="H300" s="371">
        <v>0.17399999999999999</v>
      </c>
      <c r="I300" s="371">
        <v>0.25700000000000001</v>
      </c>
      <c r="J300" s="371">
        <v>0.40300000000000002</v>
      </c>
      <c r="K300" s="371">
        <v>0.76200000000000001</v>
      </c>
      <c r="L300" s="371">
        <v>0.97699999999999998</v>
      </c>
      <c r="M300" s="371">
        <v>1.341</v>
      </c>
      <c r="N300" s="371">
        <v>1.5009999999999999</v>
      </c>
      <c r="O300" s="371">
        <v>1.661</v>
      </c>
      <c r="P300" s="371">
        <v>1.96</v>
      </c>
      <c r="Q300" s="371">
        <v>2.4039999999999999</v>
      </c>
      <c r="R300" s="371">
        <v>2.641</v>
      </c>
      <c r="S300" s="371">
        <v>2.7160000000000002</v>
      </c>
      <c r="T300" s="371">
        <v>2.8210000000000002</v>
      </c>
      <c r="U300" s="371">
        <v>2.8919999999999999</v>
      </c>
      <c r="V300" s="371">
        <v>2.92</v>
      </c>
      <c r="W300" s="371">
        <v>2.97</v>
      </c>
      <c r="X300" s="371">
        <v>3</v>
      </c>
      <c r="Y300" s="381">
        <v>1000</v>
      </c>
    </row>
    <row r="301" spans="1:25" x14ac:dyDescent="0.2">
      <c r="A301" s="378" t="s">
        <v>34</v>
      </c>
      <c r="B301" s="372">
        <v>0</v>
      </c>
      <c r="C301" s="373">
        <v>329.84699999999998</v>
      </c>
      <c r="D301" s="373">
        <v>1003.68</v>
      </c>
      <c r="E301" s="373">
        <v>2346.62</v>
      </c>
      <c r="F301" s="373">
        <v>2549.2399999999998</v>
      </c>
      <c r="G301" s="373">
        <v>2605.79</v>
      </c>
      <c r="H301" s="373">
        <v>2520.9699999999998</v>
      </c>
      <c r="I301" s="373">
        <v>2516.2600000000002</v>
      </c>
      <c r="J301" s="373">
        <v>2596.37</v>
      </c>
      <c r="K301" s="373">
        <v>2808.41</v>
      </c>
      <c r="L301" s="373">
        <v>2954.49</v>
      </c>
      <c r="M301" s="373">
        <v>2959.2</v>
      </c>
      <c r="N301" s="373">
        <v>2907.36</v>
      </c>
      <c r="O301" s="373">
        <v>2869.67</v>
      </c>
      <c r="P301" s="373">
        <v>2695.32</v>
      </c>
      <c r="Q301" s="373">
        <v>2351.34</v>
      </c>
      <c r="R301" s="373">
        <v>2228.8200000000002</v>
      </c>
      <c r="S301" s="373">
        <v>2007.35</v>
      </c>
      <c r="T301" s="373">
        <v>1427.77</v>
      </c>
      <c r="U301" s="373">
        <v>504.19400000000002</v>
      </c>
      <c r="V301" s="373">
        <v>334.55900000000003</v>
      </c>
      <c r="W301" s="373">
        <v>122.515</v>
      </c>
      <c r="X301" s="373">
        <v>0</v>
      </c>
      <c r="Y301" s="382">
        <v>0</v>
      </c>
    </row>
    <row r="302" spans="1:25" ht="13.5" thickBot="1" x14ac:dyDescent="0.25">
      <c r="A302" s="379" t="s">
        <v>116</v>
      </c>
      <c r="B302" s="374">
        <f t="shared" ref="B302:X302" si="99">(C301+B301)*(C300-B300)/2</f>
        <v>2.8036995</v>
      </c>
      <c r="C302" s="375">
        <f t="shared" si="99"/>
        <v>23.336722499999997</v>
      </c>
      <c r="D302" s="375">
        <f t="shared" si="99"/>
        <v>60.305399999999992</v>
      </c>
      <c r="E302" s="375">
        <f t="shared" si="99"/>
        <v>48.958600000000004</v>
      </c>
      <c r="F302" s="375">
        <f t="shared" si="99"/>
        <v>48.972785000000002</v>
      </c>
      <c r="G302" s="375">
        <f t="shared" si="99"/>
        <v>120.47885999999997</v>
      </c>
      <c r="H302" s="375">
        <f t="shared" si="99"/>
        <v>209.04504500000002</v>
      </c>
      <c r="I302" s="375">
        <f t="shared" si="99"/>
        <v>373.22199000000006</v>
      </c>
      <c r="J302" s="375">
        <f t="shared" si="99"/>
        <v>970.15800999999988</v>
      </c>
      <c r="K302" s="375">
        <f t="shared" si="99"/>
        <v>619.51174999999989</v>
      </c>
      <c r="L302" s="375">
        <f t="shared" si="99"/>
        <v>1076.2915799999998</v>
      </c>
      <c r="M302" s="375">
        <f t="shared" si="99"/>
        <v>469.3247999999997</v>
      </c>
      <c r="N302" s="375">
        <f t="shared" si="99"/>
        <v>462.16240000000045</v>
      </c>
      <c r="O302" s="375">
        <f t="shared" si="99"/>
        <v>831.96600499999977</v>
      </c>
      <c r="P302" s="375">
        <f t="shared" si="99"/>
        <v>1120.3585199999998</v>
      </c>
      <c r="Q302" s="375">
        <f t="shared" si="99"/>
        <v>542.74896000000024</v>
      </c>
      <c r="R302" s="375">
        <f t="shared" si="99"/>
        <v>158.85637500000038</v>
      </c>
      <c r="S302" s="375">
        <f t="shared" si="99"/>
        <v>180.34379999999996</v>
      </c>
      <c r="T302" s="375">
        <f t="shared" si="99"/>
        <v>68.584721999999744</v>
      </c>
      <c r="U302" s="375">
        <f t="shared" si="99"/>
        <v>11.742542000000011</v>
      </c>
      <c r="V302" s="375">
        <f t="shared" si="99"/>
        <v>11.42685000000006</v>
      </c>
      <c r="W302" s="375">
        <f t="shared" si="99"/>
        <v>1.8377249999999881</v>
      </c>
      <c r="X302" s="375">
        <f t="shared" si="99"/>
        <v>0</v>
      </c>
      <c r="Y302" s="369"/>
    </row>
    <row r="303" spans="1:25" ht="13.5" thickBot="1" x14ac:dyDescent="0.25">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row>
    <row r="304" spans="1:25" ht="13.5" thickBot="1" x14ac:dyDescent="0.25">
      <c r="A304" s="361" t="s">
        <v>550</v>
      </c>
      <c r="B304" s="359">
        <f>ROW(A304)</f>
        <v>304</v>
      </c>
      <c r="C304" s="363" t="s">
        <v>115</v>
      </c>
      <c r="D304" s="353">
        <f>SUM(B307:Y307)</f>
        <v>17734.977350500001</v>
      </c>
      <c r="E304" s="363" t="s">
        <v>114</v>
      </c>
      <c r="F304" s="354">
        <f>D304/g/J304</f>
        <v>192.73420306179892</v>
      </c>
      <c r="G304" s="363" t="s">
        <v>56</v>
      </c>
      <c r="H304" s="64">
        <v>14.747999999999999</v>
      </c>
      <c r="I304" s="363" t="s">
        <v>271</v>
      </c>
      <c r="J304" s="355">
        <f>H304-L304</f>
        <v>9.379999999999999</v>
      </c>
      <c r="K304" s="363" t="s">
        <v>272</v>
      </c>
      <c r="L304" s="64">
        <v>5.3680000000000003</v>
      </c>
      <c r="M304" s="363" t="s">
        <v>57</v>
      </c>
      <c r="N304" s="65">
        <v>500</v>
      </c>
      <c r="O304" s="363" t="s">
        <v>59</v>
      </c>
      <c r="P304" s="65">
        <v>500</v>
      </c>
      <c r="Q304" s="363" t="s">
        <v>60</v>
      </c>
      <c r="R304" s="65">
        <v>1046</v>
      </c>
      <c r="S304" s="363" t="s">
        <v>61</v>
      </c>
      <c r="T304" s="65">
        <v>98</v>
      </c>
      <c r="U304" s="363" t="s">
        <v>54</v>
      </c>
      <c r="V304" s="66" t="s">
        <v>118</v>
      </c>
      <c r="W304" s="12"/>
      <c r="X304" s="12"/>
      <c r="Y304" s="12"/>
    </row>
    <row r="305" spans="1:25" x14ac:dyDescent="0.2">
      <c r="A305" s="362" t="s">
        <v>33</v>
      </c>
      <c r="B305" s="370">
        <v>0</v>
      </c>
      <c r="C305" s="371">
        <v>3.0000000000000001E-3</v>
      </c>
      <c r="D305" s="371">
        <v>0.05</v>
      </c>
      <c r="E305" s="371">
        <v>7.8E-2</v>
      </c>
      <c r="F305" s="371">
        <v>0.121</v>
      </c>
      <c r="G305" s="371">
        <v>0.65200000000000002</v>
      </c>
      <c r="H305" s="371">
        <v>1.123</v>
      </c>
      <c r="I305" s="371">
        <v>1.655</v>
      </c>
      <c r="J305" s="371">
        <v>2.3530000000000002</v>
      </c>
      <c r="K305" s="371">
        <v>3.0350000000000001</v>
      </c>
      <c r="L305" s="371">
        <v>3.7</v>
      </c>
      <c r="M305" s="371">
        <v>3.7330000000000001</v>
      </c>
      <c r="N305" s="371">
        <v>3.887</v>
      </c>
      <c r="O305" s="371">
        <v>4.0359999999999996</v>
      </c>
      <c r="P305" s="371">
        <v>4.1970000000000001</v>
      </c>
      <c r="Q305" s="371">
        <v>4.2619999999999996</v>
      </c>
      <c r="R305" s="371">
        <v>4.3</v>
      </c>
      <c r="S305" s="371">
        <v>5</v>
      </c>
      <c r="T305" s="371">
        <v>5</v>
      </c>
      <c r="U305" s="371">
        <v>5</v>
      </c>
      <c r="V305" s="371">
        <v>5</v>
      </c>
      <c r="W305" s="371">
        <v>5</v>
      </c>
      <c r="X305" s="371">
        <v>5</v>
      </c>
      <c r="Y305" s="381">
        <v>1000</v>
      </c>
    </row>
    <row r="306" spans="1:25" x14ac:dyDescent="0.2">
      <c r="A306" s="378" t="s">
        <v>34</v>
      </c>
      <c r="B306" s="372">
        <v>0</v>
      </c>
      <c r="C306" s="373">
        <v>203.87700000000001</v>
      </c>
      <c r="D306" s="373">
        <v>2362.8789999999999</v>
      </c>
      <c r="E306" s="373">
        <v>3946.8449999999998</v>
      </c>
      <c r="F306" s="373">
        <v>4281.4120000000003</v>
      </c>
      <c r="G306" s="373">
        <v>4370.2809999999999</v>
      </c>
      <c r="H306" s="373">
        <v>4453.9229999999998</v>
      </c>
      <c r="I306" s="373">
        <v>4772.8069999999998</v>
      </c>
      <c r="J306" s="373">
        <v>4621.2060000000001</v>
      </c>
      <c r="K306" s="373">
        <v>4511.4269999999997</v>
      </c>
      <c r="L306" s="373">
        <v>4375.509</v>
      </c>
      <c r="M306" s="373">
        <v>4182.0870000000004</v>
      </c>
      <c r="N306" s="373">
        <v>2969.2820000000002</v>
      </c>
      <c r="O306" s="373">
        <v>1589.193</v>
      </c>
      <c r="P306" s="373">
        <v>533.21600000000001</v>
      </c>
      <c r="Q306" s="373">
        <v>240.47</v>
      </c>
      <c r="R306" s="373">
        <v>0</v>
      </c>
      <c r="S306" s="373">
        <v>0</v>
      </c>
      <c r="T306" s="373">
        <v>0</v>
      </c>
      <c r="U306" s="373">
        <v>0</v>
      </c>
      <c r="V306" s="373">
        <v>0</v>
      </c>
      <c r="W306" s="373">
        <v>0</v>
      </c>
      <c r="X306" s="373">
        <v>0</v>
      </c>
      <c r="Y306" s="382">
        <v>0</v>
      </c>
    </row>
    <row r="307" spans="1:25" ht="13.5" thickBot="1" x14ac:dyDescent="0.25">
      <c r="A307" s="379" t="s">
        <v>116</v>
      </c>
      <c r="B307" s="374">
        <f t="shared" ref="B307" si="100">(C306+B306)*(C305-B305)/2</f>
        <v>0.30581550000000002</v>
      </c>
      <c r="C307" s="375">
        <f t="shared" ref="C307" si="101">(D306+C306)*(D305-C305)/2</f>
        <v>60.318765999999997</v>
      </c>
      <c r="D307" s="375">
        <f t="shared" ref="D307" si="102">(E306+D306)*(E305-D305)/2</f>
        <v>88.336135999999996</v>
      </c>
      <c r="E307" s="375">
        <f t="shared" ref="E307" si="103">(F306+E306)*(F305-E305)/2</f>
        <v>176.90752549999999</v>
      </c>
      <c r="F307" s="375">
        <f t="shared" ref="F307" si="104">(G306+F306)*(G305-F305)/2</f>
        <v>2297.0244914999998</v>
      </c>
      <c r="G307" s="375">
        <f t="shared" ref="G307" si="105">(H306+G306)*(H305-G305)/2</f>
        <v>2078.100042</v>
      </c>
      <c r="H307" s="375">
        <f t="shared" ref="H307" si="106">(I306+H306)*(I305-H305)/2</f>
        <v>2454.3101799999999</v>
      </c>
      <c r="I307" s="375">
        <f t="shared" ref="I307" si="107">(J306+I306)*(J305-I305)/2</f>
        <v>3278.5105370000006</v>
      </c>
      <c r="J307" s="375">
        <f t="shared" ref="J307" si="108">(K306+J306)*(K305-J305)/2</f>
        <v>3114.2278529999999</v>
      </c>
      <c r="K307" s="375">
        <f t="shared" ref="K307" si="109">(L306+K306)*(L305-K305)/2</f>
        <v>2954.9062199999998</v>
      </c>
      <c r="L307" s="375">
        <f t="shared" ref="L307" si="110">(M306+L306)*(M305-L305)/2</f>
        <v>141.20033399999969</v>
      </c>
      <c r="M307" s="375">
        <f t="shared" ref="M307" si="111">(N306+M306)*(N305-M305)/2</f>
        <v>550.65541299999973</v>
      </c>
      <c r="N307" s="375">
        <f t="shared" ref="N307" si="112">(O306+N306)*(O305-N305)/2</f>
        <v>339.60638749999907</v>
      </c>
      <c r="O307" s="375">
        <f t="shared" ref="O307" si="113">(P306+O306)*(P305-O305)/2</f>
        <v>170.85392450000052</v>
      </c>
      <c r="P307" s="375">
        <f t="shared" ref="P307" si="114">(Q306+P306)*(Q305-P305)/2</f>
        <v>25.14479499999981</v>
      </c>
      <c r="Q307" s="375">
        <f t="shared" ref="Q307" si="115">(R306+Q306)*(R305-Q305)/2</f>
        <v>4.568930000000031</v>
      </c>
      <c r="R307" s="375">
        <f t="shared" ref="R307" si="116">(S306+R306)*(S305-R305)/2</f>
        <v>0</v>
      </c>
      <c r="S307" s="375">
        <f t="shared" ref="S307" si="117">(T306+S306)*(T305-S305)/2</f>
        <v>0</v>
      </c>
      <c r="T307" s="375">
        <f t="shared" ref="T307" si="118">(U306+T306)*(U305-T305)/2</f>
        <v>0</v>
      </c>
      <c r="U307" s="375">
        <f t="shared" ref="U307" si="119">(V306+U306)*(V305-U305)/2</f>
        <v>0</v>
      </c>
      <c r="V307" s="375">
        <f t="shared" ref="V307" si="120">(W306+V306)*(W305-V305)/2</f>
        <v>0</v>
      </c>
      <c r="W307" s="375">
        <f t="shared" ref="W307" si="121">(X306+W306)*(X305-W305)/2</f>
        <v>0</v>
      </c>
      <c r="X307" s="375">
        <f t="shared" ref="X307" si="122">(Y306+X306)*(Y305-X305)/2</f>
        <v>0</v>
      </c>
      <c r="Y307" s="369"/>
    </row>
    <row r="308" spans="1:25" ht="13.5" thickBot="1" x14ac:dyDescent="0.25">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row>
    <row r="309" spans="1:25" ht="13.5" thickBot="1" x14ac:dyDescent="0.25">
      <c r="A309" s="361" t="s">
        <v>44</v>
      </c>
      <c r="B309" s="359">
        <f>ROW(A309)</f>
        <v>309</v>
      </c>
      <c r="C309" s="363" t="s">
        <v>115</v>
      </c>
      <c r="D309" s="353">
        <f>SUM(B312:Y312)</f>
        <v>1E-3</v>
      </c>
      <c r="E309" s="363" t="s">
        <v>114</v>
      </c>
      <c r="F309" s="354">
        <f>D309/g/J309</f>
        <v>1.019367991845056</v>
      </c>
      <c r="G309" s="363" t="s">
        <v>56</v>
      </c>
      <c r="H309" s="64">
        <v>1E-4</v>
      </c>
      <c r="I309" s="363" t="s">
        <v>271</v>
      </c>
      <c r="J309" s="355">
        <f>H309-L309</f>
        <v>1E-4</v>
      </c>
      <c r="K309" s="363" t="s">
        <v>272</v>
      </c>
      <c r="L309" s="64">
        <v>0</v>
      </c>
      <c r="M309" s="363" t="s">
        <v>57</v>
      </c>
      <c r="N309" s="65">
        <v>0</v>
      </c>
      <c r="O309" s="363" t="s">
        <v>59</v>
      </c>
      <c r="P309" s="65">
        <v>0</v>
      </c>
      <c r="Q309" s="363" t="s">
        <v>60</v>
      </c>
      <c r="R309" s="65">
        <v>0</v>
      </c>
      <c r="S309" s="363" t="s">
        <v>61</v>
      </c>
      <c r="T309" s="65">
        <v>0</v>
      </c>
      <c r="U309" s="363" t="s">
        <v>54</v>
      </c>
      <c r="V309" s="66" t="s">
        <v>118</v>
      </c>
      <c r="W309" s="12"/>
      <c r="X309" s="12"/>
      <c r="Y309" s="12"/>
    </row>
    <row r="310" spans="1:25" x14ac:dyDescent="0.2">
      <c r="A310" s="362" t="s">
        <v>33</v>
      </c>
      <c r="B310" s="370">
        <v>0</v>
      </c>
      <c r="C310" s="371">
        <v>0.1</v>
      </c>
      <c r="D310" s="371">
        <v>0.2</v>
      </c>
      <c r="E310" s="371">
        <v>1</v>
      </c>
      <c r="F310" s="371">
        <v>1</v>
      </c>
      <c r="G310" s="371">
        <v>1</v>
      </c>
      <c r="H310" s="371">
        <v>1</v>
      </c>
      <c r="I310" s="371">
        <v>1</v>
      </c>
      <c r="J310" s="371">
        <v>1</v>
      </c>
      <c r="K310" s="371">
        <v>1</v>
      </c>
      <c r="L310" s="371">
        <v>1</v>
      </c>
      <c r="M310" s="371">
        <v>1</v>
      </c>
      <c r="N310" s="371">
        <v>1</v>
      </c>
      <c r="O310" s="371">
        <v>1</v>
      </c>
      <c r="P310" s="371">
        <v>1</v>
      </c>
      <c r="Q310" s="371">
        <v>1</v>
      </c>
      <c r="R310" s="371">
        <v>1</v>
      </c>
      <c r="S310" s="371">
        <v>1</v>
      </c>
      <c r="T310" s="371">
        <v>1</v>
      </c>
      <c r="U310" s="371">
        <v>1</v>
      </c>
      <c r="V310" s="371">
        <v>1</v>
      </c>
      <c r="W310" s="371">
        <v>1</v>
      </c>
      <c r="X310" s="371">
        <v>1</v>
      </c>
      <c r="Y310" s="381">
        <v>1000</v>
      </c>
    </row>
    <row r="311" spans="1:25" x14ac:dyDescent="0.2">
      <c r="A311" s="378" t="s">
        <v>34</v>
      </c>
      <c r="B311" s="372">
        <v>0</v>
      </c>
      <c r="C311" s="373">
        <v>0.01</v>
      </c>
      <c r="D311" s="373">
        <v>0</v>
      </c>
      <c r="E311" s="373">
        <v>0</v>
      </c>
      <c r="F311" s="373">
        <v>0</v>
      </c>
      <c r="G311" s="373">
        <v>0</v>
      </c>
      <c r="H311" s="373">
        <v>0</v>
      </c>
      <c r="I311" s="373">
        <v>0</v>
      </c>
      <c r="J311" s="373">
        <v>0</v>
      </c>
      <c r="K311" s="373">
        <v>0</v>
      </c>
      <c r="L311" s="373">
        <v>0</v>
      </c>
      <c r="M311" s="373">
        <v>0</v>
      </c>
      <c r="N311" s="373">
        <v>0</v>
      </c>
      <c r="O311" s="373">
        <v>0</v>
      </c>
      <c r="P311" s="373">
        <v>0</v>
      </c>
      <c r="Q311" s="373">
        <v>0</v>
      </c>
      <c r="R311" s="373">
        <v>0</v>
      </c>
      <c r="S311" s="373">
        <v>0</v>
      </c>
      <c r="T311" s="373">
        <v>0</v>
      </c>
      <c r="U311" s="373">
        <v>0</v>
      </c>
      <c r="V311" s="373">
        <v>0</v>
      </c>
      <c r="W311" s="373">
        <v>0</v>
      </c>
      <c r="X311" s="373">
        <v>0</v>
      </c>
      <c r="Y311" s="382">
        <v>0</v>
      </c>
    </row>
    <row r="312" spans="1:25" ht="13.5" thickBot="1" x14ac:dyDescent="0.25">
      <c r="A312" s="379" t="s">
        <v>116</v>
      </c>
      <c r="B312" s="374">
        <f t="shared" ref="B312:G312" si="123">(C311+B311)*(C310-B310)/2</f>
        <v>5.0000000000000001E-4</v>
      </c>
      <c r="C312" s="375">
        <f t="shared" si="123"/>
        <v>5.0000000000000001E-4</v>
      </c>
      <c r="D312" s="375">
        <f t="shared" si="123"/>
        <v>0</v>
      </c>
      <c r="E312" s="375">
        <f t="shared" si="123"/>
        <v>0</v>
      </c>
      <c r="F312" s="375">
        <f t="shared" si="123"/>
        <v>0</v>
      </c>
      <c r="G312" s="375">
        <f t="shared" si="123"/>
        <v>0</v>
      </c>
      <c r="H312" s="375">
        <f t="shared" ref="H312:V312" si="124">(I311+H311)*(I310-H310)/2</f>
        <v>0</v>
      </c>
      <c r="I312" s="375">
        <f t="shared" si="124"/>
        <v>0</v>
      </c>
      <c r="J312" s="375">
        <f>(K311+J311)*(K310-J310)/2</f>
        <v>0</v>
      </c>
      <c r="K312" s="375">
        <f t="shared" si="124"/>
        <v>0</v>
      </c>
      <c r="L312" s="375">
        <f t="shared" si="124"/>
        <v>0</v>
      </c>
      <c r="M312" s="375">
        <f t="shared" si="124"/>
        <v>0</v>
      </c>
      <c r="N312" s="375">
        <f t="shared" si="124"/>
        <v>0</v>
      </c>
      <c r="O312" s="375">
        <f t="shared" si="124"/>
        <v>0</v>
      </c>
      <c r="P312" s="375">
        <f t="shared" si="124"/>
        <v>0</v>
      </c>
      <c r="Q312" s="375">
        <f t="shared" si="124"/>
        <v>0</v>
      </c>
      <c r="R312" s="375">
        <f t="shared" si="124"/>
        <v>0</v>
      </c>
      <c r="S312" s="375">
        <f>(T311+S311)*(T310-S310)/2</f>
        <v>0</v>
      </c>
      <c r="T312" s="375">
        <f t="shared" si="124"/>
        <v>0</v>
      </c>
      <c r="U312" s="375">
        <f t="shared" si="124"/>
        <v>0</v>
      </c>
      <c r="V312" s="375">
        <f t="shared" si="124"/>
        <v>0</v>
      </c>
      <c r="W312" s="375">
        <f>(X311+W311)*(X310-W310)/2</f>
        <v>0</v>
      </c>
      <c r="X312" s="375">
        <f>(Y311+X311)*(Y310-X310)/2</f>
        <v>0</v>
      </c>
      <c r="Y312" s="369"/>
    </row>
    <row r="314" spans="1:25" x14ac:dyDescent="0.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row>
    <row r="316" spans="1:25" x14ac:dyDescent="0.2">
      <c r="A316" s="397" t="str">
        <f>IF(Lang="Français","Liste des propu affichés :","Motor list (shown):")</f>
        <v>Liste des propu affichés :</v>
      </c>
      <c r="C316" s="640" t="s">
        <v>276</v>
      </c>
      <c r="D316" s="641"/>
      <c r="F316" s="640" t="s">
        <v>181</v>
      </c>
      <c r="G316" s="641"/>
      <c r="H316" s="12"/>
      <c r="I316" s="640" t="s">
        <v>397</v>
      </c>
      <c r="J316" s="641"/>
      <c r="K316" s="12"/>
      <c r="L316" s="640" t="s">
        <v>182</v>
      </c>
      <c r="M316" s="641"/>
      <c r="O316" s="640" t="s">
        <v>396</v>
      </c>
      <c r="P316" s="641"/>
      <c r="R316" s="640" t="s">
        <v>118</v>
      </c>
      <c r="S316" s="641"/>
    </row>
    <row r="317" spans="1:25" x14ac:dyDescent="0.2">
      <c r="A317" s="398" t="str">
        <f t="array" ref="A317:A346">IF(RIGHT(Type_fusee,1)=".",Liste_fusex, IF(LEFT(Type_fusee,4)="Mini",Liste_minif, IF(LEFT(Type_fusee,5)="Micro",Liste_µfu, IF(RIGHT(Type_fusee,1)=" ",Liste_H2O, IF(LEFT(Type_fusee,1)="R",Liste_RC, IF(LEFT(Type_fusee,1)=",",Liste_minifT))))))</f>
        <v>Pro54-5G WT</v>
      </c>
      <c r="C317" s="642" t="str">
        <f>A26</f>
        <v>H2O 1.5L 300g 6bar</v>
      </c>
      <c r="D317" s="643"/>
      <c r="F317" s="642" t="str">
        <f>A67</f>
        <v>µ-propu A8-3</v>
      </c>
      <c r="G317" s="643"/>
      <c r="H317" s="472"/>
      <c r="I317" s="644" t="str">
        <f>A148</f>
        <v>p29-1G 56F31</v>
      </c>
      <c r="J317" s="645"/>
      <c r="K317" s="472"/>
      <c r="L317" s="644" t="str">
        <f>A158</f>
        <v>p29-1G 57F59</v>
      </c>
      <c r="M317" s="645"/>
      <c r="O317" s="642" t="str">
        <f>A108</f>
        <v>p24-1G 24E22</v>
      </c>
      <c r="P317" s="643"/>
      <c r="R317" s="642" t="str">
        <f>A284</f>
        <v>Pro54-5G WT</v>
      </c>
      <c r="S317" s="643"/>
    </row>
    <row r="318" spans="1:25" x14ac:dyDescent="0.2">
      <c r="A318" s="398" t="str">
        <v>Barasinga (Pro54-5G C)</v>
      </c>
      <c r="C318" s="642" t="str">
        <f>A31</f>
        <v>H2O 1.5L 450g 6bar</v>
      </c>
      <c r="D318" s="643"/>
      <c r="F318" s="642" t="str">
        <f>A72</f>
        <v>µ-propu B4-4</v>
      </c>
      <c r="G318" s="643"/>
      <c r="H318" s="472"/>
      <c r="I318" s="644" t="str">
        <f>A153</f>
        <v>p29-1G 56F120</v>
      </c>
      <c r="J318" s="645"/>
      <c r="K318" s="472"/>
      <c r="L318" s="644" t="str">
        <f>A183</f>
        <v>p24-3G 74F85</v>
      </c>
      <c r="M318" s="645"/>
      <c r="O318" s="642" t="str">
        <f>A113</f>
        <v>p24-1G 25E75 (Rufina)</v>
      </c>
      <c r="P318" s="643"/>
      <c r="R318" s="642" t="str">
        <f>A279</f>
        <v>Barasinga (Pro54-5G C)</v>
      </c>
      <c r="S318" s="643"/>
    </row>
    <row r="319" spans="1:25" x14ac:dyDescent="0.2">
      <c r="A319" s="398" t="str">
        <v>Orignal (Pro75-3G C)</v>
      </c>
      <c r="C319" s="642" t="str">
        <f>A36</f>
        <v>H2O 1.5L 600g 6bar</v>
      </c>
      <c r="D319" s="643"/>
      <c r="F319" s="642" t="str">
        <f>A77</f>
        <v>µ-propu C6-3</v>
      </c>
      <c r="G319" s="643"/>
      <c r="H319" s="472"/>
      <c r="I319" s="644" t="str">
        <f>A158</f>
        <v>p29-1G 57F59</v>
      </c>
      <c r="J319" s="645"/>
      <c r="K319" s="472"/>
      <c r="L319" s="644" t="str">
        <f>A188</f>
        <v>p24-3G 75F51</v>
      </c>
      <c r="M319" s="645"/>
      <c r="O319" s="642" t="str">
        <f>A118</f>
        <v>p24-1G 26E31</v>
      </c>
      <c r="P319" s="643"/>
      <c r="R319" s="642" t="str">
        <f>A289</f>
        <v>Orignal (Pro75-3G C)</v>
      </c>
      <c r="S319" s="643"/>
    </row>
    <row r="320" spans="1:25" x14ac:dyDescent="0.2">
      <c r="A320" s="398" t="str">
        <v>Pro98-6G Green</v>
      </c>
      <c r="C320" s="642" t="str">
        <f>A41</f>
        <v>H2O 1.5L 750g 6bar</v>
      </c>
      <c r="D320" s="643"/>
      <c r="F320" s="642" t="str">
        <f>A82</f>
        <v>µ-propu C6-3 x2</v>
      </c>
      <c r="G320" s="643"/>
      <c r="H320" s="472"/>
      <c r="I320" s="644" t="str">
        <f>A183</f>
        <v>p24-3G 74F85</v>
      </c>
      <c r="J320" s="645"/>
      <c r="K320" s="472"/>
      <c r="L320" s="644" t="str">
        <f>A228</f>
        <v>p29-2G 116G126</v>
      </c>
      <c r="M320" s="645"/>
      <c r="O320" s="642" t="str">
        <f>A123</f>
        <v>p24-2G 50E51</v>
      </c>
      <c r="P320" s="643"/>
      <c r="R320" s="642" t="str">
        <f>A294</f>
        <v>Pro98-6G Green</v>
      </c>
      <c r="S320" s="643"/>
    </row>
    <row r="321" spans="1:19" x14ac:dyDescent="0.2">
      <c r="A321" s="398" t="str">
        <v xml:space="preserve"> </v>
      </c>
      <c r="C321" s="642" t="str">
        <f>A46</f>
        <v>H2O 2.0L 400g 6bar</v>
      </c>
      <c r="D321" s="643"/>
      <c r="F321" s="642" t="str">
        <f>A87</f>
        <v>µ-propu C6-3 x3</v>
      </c>
      <c r="G321" s="643"/>
      <c r="H321" s="472"/>
      <c r="I321" s="644" t="str">
        <f>A188</f>
        <v>p24-3G 75F51</v>
      </c>
      <c r="J321" s="645"/>
      <c r="K321" s="472"/>
      <c r="L321" s="644" t="str">
        <f>A198</f>
        <v>Pandora (Pro24-6G BS)</v>
      </c>
      <c r="M321" s="645"/>
      <c r="O321" s="642" t="str">
        <f>A128</f>
        <v>p24-1G 53E70</v>
      </c>
      <c r="P321" s="643"/>
      <c r="R321" s="642" t="s">
        <v>183</v>
      </c>
      <c r="S321" s="643"/>
    </row>
    <row r="322" spans="1:19" x14ac:dyDescent="0.2">
      <c r="A322" s="398" t="str">
        <v xml:space="preserve"> </v>
      </c>
      <c r="C322" s="642" t="str">
        <f>A51</f>
        <v>H2O 2.0L 600g 6bar</v>
      </c>
      <c r="D322" s="643"/>
      <c r="F322" s="642" t="s">
        <v>183</v>
      </c>
      <c r="G322" s="643"/>
      <c r="H322" s="472"/>
      <c r="I322" s="644" t="s">
        <v>183</v>
      </c>
      <c r="J322" s="645"/>
      <c r="K322" s="472"/>
      <c r="L322" s="642" t="str">
        <f>A92</f>
        <v>Klima D9-7</v>
      </c>
      <c r="M322" s="643"/>
      <c r="O322" s="642" t="str">
        <f>A133</f>
        <v>p29-1G 41F36</v>
      </c>
      <c r="P322" s="643"/>
      <c r="R322" s="642" t="s">
        <v>183</v>
      </c>
      <c r="S322" s="643"/>
    </row>
    <row r="323" spans="1:19" x14ac:dyDescent="0.2">
      <c r="A323" s="398" t="str">
        <v xml:space="preserve"> </v>
      </c>
      <c r="C323" s="642" t="str">
        <f>A56</f>
        <v>H2O 2.0L 800g 6bar</v>
      </c>
      <c r="D323" s="643"/>
      <c r="F323" s="642" t="s">
        <v>183</v>
      </c>
      <c r="G323" s="643"/>
      <c r="H323" s="472"/>
      <c r="I323" s="644" t="s">
        <v>183</v>
      </c>
      <c r="J323" s="645"/>
      <c r="K323" s="472"/>
      <c r="L323" s="642" t="str">
        <f>A97</f>
        <v>Klima D9-7 x2</v>
      </c>
      <c r="M323" s="643"/>
      <c r="O323" s="642" t="str">
        <f>A138</f>
        <v>p29-1G 51F36</v>
      </c>
      <c r="P323" s="643"/>
      <c r="R323" s="642" t="s">
        <v>183</v>
      </c>
      <c r="S323" s="643"/>
    </row>
    <row r="324" spans="1:19" x14ac:dyDescent="0.2">
      <c r="A324" s="398" t="str">
        <v xml:space="preserve"> </v>
      </c>
      <c r="C324" s="642" t="str">
        <f>A61</f>
        <v>H2O 2.0L 1000g 6bar</v>
      </c>
      <c r="D324" s="643"/>
      <c r="F324" s="642" t="s">
        <v>183</v>
      </c>
      <c r="G324" s="643"/>
      <c r="H324" s="472"/>
      <c r="I324" s="644" t="s">
        <v>183</v>
      </c>
      <c r="J324" s="645"/>
      <c r="K324" s="472"/>
      <c r="L324" s="642" t="str">
        <f>A102</f>
        <v>Klima D9-7 x3</v>
      </c>
      <c r="M324" s="643"/>
      <c r="O324" s="642" t="str">
        <f>A143</f>
        <v>p29-1G 55F29</v>
      </c>
      <c r="P324" s="643"/>
      <c r="R324" s="642" t="s">
        <v>183</v>
      </c>
      <c r="S324" s="643"/>
    </row>
    <row r="325" spans="1:19" x14ac:dyDescent="0.2">
      <c r="A325" s="398" t="str">
        <v xml:space="preserve"> </v>
      </c>
      <c r="C325" s="642" t="s">
        <v>183</v>
      </c>
      <c r="D325" s="643"/>
      <c r="F325" s="642" t="s">
        <v>183</v>
      </c>
      <c r="G325" s="643"/>
      <c r="H325" s="472"/>
      <c r="I325" s="644" t="s">
        <v>183</v>
      </c>
      <c r="J325" s="645"/>
      <c r="K325" s="472"/>
      <c r="L325" s="642" t="s">
        <v>183</v>
      </c>
      <c r="M325" s="643"/>
      <c r="O325" s="642" t="str">
        <f>A153</f>
        <v>p29-1G 56F120</v>
      </c>
      <c r="P325" s="643"/>
      <c r="R325" s="642" t="s">
        <v>183</v>
      </c>
      <c r="S325" s="643"/>
    </row>
    <row r="326" spans="1:19" x14ac:dyDescent="0.2">
      <c r="A326" s="398" t="str">
        <v xml:space="preserve"> </v>
      </c>
      <c r="C326" s="642" t="s">
        <v>183</v>
      </c>
      <c r="D326" s="643"/>
      <c r="F326" s="642" t="s">
        <v>183</v>
      </c>
      <c r="G326" s="643"/>
      <c r="H326" s="472"/>
      <c r="I326" s="644" t="s">
        <v>183</v>
      </c>
      <c r="J326" s="645"/>
      <c r="K326" s="472"/>
      <c r="L326" s="642" t="s">
        <v>183</v>
      </c>
      <c r="M326" s="643"/>
      <c r="O326" s="642" t="str">
        <f>A158</f>
        <v>p29-1G 57F59</v>
      </c>
      <c r="P326" s="643"/>
      <c r="R326" s="642" t="s">
        <v>183</v>
      </c>
      <c r="S326" s="643"/>
    </row>
    <row r="327" spans="1:19" x14ac:dyDescent="0.2">
      <c r="A327" s="398" t="str">
        <v xml:space="preserve"> </v>
      </c>
      <c r="C327" s="642" t="s">
        <v>183</v>
      </c>
      <c r="D327" s="643"/>
      <c r="F327" s="642" t="s">
        <v>183</v>
      </c>
      <c r="G327" s="643"/>
      <c r="H327" s="472"/>
      <c r="I327" s="644" t="s">
        <v>183</v>
      </c>
      <c r="J327" s="645"/>
      <c r="K327" s="472"/>
      <c r="L327" s="642" t="s">
        <v>183</v>
      </c>
      <c r="M327" s="643"/>
      <c r="O327" s="642" t="str">
        <f>A163</f>
        <v>p24-3G 60F50</v>
      </c>
      <c r="P327" s="643"/>
      <c r="R327" s="642" t="s">
        <v>183</v>
      </c>
      <c r="S327" s="643"/>
    </row>
    <row r="328" spans="1:19" x14ac:dyDescent="0.2">
      <c r="A328" s="398" t="str">
        <v xml:space="preserve"> </v>
      </c>
      <c r="C328" s="642" t="s">
        <v>183</v>
      </c>
      <c r="D328" s="643"/>
      <c r="F328" s="642" t="s">
        <v>183</v>
      </c>
      <c r="G328" s="643"/>
      <c r="H328" s="472"/>
      <c r="I328" s="644" t="s">
        <v>183</v>
      </c>
      <c r="J328" s="645"/>
      <c r="K328" s="472"/>
      <c r="L328" s="642" t="s">
        <v>183</v>
      </c>
      <c r="M328" s="643"/>
      <c r="O328" s="642" t="str">
        <f>A168</f>
        <v>p24-3G 68F79</v>
      </c>
      <c r="P328" s="643"/>
      <c r="R328" s="642" t="s">
        <v>183</v>
      </c>
      <c r="S328" s="643"/>
    </row>
    <row r="329" spans="1:19" x14ac:dyDescent="0.2">
      <c r="A329" s="398" t="str">
        <v xml:space="preserve"> </v>
      </c>
      <c r="C329" s="642" t="s">
        <v>183</v>
      </c>
      <c r="D329" s="643"/>
      <c r="F329" s="642" t="s">
        <v>183</v>
      </c>
      <c r="G329" s="643"/>
      <c r="H329" s="472"/>
      <c r="I329" s="644" t="s">
        <v>183</v>
      </c>
      <c r="J329" s="645"/>
      <c r="K329" s="472"/>
      <c r="L329" s="642" t="s">
        <v>183</v>
      </c>
      <c r="M329" s="643"/>
      <c r="O329" s="642" t="str">
        <f>A173</f>
        <v>p24-3G 68F240</v>
      </c>
      <c r="P329" s="643"/>
      <c r="R329" s="642" t="s">
        <v>183</v>
      </c>
      <c r="S329" s="643"/>
    </row>
    <row r="330" spans="1:19" x14ac:dyDescent="0.2">
      <c r="A330" s="398" t="str">
        <v xml:space="preserve"> </v>
      </c>
      <c r="C330" s="642" t="s">
        <v>183</v>
      </c>
      <c r="D330" s="643"/>
      <c r="F330" s="642" t="s">
        <v>183</v>
      </c>
      <c r="G330" s="643"/>
      <c r="H330" s="472"/>
      <c r="I330" s="644" t="s">
        <v>183</v>
      </c>
      <c r="J330" s="645"/>
      <c r="K330" s="472"/>
      <c r="L330" s="642" t="s">
        <v>183</v>
      </c>
      <c r="M330" s="643"/>
      <c r="O330" s="642" t="str">
        <f>A178</f>
        <v>p24-3G 73F30</v>
      </c>
      <c r="P330" s="643"/>
      <c r="R330" s="642" t="s">
        <v>183</v>
      </c>
      <c r="S330" s="643"/>
    </row>
    <row r="331" spans="1:19" x14ac:dyDescent="0.2">
      <c r="A331" s="398" t="str">
        <v xml:space="preserve"> </v>
      </c>
      <c r="C331" s="642" t="s">
        <v>183</v>
      </c>
      <c r="D331" s="643"/>
      <c r="F331" s="642" t="s">
        <v>183</v>
      </c>
      <c r="G331" s="643"/>
      <c r="H331" s="472"/>
      <c r="I331" s="648" t="s">
        <v>183</v>
      </c>
      <c r="J331" s="649"/>
      <c r="K331" s="472"/>
      <c r="L331" s="642" t="s">
        <v>183</v>
      </c>
      <c r="M331" s="643"/>
      <c r="O331" s="642" t="str">
        <f>A183</f>
        <v>p24-3G 74F85</v>
      </c>
      <c r="P331" s="643"/>
      <c r="R331" s="642" t="s">
        <v>183</v>
      </c>
      <c r="S331" s="643"/>
    </row>
    <row r="332" spans="1:19" x14ac:dyDescent="0.2">
      <c r="A332" s="462" t="str">
        <v xml:space="preserve"> </v>
      </c>
      <c r="C332" s="646" t="s">
        <v>183</v>
      </c>
      <c r="D332" s="647"/>
      <c r="F332" s="646" t="s">
        <v>183</v>
      </c>
      <c r="G332" s="647"/>
      <c r="H332" s="472"/>
      <c r="I332" s="646" t="s">
        <v>183</v>
      </c>
      <c r="J332" s="647"/>
      <c r="K332" s="472"/>
      <c r="L332" s="646" t="s">
        <v>183</v>
      </c>
      <c r="M332" s="647"/>
      <c r="O332" s="642" t="str">
        <f>A188</f>
        <v>p24-3G 75F51</v>
      </c>
      <c r="P332" s="643"/>
      <c r="R332" s="646" t="s">
        <v>183</v>
      </c>
      <c r="S332" s="647"/>
    </row>
    <row r="333" spans="1:19" x14ac:dyDescent="0.2">
      <c r="A333" s="398" t="str">
        <v xml:space="preserve"> </v>
      </c>
      <c r="C333" s="637" t="s">
        <v>183</v>
      </c>
      <c r="D333" s="637"/>
      <c r="F333" s="637" t="s">
        <v>183</v>
      </c>
      <c r="G333" s="637"/>
      <c r="I333" s="639" t="s">
        <v>183</v>
      </c>
      <c r="J333" s="639"/>
      <c r="L333" s="639" t="s">
        <v>183</v>
      </c>
      <c r="M333" s="639"/>
      <c r="O333" s="642" t="str">
        <f>A213</f>
        <v>p29-2G 84G88</v>
      </c>
      <c r="P333" s="643"/>
      <c r="R333" s="651" t="s">
        <v>183</v>
      </c>
      <c r="S333" s="651"/>
    </row>
    <row r="334" spans="1:19" x14ac:dyDescent="0.2">
      <c r="A334" s="398" t="str">
        <v>Isard</v>
      </c>
      <c r="C334" s="638" t="s">
        <v>183</v>
      </c>
      <c r="D334" s="638"/>
      <c r="F334" s="638" t="s">
        <v>183</v>
      </c>
      <c r="G334" s="638"/>
      <c r="I334" s="639" t="s">
        <v>183</v>
      </c>
      <c r="J334" s="639"/>
      <c r="L334" s="639" t="s">
        <v>183</v>
      </c>
      <c r="M334" s="639"/>
      <c r="O334" s="642" t="str">
        <f>A218</f>
        <v>p29-2G 93G80</v>
      </c>
      <c r="P334" s="643"/>
      <c r="R334" s="650" t="str">
        <f>A269</f>
        <v>Isard</v>
      </c>
      <c r="S334" s="650"/>
    </row>
    <row r="335" spans="1:19" x14ac:dyDescent="0.2">
      <c r="A335" s="398" t="str">
        <v>Chamois</v>
      </c>
      <c r="C335" s="638" t="s">
        <v>183</v>
      </c>
      <c r="D335" s="638"/>
      <c r="F335" s="638" t="s">
        <v>183</v>
      </c>
      <c r="G335" s="638"/>
      <c r="I335" s="639" t="s">
        <v>183</v>
      </c>
      <c r="J335" s="639"/>
      <c r="L335" s="639" t="s">
        <v>183</v>
      </c>
      <c r="M335" s="639"/>
      <c r="O335" s="642" t="str">
        <f>A223</f>
        <v>p29-2G 110G250</v>
      </c>
      <c r="P335" s="643"/>
      <c r="R335" s="650" t="str">
        <f>A274</f>
        <v>Chamois</v>
      </c>
      <c r="S335" s="650"/>
    </row>
    <row r="336" spans="1:19" x14ac:dyDescent="0.2">
      <c r="A336" s="398" t="str">
        <v>Pro54-5G WT</v>
      </c>
      <c r="C336" s="638" t="s">
        <v>183</v>
      </c>
      <c r="D336" s="638"/>
      <c r="F336" s="638" t="s">
        <v>183</v>
      </c>
      <c r="G336" s="638"/>
      <c r="I336" s="639" t="s">
        <v>183</v>
      </c>
      <c r="J336" s="639"/>
      <c r="L336" s="639" t="s">
        <v>183</v>
      </c>
      <c r="M336" s="639"/>
      <c r="O336" s="642" t="str">
        <f>A228</f>
        <v>p29-2G 116G126</v>
      </c>
      <c r="P336" s="643"/>
      <c r="R336" s="650" t="str">
        <f>A284</f>
        <v>Pro54-5G WT</v>
      </c>
      <c r="S336" s="650"/>
    </row>
    <row r="337" spans="1:19" x14ac:dyDescent="0.2">
      <c r="A337" s="398" t="str">
        <v>Pro98-6G Green</v>
      </c>
      <c r="C337" s="638" t="s">
        <v>183</v>
      </c>
      <c r="D337" s="638"/>
      <c r="F337" s="638" t="s">
        <v>183</v>
      </c>
      <c r="G337" s="638"/>
      <c r="I337" s="639" t="s">
        <v>183</v>
      </c>
      <c r="J337" s="639"/>
      <c r="L337" s="639" t="s">
        <v>183</v>
      </c>
      <c r="M337" s="639"/>
      <c r="O337" s="642" t="str">
        <f>A233</f>
        <v>p29-3G 125G131</v>
      </c>
      <c r="P337" s="643"/>
      <c r="R337" s="650" t="str">
        <f>A294</f>
        <v>Pro98-6G Green</v>
      </c>
      <c r="S337" s="650"/>
    </row>
    <row r="338" spans="1:19" x14ac:dyDescent="0.2">
      <c r="A338" s="398" t="str">
        <v>Pro98-3G WT</v>
      </c>
      <c r="C338" s="638" t="s">
        <v>183</v>
      </c>
      <c r="D338" s="638"/>
      <c r="F338" s="638" t="s">
        <v>183</v>
      </c>
      <c r="G338" s="638"/>
      <c r="I338" s="639" t="s">
        <v>183</v>
      </c>
      <c r="J338" s="639"/>
      <c r="L338" s="639" t="s">
        <v>183</v>
      </c>
      <c r="M338" s="639"/>
      <c r="O338" s="642" t="str">
        <f>A248</f>
        <v>p38-1G 128G185</v>
      </c>
      <c r="P338" s="643"/>
      <c r="R338" s="650" t="str">
        <f>A299</f>
        <v>Pro98-3G WT</v>
      </c>
      <c r="S338" s="650"/>
    </row>
    <row r="339" spans="1:19" x14ac:dyDescent="0.2">
      <c r="A339" s="398" t="str">
        <v>Aucun (2e ét. inerte)</v>
      </c>
      <c r="C339" s="638" t="s">
        <v>183</v>
      </c>
      <c r="D339" s="638"/>
      <c r="F339" s="638" t="s">
        <v>183</v>
      </c>
      <c r="G339" s="638"/>
      <c r="I339" s="639" t="s">
        <v>183</v>
      </c>
      <c r="J339" s="639"/>
      <c r="L339" s="639" t="s">
        <v>183</v>
      </c>
      <c r="M339" s="639"/>
      <c r="O339" s="642" t="str">
        <f>A243</f>
        <v>p38-1G 137G58</v>
      </c>
      <c r="P339" s="643"/>
      <c r="R339" s="650" t="str">
        <f>A309</f>
        <v>Aucun (2e ét. inerte)</v>
      </c>
      <c r="S339" s="650"/>
    </row>
    <row r="340" spans="1:19" x14ac:dyDescent="0.2">
      <c r="A340" s="398" t="str">
        <v xml:space="preserve"> </v>
      </c>
      <c r="C340" s="638" t="s">
        <v>183</v>
      </c>
      <c r="D340" s="638"/>
      <c r="F340" s="638" t="s">
        <v>183</v>
      </c>
      <c r="G340" s="638"/>
      <c r="I340" s="639" t="s">
        <v>183</v>
      </c>
      <c r="J340" s="639"/>
      <c r="L340" s="639" t="s">
        <v>183</v>
      </c>
      <c r="M340" s="639"/>
      <c r="O340" s="642" t="str">
        <f>A253</f>
        <v>p38-1G 141G78</v>
      </c>
      <c r="P340" s="643"/>
      <c r="R340" s="639" t="s">
        <v>183</v>
      </c>
      <c r="S340" s="639"/>
    </row>
    <row r="341" spans="1:19" x14ac:dyDescent="0.2">
      <c r="A341" s="398" t="str">
        <v xml:space="preserve"> </v>
      </c>
      <c r="C341" s="638" t="s">
        <v>183</v>
      </c>
      <c r="D341" s="638"/>
      <c r="F341" s="638" t="s">
        <v>183</v>
      </c>
      <c r="G341" s="638"/>
      <c r="I341" s="638" t="s">
        <v>183</v>
      </c>
      <c r="J341" s="638"/>
      <c r="L341" s="639" t="s">
        <v>183</v>
      </c>
      <c r="M341" s="639"/>
      <c r="O341" s="642" t="str">
        <f>A193</f>
        <v>p24-6G 140G145 PK</v>
      </c>
      <c r="P341" s="643"/>
      <c r="R341" s="638" t="s">
        <v>183</v>
      </c>
      <c r="S341" s="638"/>
    </row>
    <row r="342" spans="1:19" x14ac:dyDescent="0.2">
      <c r="A342" s="398" t="str">
        <v xml:space="preserve"> </v>
      </c>
      <c r="C342" s="638" t="s">
        <v>183</v>
      </c>
      <c r="D342" s="638"/>
      <c r="F342" s="638" t="s">
        <v>183</v>
      </c>
      <c r="G342" s="638"/>
      <c r="I342" s="638" t="s">
        <v>183</v>
      </c>
      <c r="J342" s="638"/>
      <c r="L342" s="639" t="s">
        <v>183</v>
      </c>
      <c r="M342" s="639"/>
      <c r="O342" s="642" t="str">
        <f>A198</f>
        <v>Pandora (Pro24-6G BS)</v>
      </c>
      <c r="P342" s="643"/>
      <c r="R342" s="638" t="s">
        <v>183</v>
      </c>
      <c r="S342" s="638"/>
    </row>
    <row r="343" spans="1:19" x14ac:dyDescent="0.2">
      <c r="A343" s="398" t="str">
        <v xml:space="preserve"> </v>
      </c>
      <c r="C343" s="638" t="s">
        <v>183</v>
      </c>
      <c r="D343" s="638"/>
      <c r="F343" s="638" t="s">
        <v>183</v>
      </c>
      <c r="G343" s="638"/>
      <c r="I343" s="638" t="s">
        <v>183</v>
      </c>
      <c r="J343" s="638"/>
      <c r="L343" s="638" t="s">
        <v>183</v>
      </c>
      <c r="M343" s="638"/>
      <c r="O343" s="644" t="str">
        <f>A203</f>
        <v>p24-6G 142G117 WT</v>
      </c>
      <c r="P343" s="645"/>
      <c r="R343" s="638" t="s">
        <v>183</v>
      </c>
      <c r="S343" s="638"/>
    </row>
    <row r="344" spans="1:19" x14ac:dyDescent="0.2">
      <c r="A344" s="398" t="str">
        <v xml:space="preserve"> </v>
      </c>
      <c r="C344" s="638" t="s">
        <v>183</v>
      </c>
      <c r="D344" s="638"/>
      <c r="F344" s="638" t="s">
        <v>183</v>
      </c>
      <c r="G344" s="638"/>
      <c r="I344" s="638" t="s">
        <v>183</v>
      </c>
      <c r="J344" s="638"/>
      <c r="L344" s="638" t="s">
        <v>183</v>
      </c>
      <c r="M344" s="638"/>
      <c r="O344" s="644" t="str">
        <f>A208</f>
        <v>p24-6G 139G107 DT</v>
      </c>
      <c r="P344" s="645"/>
      <c r="R344" s="638" t="s">
        <v>183</v>
      </c>
      <c r="S344" s="638"/>
    </row>
    <row r="345" spans="1:19" x14ac:dyDescent="0.2">
      <c r="A345" s="398" t="str">
        <v xml:space="preserve"> </v>
      </c>
      <c r="C345" s="638" t="s">
        <v>183</v>
      </c>
      <c r="D345" s="638"/>
      <c r="F345" s="638" t="s">
        <v>183</v>
      </c>
      <c r="G345" s="638"/>
      <c r="I345" s="638" t="s">
        <v>183</v>
      </c>
      <c r="J345" s="638"/>
      <c r="L345" s="638" t="s">
        <v>183</v>
      </c>
      <c r="M345" s="638"/>
      <c r="O345" s="644" t="str">
        <f>A263</f>
        <v>Cariacou</v>
      </c>
      <c r="P345" s="645"/>
      <c r="R345" s="638" t="s">
        <v>183</v>
      </c>
      <c r="S345" s="638"/>
    </row>
    <row r="346" spans="1:19" x14ac:dyDescent="0.2">
      <c r="A346" s="473" t="str">
        <v xml:space="preserve"> </v>
      </c>
      <c r="C346" s="638" t="s">
        <v>183</v>
      </c>
      <c r="D346" s="638"/>
      <c r="F346" s="638" t="s">
        <v>183</v>
      </c>
      <c r="G346" s="638"/>
      <c r="I346" s="638" t="s">
        <v>183</v>
      </c>
      <c r="J346" s="638"/>
      <c r="L346" s="638" t="s">
        <v>183</v>
      </c>
      <c r="M346" s="638"/>
      <c r="O346" s="652" t="str">
        <f>A258</f>
        <v>Wapiti</v>
      </c>
      <c r="P346" s="653"/>
      <c r="R346" s="638" t="s">
        <v>183</v>
      </c>
      <c r="S346" s="638"/>
    </row>
  </sheetData>
  <dataConsolidate/>
  <mergeCells count="186">
    <mergeCell ref="R346:S346"/>
    <mergeCell ref="R342:S342"/>
    <mergeCell ref="F342:G342"/>
    <mergeCell ref="F343:G343"/>
    <mergeCell ref="F344:G344"/>
    <mergeCell ref="F345:G345"/>
    <mergeCell ref="F346:G346"/>
    <mergeCell ref="O346:P346"/>
    <mergeCell ref="L345:M345"/>
    <mergeCell ref="L346:M346"/>
    <mergeCell ref="I344:J344"/>
    <mergeCell ref="I346:J346"/>
    <mergeCell ref="I345:J345"/>
    <mergeCell ref="R340:S340"/>
    <mergeCell ref="R341:S341"/>
    <mergeCell ref="R343:S343"/>
    <mergeCell ref="R344:S344"/>
    <mergeCell ref="R345:S345"/>
    <mergeCell ref="O345:P345"/>
    <mergeCell ref="O340:P340"/>
    <mergeCell ref="R339:S339"/>
    <mergeCell ref="F332:G332"/>
    <mergeCell ref="O343:P343"/>
    <mergeCell ref="R338:S338"/>
    <mergeCell ref="R336:S336"/>
    <mergeCell ref="R337:S337"/>
    <mergeCell ref="R334:S334"/>
    <mergeCell ref="F341:G341"/>
    <mergeCell ref="O342:P342"/>
    <mergeCell ref="O335:P335"/>
    <mergeCell ref="O334:P334"/>
    <mergeCell ref="O339:P339"/>
    <mergeCell ref="O344:P344"/>
    <mergeCell ref="R335:S335"/>
    <mergeCell ref="R333:S333"/>
    <mergeCell ref="I337:J337"/>
    <mergeCell ref="I338:J338"/>
    <mergeCell ref="F336:G336"/>
    <mergeCell ref="F337:G337"/>
    <mergeCell ref="O327:P327"/>
    <mergeCell ref="O333:P333"/>
    <mergeCell ref="L328:M328"/>
    <mergeCell ref="I336:J336"/>
    <mergeCell ref="O332:P332"/>
    <mergeCell ref="L333:M333"/>
    <mergeCell ref="I341:J341"/>
    <mergeCell ref="O337:P337"/>
    <mergeCell ref="F339:G339"/>
    <mergeCell ref="F340:G340"/>
    <mergeCell ref="O338:P338"/>
    <mergeCell ref="O336:P336"/>
    <mergeCell ref="I328:J328"/>
    <mergeCell ref="I329:J329"/>
    <mergeCell ref="I330:J330"/>
    <mergeCell ref="I331:J331"/>
    <mergeCell ref="I335:J335"/>
    <mergeCell ref="L337:M337"/>
    <mergeCell ref="O341:P341"/>
    <mergeCell ref="L334:M334"/>
    <mergeCell ref="F329:G329"/>
    <mergeCell ref="F330:G330"/>
    <mergeCell ref="F331:G331"/>
    <mergeCell ref="F324:G324"/>
    <mergeCell ref="F321:G321"/>
    <mergeCell ref="F320:G320"/>
    <mergeCell ref="O323:P323"/>
    <mergeCell ref="O320:P320"/>
    <mergeCell ref="O319:P319"/>
    <mergeCell ref="O324:P324"/>
    <mergeCell ref="F319:G319"/>
    <mergeCell ref="O322:P322"/>
    <mergeCell ref="I320:J320"/>
    <mergeCell ref="L319:M319"/>
    <mergeCell ref="L326:M326"/>
    <mergeCell ref="L327:M327"/>
    <mergeCell ref="L321:M321"/>
    <mergeCell ref="L322:M322"/>
    <mergeCell ref="O325:P325"/>
    <mergeCell ref="O330:P330"/>
    <mergeCell ref="F327:G327"/>
    <mergeCell ref="F326:G326"/>
    <mergeCell ref="L316:M316"/>
    <mergeCell ref="C327:D327"/>
    <mergeCell ref="C326:D326"/>
    <mergeCell ref="C325:D325"/>
    <mergeCell ref="C324:D324"/>
    <mergeCell ref="C323:D323"/>
    <mergeCell ref="C322:D322"/>
    <mergeCell ref="O316:P316"/>
    <mergeCell ref="F318:G318"/>
    <mergeCell ref="F317:G317"/>
    <mergeCell ref="O318:P318"/>
    <mergeCell ref="O317:P317"/>
    <mergeCell ref="L318:M318"/>
    <mergeCell ref="C316:D316"/>
    <mergeCell ref="C317:D317"/>
    <mergeCell ref="C318:D318"/>
    <mergeCell ref="C319:D319"/>
    <mergeCell ref="C320:D320"/>
    <mergeCell ref="F316:G316"/>
    <mergeCell ref="L320:M320"/>
    <mergeCell ref="I316:J316"/>
    <mergeCell ref="I317:J317"/>
    <mergeCell ref="I318:J318"/>
    <mergeCell ref="I319:J319"/>
    <mergeCell ref="L317:M317"/>
    <mergeCell ref="C332:D332"/>
    <mergeCell ref="R322:S322"/>
    <mergeCell ref="R328:S328"/>
    <mergeCell ref="R332:S332"/>
    <mergeCell ref="F328:G328"/>
    <mergeCell ref="F322:G322"/>
    <mergeCell ref="O326:P326"/>
    <mergeCell ref="F323:G323"/>
    <mergeCell ref="O331:P331"/>
    <mergeCell ref="R330:S330"/>
    <mergeCell ref="R329:S329"/>
    <mergeCell ref="O329:P329"/>
    <mergeCell ref="R331:S331"/>
    <mergeCell ref="L331:M331"/>
    <mergeCell ref="L332:M332"/>
    <mergeCell ref="L329:M329"/>
    <mergeCell ref="L330:M330"/>
    <mergeCell ref="L325:M325"/>
    <mergeCell ref="C329:D329"/>
    <mergeCell ref="C330:D330"/>
    <mergeCell ref="I332:J332"/>
    <mergeCell ref="C331:D331"/>
    <mergeCell ref="F325:G325"/>
    <mergeCell ref="R316:S316"/>
    <mergeCell ref="R317:S317"/>
    <mergeCell ref="R318:S318"/>
    <mergeCell ref="R319:S319"/>
    <mergeCell ref="R320:S320"/>
    <mergeCell ref="C328:D328"/>
    <mergeCell ref="O328:P328"/>
    <mergeCell ref="R327:S327"/>
    <mergeCell ref="R326:S326"/>
    <mergeCell ref="C321:D321"/>
    <mergeCell ref="O321:P321"/>
    <mergeCell ref="R321:S321"/>
    <mergeCell ref="R325:S325"/>
    <mergeCell ref="R324:S324"/>
    <mergeCell ref="R323:S323"/>
    <mergeCell ref="I321:J321"/>
    <mergeCell ref="I322:J322"/>
    <mergeCell ref="I323:J323"/>
    <mergeCell ref="I324:J324"/>
    <mergeCell ref="I325:J325"/>
    <mergeCell ref="I326:J326"/>
    <mergeCell ref="I327:J327"/>
    <mergeCell ref="L323:M323"/>
    <mergeCell ref="L324:M324"/>
    <mergeCell ref="C345:D345"/>
    <mergeCell ref="C346:D346"/>
    <mergeCell ref="C335:D335"/>
    <mergeCell ref="C336:D336"/>
    <mergeCell ref="C337:D337"/>
    <mergeCell ref="C338:D338"/>
    <mergeCell ref="C339:D339"/>
    <mergeCell ref="C340:D340"/>
    <mergeCell ref="C334:D334"/>
    <mergeCell ref="C333:D333"/>
    <mergeCell ref="L343:M343"/>
    <mergeCell ref="L344:M344"/>
    <mergeCell ref="F338:G338"/>
    <mergeCell ref="C341:D341"/>
    <mergeCell ref="C342:D342"/>
    <mergeCell ref="C343:D343"/>
    <mergeCell ref="I342:J342"/>
    <mergeCell ref="I343:J343"/>
    <mergeCell ref="L341:M341"/>
    <mergeCell ref="L342:M342"/>
    <mergeCell ref="C344:D344"/>
    <mergeCell ref="L338:M338"/>
    <mergeCell ref="F333:G333"/>
    <mergeCell ref="L335:M335"/>
    <mergeCell ref="L336:M336"/>
    <mergeCell ref="I333:J333"/>
    <mergeCell ref="I334:J334"/>
    <mergeCell ref="L339:M339"/>
    <mergeCell ref="L340:M340"/>
    <mergeCell ref="I340:J340"/>
    <mergeCell ref="I339:J339"/>
    <mergeCell ref="F334:G334"/>
    <mergeCell ref="F335:G335"/>
  </mergeCells>
  <phoneticPr fontId="8" type="noConversion"/>
  <pageMargins left="0.39370078740157483" right="0.39370078740157483" top="0.39370078740157483" bottom="0.39370078740157483" header="0" footer="0"/>
  <pageSetup scale="44" firstPageNumber="0" fitToHeight="3" orientation="landscape" horizontalDpi="300" verticalDpi="300" r:id="rId1"/>
  <headerFooter alignWithMargins="0"/>
  <ignoredErrors>
    <ignoredError sqref="S318 C317:D324 F317:G321 O322:P339 O342:P342 R334:S339 O340:O341 O317:P319 O320:P321 P341 M324 S317" unlockedFormula="1"/>
  </ignoredErrors>
  <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Feuil4">
    <pageSetUpPr fitToPage="1"/>
  </sheetPr>
  <dimension ref="A1:IN1075"/>
  <sheetViews>
    <sheetView showGridLines="0" workbookViewId="0">
      <pane xSplit="3" ySplit="7" topLeftCell="D8" activePane="bottomRight" state="frozen"/>
      <selection pane="topRight" activeCell="D1" sqref="D1"/>
      <selection pane="bottomLeft" activeCell="A8" sqref="A8"/>
      <selection pane="bottomRight" activeCell="K2" sqref="K1:K1048576"/>
    </sheetView>
  </sheetViews>
  <sheetFormatPr baseColWidth="10" defaultColWidth="11.5703125" defaultRowHeight="12.75" x14ac:dyDescent="0.2"/>
  <cols>
    <col min="1" max="1" width="4.5703125" style="7" bestFit="1" customWidth="1"/>
    <col min="2" max="2" width="6" style="7" bestFit="1" customWidth="1"/>
    <col min="3" max="3" width="1.42578125" style="8" customWidth="1"/>
    <col min="4" max="4" width="7.140625" style="7" customWidth="1"/>
    <col min="5" max="6" width="7.42578125" style="7" customWidth="1"/>
    <col min="7" max="7" width="7.140625" style="7" customWidth="1"/>
    <col min="8" max="8" width="7.42578125" style="7" customWidth="1"/>
    <col min="9" max="9" width="7.140625" style="7" customWidth="1"/>
    <col min="10" max="12" width="7.5703125" style="7" bestFit="1" customWidth="1"/>
    <col min="13" max="13" width="5.85546875" style="7" customWidth="1"/>
    <col min="14" max="14" width="6.42578125" style="7" customWidth="1"/>
    <col min="15" max="15" width="1.42578125" style="8" customWidth="1"/>
    <col min="16" max="16" width="4" style="7" customWidth="1"/>
    <col min="17" max="17" width="8.5703125" style="7" customWidth="1"/>
    <col min="18" max="18" width="5.85546875" style="7" customWidth="1"/>
    <col min="19" max="19" width="5.140625" style="7" customWidth="1"/>
    <col min="20" max="20" width="6" style="7" customWidth="1"/>
    <col min="21" max="21" width="8.85546875" style="7" customWidth="1"/>
    <col min="22" max="22" width="6.85546875" style="7" customWidth="1"/>
    <col min="23" max="23" width="7.140625" style="7" customWidth="1"/>
    <col min="24" max="24" width="1.42578125" style="8" customWidth="1"/>
    <col min="25" max="25" width="15.85546875" style="7" customWidth="1"/>
    <col min="26" max="26" width="5.85546875" style="7" customWidth="1"/>
    <col min="27" max="27" width="7.85546875" style="7" customWidth="1"/>
    <col min="28" max="28" width="1.5703125" style="7" customWidth="1"/>
    <col min="29" max="29" width="7.140625" style="7" bestFit="1" customWidth="1"/>
    <col min="30" max="31" width="6.85546875" style="7" bestFit="1" customWidth="1"/>
    <col min="32" max="32" width="1.85546875" style="7" customWidth="1"/>
    <col min="33" max="238" width="11.42578125" style="7" customWidth="1"/>
    <col min="239" max="239" width="11" style="7" customWidth="1"/>
  </cols>
  <sheetData>
    <row r="1" spans="1:248" ht="13.5" thickBot="1" x14ac:dyDescent="0.25">
      <c r="D1" s="654" t="s">
        <v>265</v>
      </c>
      <c r="E1" s="655"/>
      <c r="F1" s="655"/>
      <c r="G1" s="655"/>
      <c r="H1" s="655"/>
      <c r="I1" s="655"/>
      <c r="J1" s="655"/>
      <c r="K1" s="655"/>
      <c r="L1" s="655"/>
      <c r="M1" s="655"/>
      <c r="N1" s="656"/>
      <c r="P1" s="654" t="s">
        <v>17</v>
      </c>
      <c r="Q1" s="655"/>
      <c r="R1" s="655"/>
      <c r="S1" s="655"/>
      <c r="T1" s="655"/>
      <c r="U1" s="655"/>
      <c r="V1" s="655"/>
      <c r="W1" s="656"/>
      <c r="Y1" s="9"/>
      <c r="Z1" s="9"/>
      <c r="AA1" s="9"/>
      <c r="AC1" s="661" t="s">
        <v>185</v>
      </c>
      <c r="AD1" s="661"/>
      <c r="AE1" s="661"/>
      <c r="AG1" s="657" t="s">
        <v>18</v>
      </c>
      <c r="AH1" s="657"/>
    </row>
    <row r="2" spans="1:248" s="12" customFormat="1" x14ac:dyDescent="0.2">
      <c r="A2" s="330" t="s">
        <v>19</v>
      </c>
      <c r="B2" s="331" t="s">
        <v>2</v>
      </c>
      <c r="C2" s="10"/>
      <c r="D2" s="334" t="s">
        <v>192</v>
      </c>
      <c r="E2" s="335" t="s">
        <v>193</v>
      </c>
      <c r="F2" s="331" t="s">
        <v>194</v>
      </c>
      <c r="G2" s="334" t="s">
        <v>189</v>
      </c>
      <c r="H2" s="335" t="s">
        <v>190</v>
      </c>
      <c r="I2" s="331" t="s">
        <v>191</v>
      </c>
      <c r="J2" s="334" t="s">
        <v>186</v>
      </c>
      <c r="K2" s="335" t="s">
        <v>187</v>
      </c>
      <c r="L2" s="331" t="s">
        <v>188</v>
      </c>
      <c r="M2" s="330" t="s">
        <v>20</v>
      </c>
      <c r="N2" s="331" t="s">
        <v>21</v>
      </c>
      <c r="O2" s="10"/>
      <c r="P2" s="330" t="s">
        <v>26</v>
      </c>
      <c r="Q2" s="331" t="s">
        <v>25</v>
      </c>
      <c r="R2" s="330" t="s">
        <v>22</v>
      </c>
      <c r="S2" s="335" t="s">
        <v>38</v>
      </c>
      <c r="T2" s="331" t="s">
        <v>27</v>
      </c>
      <c r="U2" s="338" t="s">
        <v>28</v>
      </c>
      <c r="V2" s="330" t="s">
        <v>24</v>
      </c>
      <c r="W2" s="331" t="s">
        <v>23</v>
      </c>
      <c r="X2" s="11"/>
      <c r="Y2" s="658" t="s">
        <v>184</v>
      </c>
      <c r="Z2" s="659"/>
      <c r="AA2" s="660"/>
      <c r="AC2" s="330" t="s">
        <v>11</v>
      </c>
      <c r="AD2" s="335" t="s">
        <v>3</v>
      </c>
      <c r="AE2" s="331" t="s">
        <v>29</v>
      </c>
      <c r="AG2" s="345" t="s">
        <v>31</v>
      </c>
      <c r="AH2" s="346" t="s">
        <v>30</v>
      </c>
      <c r="IF2"/>
      <c r="IG2"/>
      <c r="IH2"/>
      <c r="II2"/>
      <c r="IJ2"/>
      <c r="IK2"/>
      <c r="IL2"/>
      <c r="IM2"/>
      <c r="IN2"/>
    </row>
    <row r="3" spans="1:248" s="12" customFormat="1" x14ac:dyDescent="0.2">
      <c r="A3" s="332" t="s">
        <v>153</v>
      </c>
      <c r="B3" s="333" t="s">
        <v>153</v>
      </c>
      <c r="C3" s="10"/>
      <c r="D3" s="336" t="s">
        <v>7</v>
      </c>
      <c r="E3" s="337" t="s">
        <v>7</v>
      </c>
      <c r="F3" s="333" t="s">
        <v>7</v>
      </c>
      <c r="G3" s="336" t="s">
        <v>154</v>
      </c>
      <c r="H3" s="337" t="s">
        <v>154</v>
      </c>
      <c r="I3" s="333" t="s">
        <v>154</v>
      </c>
      <c r="J3" s="336" t="s">
        <v>38</v>
      </c>
      <c r="K3" s="337" t="s">
        <v>38</v>
      </c>
      <c r="L3" s="333" t="s">
        <v>38</v>
      </c>
      <c r="M3" s="332" t="s">
        <v>243</v>
      </c>
      <c r="N3" s="333" t="s">
        <v>155</v>
      </c>
      <c r="O3" s="10"/>
      <c r="P3" s="336" t="s">
        <v>14</v>
      </c>
      <c r="Q3" s="339" t="s">
        <v>226</v>
      </c>
      <c r="R3" s="336" t="s">
        <v>244</v>
      </c>
      <c r="S3" s="340" t="s">
        <v>227</v>
      </c>
      <c r="T3" s="339" t="s">
        <v>226</v>
      </c>
      <c r="U3" s="341" t="s">
        <v>226</v>
      </c>
      <c r="V3" s="336" t="s">
        <v>8</v>
      </c>
      <c r="W3" s="339" t="s">
        <v>226</v>
      </c>
      <c r="X3" s="11"/>
      <c r="Y3" s="342"/>
      <c r="Z3" s="343"/>
      <c r="AA3" s="344"/>
      <c r="AC3" s="336" t="s">
        <v>153</v>
      </c>
      <c r="AD3" s="340" t="s">
        <v>38</v>
      </c>
      <c r="AE3" s="339" t="s">
        <v>38</v>
      </c>
      <c r="AG3" s="342" t="s">
        <v>7</v>
      </c>
      <c r="AH3" s="339" t="s">
        <v>7</v>
      </c>
      <c r="IF3"/>
      <c r="IG3"/>
      <c r="IH3"/>
      <c r="II3"/>
      <c r="IJ3"/>
      <c r="IK3"/>
      <c r="IL3"/>
      <c r="IM3"/>
      <c r="IN3"/>
    </row>
    <row r="4" spans="1:248" x14ac:dyDescent="0.2">
      <c r="A4" s="292" t="s">
        <v>14</v>
      </c>
      <c r="B4" s="349">
        <f>T_ini</f>
        <v>0</v>
      </c>
      <c r="D4" s="292" t="s">
        <v>14</v>
      </c>
      <c r="E4" s="293" t="s">
        <v>14</v>
      </c>
      <c r="F4" s="294" t="s">
        <v>14</v>
      </c>
      <c r="G4" s="292">
        <f>vit_xz*COS(Beta)</f>
        <v>38.820107670828655</v>
      </c>
      <c r="H4" s="293">
        <f>vit_xz*SIN(Beta)</f>
        <v>149.82293273111497</v>
      </c>
      <c r="I4" s="349">
        <f>V_ini</f>
        <v>154.77051376708334</v>
      </c>
      <c r="J4" s="350">
        <f>X_ini</f>
        <v>132.07618777215259</v>
      </c>
      <c r="K4" s="351">
        <f>Z_ini</f>
        <v>570.20506866099674</v>
      </c>
      <c r="L4" s="327">
        <f t="shared" ref="L4:L67" si="0">SQRT(pos_x^2+pos_z^2)</f>
        <v>585.30158013037772</v>
      </c>
      <c r="M4" s="292">
        <f>RADIANS(N4)</f>
        <v>1.3172652993921625</v>
      </c>
      <c r="N4" s="349">
        <f>Beta_rampe</f>
        <v>75.473742154207713</v>
      </c>
      <c r="P4" s="292" t="s">
        <v>14</v>
      </c>
      <c r="Q4" s="294" t="s">
        <v>14</v>
      </c>
      <c r="R4" s="292" t="s">
        <v>14</v>
      </c>
      <c r="S4" s="351">
        <f ca="1">m_tot</f>
        <v>4.3411</v>
      </c>
      <c r="T4" s="327">
        <f t="shared" ref="T4:T67" ca="1" si="1">m*g</f>
        <v>42.586190999999999</v>
      </c>
      <c r="U4" s="328">
        <f t="shared" ref="U4:U67" si="2">IF(pos_xz&lt;L_rampe,Poids*COS(Beta),0)</f>
        <v>0</v>
      </c>
      <c r="V4" s="329">
        <f t="shared" ref="V4:V67" si="3">Rho_moyen*(20000-Alt_rampe-pos_z)/(20000+Alt_rampe+pos_z)</f>
        <v>1.1570861209911905</v>
      </c>
      <c r="W4" s="327">
        <f t="shared" ref="W4:W67" si="4">1/2*Rho*Sref*Cx*vit_xz^2</f>
        <v>89.92585005231139</v>
      </c>
      <c r="Y4" s="295" t="s">
        <v>14</v>
      </c>
      <c r="Z4" s="296" t="s">
        <v>14</v>
      </c>
      <c r="AA4" s="297" t="s">
        <v>14</v>
      </c>
      <c r="AC4" s="320">
        <f>IF(ABS(t-ROUND(t,0))&lt;0.001,t,-1)</f>
        <v>0</v>
      </c>
      <c r="AD4" s="321">
        <f>IF(ABS(t-ROUND(t,0))&lt;0.001,pos_x,-1)</f>
        <v>132.07618777215259</v>
      </c>
      <c r="AE4" s="322">
        <f t="shared" ref="AE4:AE67" si="5">IF(t&lt;T_para, pos_z, NA())</f>
        <v>570.20506866099674</v>
      </c>
      <c r="AG4" s="292" t="s">
        <v>14</v>
      </c>
      <c r="AH4" s="294" t="s">
        <v>14</v>
      </c>
    </row>
    <row r="5" spans="1:248" x14ac:dyDescent="0.2">
      <c r="A5" s="347">
        <f t="shared" ref="A5:A68" ca="1" si="6">IF(B4+0.01&lt;=T_ini+ROUNDUP(Temps_fin_propu,0), 0.01, IF(K4&gt;0, 0.1, 0.0001))</f>
        <v>0.01</v>
      </c>
      <c r="B5" s="304">
        <f t="shared" ref="B5:B68" ca="1" si="7">B4+pas</f>
        <v>0.01</v>
      </c>
      <c r="D5" s="306">
        <f t="shared" ref="D5:D68" ca="1" si="8">IF(AND(L4&lt;L_rampe,Poussee&lt;Poids*SIN(M4)),0,(-W4+Poussee)/m*COS(M4)-U4/m*SIN(M4))</f>
        <v>-5.1957818468642447</v>
      </c>
      <c r="E5" s="307">
        <f t="shared" ref="E5:E68" ca="1" si="9">IF(AND(L4&lt;L_rampe,Poussee&lt;Poids*SIN(M4)),0,(-W4+Poussee)/m*SIN(M4)+U4/m*COS(M4)-Poids/m)</f>
        <v>-29.862681994832634</v>
      </c>
      <c r="F5" s="304">
        <f t="shared" ref="F5:F68" ca="1" si="10">SQRT(acc_x^2+acc_z^2)</f>
        <v>30.311316779788786</v>
      </c>
      <c r="G5" s="306">
        <f t="shared" ref="G5:G68" ca="1" si="11">G4+acc_x*pas</f>
        <v>38.768149852360011</v>
      </c>
      <c r="H5" s="307">
        <f t="shared" ref="H5:H68" ca="1" si="12">H4+acc_z*pas</f>
        <v>149.52430591116664</v>
      </c>
      <c r="I5" s="304">
        <f t="shared" ref="I5:I68" ca="1" si="13">SQRT(vit_x^2+vit_z^2)</f>
        <v>154.46840292173408</v>
      </c>
      <c r="J5" s="306">
        <f t="shared" ref="J5:J68" ca="1" si="14">J4+0.5*(vit_x+G4)*pas*(K4&gt;=0)</f>
        <v>132.46412905976854</v>
      </c>
      <c r="K5" s="307">
        <f t="shared" ref="K5:K68" ca="1" si="15">K4+0.5*(vit_z+H4)*pas</f>
        <v>571.70180485420815</v>
      </c>
      <c r="L5" s="304">
        <f t="shared" ca="1" si="0"/>
        <v>586.84725368797808</v>
      </c>
      <c r="M5" s="306">
        <f t="shared" ref="M5:M68" ca="1" si="16">IF(AND(L4&gt;L_rampe,G5&gt;0),ATAN2(G5,H5),$M$4)</f>
        <v>1.3171060059620154</v>
      </c>
      <c r="N5" s="304">
        <f t="shared" ref="N5:N68" ca="1" si="17">DEGREES(Beta)</f>
        <v>75.464615312956127</v>
      </c>
      <c r="P5" s="310">
        <f t="shared" ref="P5:P68" ca="1" si="18">MATCH(t-pas/2-T_ini,CdP_t)</f>
        <v>1</v>
      </c>
      <c r="Q5" s="304">
        <f t="shared" ref="Q5:Q68" ca="1" si="19">(INDEX(CdP,2,i_P+1)-INDEX(CdP,2,i_P+0))/(INDEX(CdP,1,i_P+1)-INDEX(CdP,1,i_P+0))*(t-pas/2-T_ini-INDEX(CdP,1,i_P+0))+INDEX(CdP,2,i_P+0)</f>
        <v>5.0000000000000001E-4</v>
      </c>
      <c r="R5" s="306">
        <f t="shared" ref="R5:R68" ca="1" si="20">Poussee/(g*ISP)</f>
        <v>5.0000000000000002E-5</v>
      </c>
      <c r="S5" s="307">
        <f t="shared" ref="S5:S68" ca="1" si="21">S4-Débit*pas</f>
        <v>4.3410995000000003</v>
      </c>
      <c r="T5" s="304">
        <f t="shared" ca="1" si="1"/>
        <v>42.586186095000002</v>
      </c>
      <c r="U5" s="311">
        <f t="shared" ca="1" si="2"/>
        <v>0</v>
      </c>
      <c r="V5" s="306">
        <f t="shared" ca="1" si="3"/>
        <v>1.1569128074488082</v>
      </c>
      <c r="W5" s="304">
        <f t="shared" ca="1" si="4"/>
        <v>89.56170660414395</v>
      </c>
      <c r="Y5" s="314" t="str">
        <f t="shared" ref="Y5:Y68" ca="1" si="22">IF(AND(pos_z&lt;=0,K4&gt;0),"Impact balistique","") &amp; IF(AND(H6&lt;0,vit_z&gt;=0),"Apogée","") &amp; IF(AND(Poussee=0,Q4&gt;0),"Fin de propulsion","") &amp; IF(AND(L6&gt;L_rampe,pos_xz&lt;=L_rampe),"Sortie de rampe","")</f>
        <v/>
      </c>
      <c r="Z5" s="315" t="str">
        <f t="shared" ref="Z5:Z68" ca="1" si="23">IF(ABS(t-T_para)&lt;pas/2,"Para","")</f>
        <v/>
      </c>
      <c r="AA5" s="316" t="str">
        <f t="shared" ref="AA5:AA68" ca="1" si="24">IF(ABS(t-T_satellite)&lt;pas/2,"Satellite","")</f>
        <v/>
      </c>
      <c r="AC5" s="310" t="e">
        <f t="shared" ref="AC5:AC68" ca="1" si="25">IF(ABS(t-ROUND(t,0))&lt;0.001,t,NA())</f>
        <v>#N/A</v>
      </c>
      <c r="AD5" s="323" t="e">
        <f t="shared" ref="AD5:AD68" ca="1" si="26">IF(ABS(t-ROUND(t,0))&lt;0.001,pos_x,NA())</f>
        <v>#N/A</v>
      </c>
      <c r="AE5" s="324">
        <f t="shared" ca="1" si="5"/>
        <v>571.70180485420815</v>
      </c>
      <c r="AG5" s="306">
        <f t="shared" ref="AG5:AG68" ca="1" si="27">IF(AND(L4&lt;L_rampe,Poussee&lt;Poids*SIN(M4)),0,(-W4+Poussee)/m-Poids*SIN(M4)/m)</f>
        <v>-30.211280512052873</v>
      </c>
      <c r="AH5" s="304">
        <f t="shared" ref="AH5:AH68" ca="1" si="28">IF(AND(L4&lt;L_rampe,Poussee&lt;Poids*SIN(M4)), g*SIN(M4), (-W4+Poussee)/m)</f>
        <v>-20.714878811764482</v>
      </c>
    </row>
    <row r="6" spans="1:248" x14ac:dyDescent="0.2">
      <c r="A6" s="347">
        <f t="shared" ca="1" si="6"/>
        <v>0.01</v>
      </c>
      <c r="B6" s="304">
        <f t="shared" ca="1" si="7"/>
        <v>0.02</v>
      </c>
      <c r="D6" s="306">
        <f t="shared" ca="1" si="8"/>
        <v>-5.1778672979075751</v>
      </c>
      <c r="E6" s="307">
        <f t="shared" ca="1" si="9"/>
        <v>-29.780440084662111</v>
      </c>
      <c r="F6" s="304">
        <f t="shared" ca="1" si="10"/>
        <v>30.22722152945736</v>
      </c>
      <c r="G6" s="306">
        <f t="shared" ca="1" si="11"/>
        <v>38.716371179380936</v>
      </c>
      <c r="H6" s="307">
        <f t="shared" ca="1" si="12"/>
        <v>149.22650151032002</v>
      </c>
      <c r="I6" s="304">
        <f t="shared" ca="1" si="13"/>
        <v>154.16713706334804</v>
      </c>
      <c r="J6" s="306">
        <f t="shared" ca="1" si="14"/>
        <v>132.85155166492726</v>
      </c>
      <c r="K6" s="307">
        <f t="shared" ca="1" si="15"/>
        <v>573.19555889131561</v>
      </c>
      <c r="L6" s="304">
        <f t="shared" ca="1" si="0"/>
        <v>588.38990772489171</v>
      </c>
      <c r="M6" s="306">
        <f t="shared" ca="1" si="16"/>
        <v>1.3169463031287651</v>
      </c>
      <c r="N6" s="304">
        <f t="shared" ca="1" si="17"/>
        <v>75.455465014634612</v>
      </c>
      <c r="P6" s="310">
        <f t="shared" ca="1" si="18"/>
        <v>1</v>
      </c>
      <c r="Q6" s="304">
        <f t="shared" ca="1" si="19"/>
        <v>1.4999999999999998E-3</v>
      </c>
      <c r="R6" s="306">
        <f t="shared" ca="1" si="20"/>
        <v>1.4999999999999999E-4</v>
      </c>
      <c r="S6" s="307">
        <f t="shared" ca="1" si="21"/>
        <v>4.3410980000000006</v>
      </c>
      <c r="T6" s="304">
        <f t="shared" ca="1" si="1"/>
        <v>42.58617138000001</v>
      </c>
      <c r="U6" s="311">
        <f t="shared" ca="1" si="2"/>
        <v>0</v>
      </c>
      <c r="V6" s="306">
        <f t="shared" ca="1" si="3"/>
        <v>1.1567398643655629</v>
      </c>
      <c r="W6" s="304">
        <f t="shared" ca="1" si="4"/>
        <v>89.199359665569858</v>
      </c>
      <c r="Y6" s="314" t="str">
        <f t="shared" ca="1" si="22"/>
        <v/>
      </c>
      <c r="Z6" s="315" t="str">
        <f t="shared" ca="1" si="23"/>
        <v/>
      </c>
      <c r="AA6" s="316" t="str">
        <f t="shared" ca="1" si="24"/>
        <v/>
      </c>
      <c r="AC6" s="310" t="e">
        <f t="shared" ca="1" si="25"/>
        <v>#N/A</v>
      </c>
      <c r="AD6" s="323" t="e">
        <f t="shared" ca="1" si="26"/>
        <v>#N/A</v>
      </c>
      <c r="AE6" s="324">
        <f t="shared" ca="1" si="5"/>
        <v>573.19555889131561</v>
      </c>
      <c r="AG6" s="306">
        <f t="shared" ca="1" si="27"/>
        <v>-30.126782440205606</v>
      </c>
      <c r="AH6" s="304">
        <f t="shared" ca="1" si="28"/>
        <v>-20.630772814652872</v>
      </c>
    </row>
    <row r="7" spans="1:248" x14ac:dyDescent="0.2">
      <c r="A7" s="347">
        <f t="shared" ca="1" si="6"/>
        <v>0.01</v>
      </c>
      <c r="B7" s="304">
        <f t="shared" ca="1" si="7"/>
        <v>0.03</v>
      </c>
      <c r="D7" s="306">
        <f t="shared" ca="1" si="8"/>
        <v>-5.1600399245671831</v>
      </c>
      <c r="E7" s="307">
        <f t="shared" ca="1" si="9"/>
        <v>-29.698607380818295</v>
      </c>
      <c r="F7" s="304">
        <f t="shared" ca="1" si="10"/>
        <v>30.143544787949576</v>
      </c>
      <c r="G7" s="306">
        <f t="shared" ca="1" si="11"/>
        <v>38.664770780135264</v>
      </c>
      <c r="H7" s="307">
        <f t="shared" ca="1" si="12"/>
        <v>148.92951543651185</v>
      </c>
      <c r="I7" s="304">
        <f t="shared" ca="1" si="13"/>
        <v>153.86671201931438</v>
      </c>
      <c r="J7" s="306">
        <f t="shared" ca="1" si="14"/>
        <v>133.23845737472485</v>
      </c>
      <c r="K7" s="307">
        <f t="shared" ca="1" si="15"/>
        <v>574.6863389760498</v>
      </c>
      <c r="L7" s="304">
        <f t="shared" ca="1" si="0"/>
        <v>589.92955064930561</v>
      </c>
      <c r="M7" s="306">
        <f t="shared" ca="1" si="16"/>
        <v>1.3167861899155642</v>
      </c>
      <c r="N7" s="304">
        <f t="shared" ca="1" si="17"/>
        <v>75.446291203273915</v>
      </c>
      <c r="P7" s="310">
        <f t="shared" ca="1" si="18"/>
        <v>1</v>
      </c>
      <c r="Q7" s="304">
        <f t="shared" ca="1" si="19"/>
        <v>2.4999999999999996E-3</v>
      </c>
      <c r="R7" s="306">
        <f t="shared" ca="1" si="20"/>
        <v>2.4999999999999995E-4</v>
      </c>
      <c r="S7" s="307">
        <f t="shared" ca="1" si="21"/>
        <v>4.3410955000000007</v>
      </c>
      <c r="T7" s="304">
        <f t="shared" ca="1" si="1"/>
        <v>42.58614685500001</v>
      </c>
      <c r="U7" s="311">
        <f t="shared" ca="1" si="2"/>
        <v>0</v>
      </c>
      <c r="V7" s="306">
        <f t="shared" ca="1" si="3"/>
        <v>1.1565672906359654</v>
      </c>
      <c r="W7" s="304">
        <f t="shared" ca="1" si="4"/>
        <v>88.838797520782066</v>
      </c>
      <c r="Y7" s="314" t="str">
        <f t="shared" ca="1" si="22"/>
        <v/>
      </c>
      <c r="Z7" s="315" t="str">
        <f t="shared" ca="1" si="23"/>
        <v/>
      </c>
      <c r="AA7" s="316" t="str">
        <f t="shared" ca="1" si="24"/>
        <v/>
      </c>
      <c r="AC7" s="310" t="e">
        <f t="shared" ca="1" si="25"/>
        <v>#N/A</v>
      </c>
      <c r="AD7" s="323" t="e">
        <f t="shared" ca="1" si="26"/>
        <v>#N/A</v>
      </c>
      <c r="AE7" s="324">
        <f t="shared" ca="1" si="5"/>
        <v>574.6863389760498</v>
      </c>
      <c r="AG7" s="306">
        <f t="shared" ca="1" si="27"/>
        <v>-30.042701631573429</v>
      </c>
      <c r="AH7" s="304">
        <f t="shared" ca="1" si="28"/>
        <v>-20.547085330320389</v>
      </c>
    </row>
    <row r="8" spans="1:248" x14ac:dyDescent="0.2">
      <c r="A8" s="347">
        <f t="shared" ca="1" si="6"/>
        <v>0.01</v>
      </c>
      <c r="B8" s="304">
        <f t="shared" ca="1" si="7"/>
        <v>0.04</v>
      </c>
      <c r="D8" s="306">
        <f t="shared" ca="1" si="8"/>
        <v>-5.1422991487718361</v>
      </c>
      <c r="E8" s="307">
        <f t="shared" ca="1" si="9"/>
        <v>-29.617181188557353</v>
      </c>
      <c r="F8" s="304">
        <f t="shared" ca="1" si="10"/>
        <v>30.06028379924739</v>
      </c>
      <c r="G8" s="306">
        <f t="shared" ca="1" si="11"/>
        <v>38.613347788647545</v>
      </c>
      <c r="H8" s="307">
        <f t="shared" ca="1" si="12"/>
        <v>148.63334362462626</v>
      </c>
      <c r="I8" s="304">
        <f t="shared" ca="1" si="13"/>
        <v>153.56712364462416</v>
      </c>
      <c r="J8" s="306">
        <f t="shared" ca="1" si="14"/>
        <v>133.62484796756877</v>
      </c>
      <c r="K8" s="307">
        <f t="shared" ca="1" si="15"/>
        <v>576.17415327135552</v>
      </c>
      <c r="L8" s="304">
        <f t="shared" ca="1" si="0"/>
        <v>591.46619082777624</v>
      </c>
      <c r="M8" s="306">
        <f t="shared" ca="1" si="16"/>
        <v>1.3166256653416699</v>
      </c>
      <c r="N8" s="304">
        <f t="shared" ca="1" si="17"/>
        <v>75.437093822681632</v>
      </c>
      <c r="P8" s="310">
        <f t="shared" ca="1" si="18"/>
        <v>1</v>
      </c>
      <c r="Q8" s="304">
        <f t="shared" ca="1" si="19"/>
        <v>3.5000000000000001E-3</v>
      </c>
      <c r="R8" s="306">
        <f t="shared" ca="1" si="20"/>
        <v>3.5E-4</v>
      </c>
      <c r="S8" s="307">
        <f t="shared" ca="1" si="21"/>
        <v>4.3410920000000006</v>
      </c>
      <c r="T8" s="304">
        <f t="shared" ca="1" si="1"/>
        <v>42.586112520000007</v>
      </c>
      <c r="U8" s="311">
        <f t="shared" ca="1" si="2"/>
        <v>0</v>
      </c>
      <c r="V8" s="306">
        <f t="shared" ca="1" si="3"/>
        <v>1.1563950851601639</v>
      </c>
      <c r="W8" s="304">
        <f t="shared" ca="1" si="4"/>
        <v>88.480008550604111</v>
      </c>
      <c r="Y8" s="314" t="str">
        <f t="shared" ca="1" si="22"/>
        <v/>
      </c>
      <c r="Z8" s="315" t="str">
        <f t="shared" ca="1" si="23"/>
        <v/>
      </c>
      <c r="AA8" s="316" t="str">
        <f t="shared" ca="1" si="24"/>
        <v/>
      </c>
      <c r="AC8" s="310" t="e">
        <f t="shared" ca="1" si="25"/>
        <v>#N/A</v>
      </c>
      <c r="AD8" s="323" t="e">
        <f t="shared" ca="1" si="26"/>
        <v>#N/A</v>
      </c>
      <c r="AE8" s="324">
        <f t="shared" ca="1" si="5"/>
        <v>576.17415327135552</v>
      </c>
      <c r="AG8" s="306">
        <f t="shared" ca="1" si="27"/>
        <v>-29.959035325969197</v>
      </c>
      <c r="AH8" s="304">
        <f t="shared" ca="1" si="28"/>
        <v>-20.463813602840496</v>
      </c>
    </row>
    <row r="9" spans="1:248" x14ac:dyDescent="0.2">
      <c r="A9" s="347">
        <f t="shared" ca="1" si="6"/>
        <v>0.01</v>
      </c>
      <c r="B9" s="304">
        <f t="shared" ca="1" si="7"/>
        <v>0.05</v>
      </c>
      <c r="D9" s="306">
        <f t="shared" ca="1" si="8"/>
        <v>-5.1246443972303162</v>
      </c>
      <c r="E9" s="307">
        <f t="shared" ca="1" si="9"/>
        <v>-29.536158835455588</v>
      </c>
      <c r="F9" s="304">
        <f t="shared" ca="1" si="10"/>
        <v>29.977435830159411</v>
      </c>
      <c r="G9" s="306">
        <f t="shared" ca="1" si="11"/>
        <v>38.562101344675241</v>
      </c>
      <c r="H9" s="307">
        <f t="shared" ca="1" si="12"/>
        <v>148.33798203627171</v>
      </c>
      <c r="I9" s="304">
        <f t="shared" ca="1" si="13"/>
        <v>153.26836782164241</v>
      </c>
      <c r="J9" s="306">
        <f t="shared" ca="1" si="14"/>
        <v>134.01072521323539</v>
      </c>
      <c r="K9" s="307">
        <f t="shared" ca="1" si="15"/>
        <v>577.65900989965996</v>
      </c>
      <c r="L9" s="304">
        <f t="shared" ca="1" si="0"/>
        <v>592.99983658550252</v>
      </c>
      <c r="M9" s="306">
        <f t="shared" ca="1" si="16"/>
        <v>1.3164647284224285</v>
      </c>
      <c r="N9" s="304">
        <f t="shared" ca="1" si="17"/>
        <v>75.427872816441266</v>
      </c>
      <c r="P9" s="310">
        <f t="shared" ca="1" si="18"/>
        <v>1</v>
      </c>
      <c r="Q9" s="304">
        <f t="shared" ca="1" si="19"/>
        <v>4.5000000000000005E-3</v>
      </c>
      <c r="R9" s="306">
        <f t="shared" ca="1" si="20"/>
        <v>4.5000000000000004E-4</v>
      </c>
      <c r="S9" s="307">
        <f t="shared" ca="1" si="21"/>
        <v>4.3410875000000004</v>
      </c>
      <c r="T9" s="304">
        <f t="shared" ca="1" si="1"/>
        <v>42.586068375000004</v>
      </c>
      <c r="U9" s="311">
        <f t="shared" ca="1" si="2"/>
        <v>0</v>
      </c>
      <c r="V9" s="306">
        <f t="shared" ca="1" si="3"/>
        <v>1.1562232468439049</v>
      </c>
      <c r="W9" s="304">
        <f t="shared" ca="1" si="4"/>
        <v>88.122981231532123</v>
      </c>
      <c r="Y9" s="314" t="str">
        <f t="shared" ca="1" si="22"/>
        <v/>
      </c>
      <c r="Z9" s="315" t="str">
        <f t="shared" ca="1" si="23"/>
        <v/>
      </c>
      <c r="AA9" s="316" t="str">
        <f t="shared" ca="1" si="24"/>
        <v/>
      </c>
      <c r="AC9" s="310" t="e">
        <f t="shared" ca="1" si="25"/>
        <v>#N/A</v>
      </c>
      <c r="AD9" s="323" t="e">
        <f t="shared" ca="1" si="26"/>
        <v>#N/A</v>
      </c>
      <c r="AE9" s="324">
        <f t="shared" ca="1" si="5"/>
        <v>577.65900989965996</v>
      </c>
      <c r="AG9" s="306">
        <f t="shared" ca="1" si="27"/>
        <v>-29.875780786012122</v>
      </c>
      <c r="AH9" s="304">
        <f t="shared" ca="1" si="28"/>
        <v>-20.38095489911321</v>
      </c>
    </row>
    <row r="10" spans="1:248" x14ac:dyDescent="0.2">
      <c r="A10" s="347">
        <f t="shared" ca="1" si="6"/>
        <v>0.01</v>
      </c>
      <c r="B10" s="304">
        <f t="shared" ca="1" si="7"/>
        <v>6.0000000000000005E-2</v>
      </c>
      <c r="D10" s="306">
        <f t="shared" ca="1" si="8"/>
        <v>-5.1070751013838818</v>
      </c>
      <c r="E10" s="307">
        <f t="shared" ca="1" si="9"/>
        <v>-29.455537671187628</v>
      </c>
      <c r="F10" s="304">
        <f t="shared" ca="1" si="10"/>
        <v>29.894998170094084</v>
      </c>
      <c r="G10" s="306">
        <f t="shared" ca="1" si="11"/>
        <v>38.511030593661403</v>
      </c>
      <c r="H10" s="307">
        <f t="shared" ca="1" si="12"/>
        <v>148.04342665955983</v>
      </c>
      <c r="I10" s="304">
        <f t="shared" ca="1" si="13"/>
        <v>152.9704404598823</v>
      </c>
      <c r="J10" s="306">
        <f t="shared" ca="1" si="14"/>
        <v>134.39609087292706</v>
      </c>
      <c r="K10" s="307">
        <f t="shared" ca="1" si="15"/>
        <v>579.14091694313913</v>
      </c>
      <c r="L10" s="304">
        <f t="shared" ca="1" si="0"/>
        <v>594.5304962065984</v>
      </c>
      <c r="M10" s="306">
        <f t="shared" ca="1" si="16"/>
        <v>1.3163033781692586</v>
      </c>
      <c r="N10" s="304">
        <f t="shared" ca="1" si="17"/>
        <v>75.418628127911262</v>
      </c>
      <c r="P10" s="310">
        <f t="shared" ca="1" si="18"/>
        <v>1</v>
      </c>
      <c r="Q10" s="304">
        <f t="shared" ca="1" si="19"/>
        <v>5.5000000000000005E-3</v>
      </c>
      <c r="R10" s="306">
        <f t="shared" ca="1" si="20"/>
        <v>5.5000000000000003E-4</v>
      </c>
      <c r="S10" s="307">
        <f t="shared" ca="1" si="21"/>
        <v>4.3410820000000001</v>
      </c>
      <c r="T10" s="304">
        <f t="shared" ca="1" si="1"/>
        <v>42.586014420000005</v>
      </c>
      <c r="U10" s="311">
        <f t="shared" ca="1" si="2"/>
        <v>0</v>
      </c>
      <c r="V10" s="306">
        <f t="shared" ca="1" si="3"/>
        <v>1.1560517745984971</v>
      </c>
      <c r="W10" s="304">
        <f t="shared" ca="1" si="4"/>
        <v>87.767704134787564</v>
      </c>
      <c r="Y10" s="314" t="str">
        <f t="shared" ca="1" si="22"/>
        <v/>
      </c>
      <c r="Z10" s="315" t="str">
        <f t="shared" ca="1" si="23"/>
        <v/>
      </c>
      <c r="AA10" s="316" t="str">
        <f t="shared" ca="1" si="24"/>
        <v/>
      </c>
      <c r="AC10" s="310" t="e">
        <f t="shared" ca="1" si="25"/>
        <v>#N/A</v>
      </c>
      <c r="AD10" s="323" t="e">
        <f t="shared" ca="1" si="26"/>
        <v>#N/A</v>
      </c>
      <c r="AE10" s="324">
        <f t="shared" ca="1" si="5"/>
        <v>579.14091694313913</v>
      </c>
      <c r="AG10" s="306">
        <f t="shared" ca="1" si="27"/>
        <v>-29.792935296900815</v>
      </c>
      <c r="AH10" s="304">
        <f t="shared" ca="1" si="28"/>
        <v>-20.298506508638198</v>
      </c>
    </row>
    <row r="11" spans="1:248" x14ac:dyDescent="0.2">
      <c r="A11" s="347">
        <f t="shared" ca="1" si="6"/>
        <v>0.01</v>
      </c>
      <c r="B11" s="304">
        <f t="shared" ca="1" si="7"/>
        <v>7.0000000000000007E-2</v>
      </c>
      <c r="D11" s="306">
        <f t="shared" ca="1" si="8"/>
        <v>-5.0895906973592684</v>
      </c>
      <c r="E11" s="307">
        <f t="shared" ca="1" si="9"/>
        <v>-29.375315067307021</v>
      </c>
      <c r="F11" s="304">
        <f t="shared" ca="1" si="10"/>
        <v>29.812968130835294</v>
      </c>
      <c r="G11" s="306">
        <f t="shared" ca="1" si="11"/>
        <v>38.460134686687809</v>
      </c>
      <c r="H11" s="307">
        <f t="shared" ca="1" si="12"/>
        <v>147.74967350888676</v>
      </c>
      <c r="I11" s="304">
        <f t="shared" ca="1" si="13"/>
        <v>152.67333749578148</v>
      </c>
      <c r="J11" s="306">
        <f t="shared" ca="1" si="14"/>
        <v>134.78094669932881</v>
      </c>
      <c r="K11" s="307">
        <f t="shared" ca="1" si="15"/>
        <v>580.6198824439814</v>
      </c>
      <c r="L11" s="304">
        <f t="shared" ca="1" si="0"/>
        <v>596.05817793436074</v>
      </c>
      <c r="M11" s="306">
        <f t="shared" ca="1" si="16"/>
        <v>1.3161416135896338</v>
      </c>
      <c r="N11" s="304">
        <f t="shared" ca="1" si="17"/>
        <v>75.409359700224044</v>
      </c>
      <c r="P11" s="310">
        <f t="shared" ca="1" si="18"/>
        <v>1</v>
      </c>
      <c r="Q11" s="304">
        <f t="shared" ca="1" si="19"/>
        <v>6.4999999999999997E-3</v>
      </c>
      <c r="R11" s="306">
        <f t="shared" ca="1" si="20"/>
        <v>6.4999999999999997E-4</v>
      </c>
      <c r="S11" s="307">
        <f t="shared" ca="1" si="21"/>
        <v>4.3410755000000005</v>
      </c>
      <c r="T11" s="304">
        <f t="shared" ca="1" si="1"/>
        <v>42.585950655000005</v>
      </c>
      <c r="U11" s="311">
        <f t="shared" ca="1" si="2"/>
        <v>0</v>
      </c>
      <c r="V11" s="306">
        <f t="shared" ca="1" si="3"/>
        <v>1.1558806673407727</v>
      </c>
      <c r="W11" s="304">
        <f t="shared" ca="1" si="4"/>
        <v>87.4141659253809</v>
      </c>
      <c r="Y11" s="314" t="str">
        <f t="shared" ca="1" si="22"/>
        <v/>
      </c>
      <c r="Z11" s="315" t="str">
        <f t="shared" ca="1" si="23"/>
        <v/>
      </c>
      <c r="AA11" s="316" t="str">
        <f t="shared" ca="1" si="24"/>
        <v/>
      </c>
      <c r="AC11" s="310" t="e">
        <f t="shared" ca="1" si="25"/>
        <v>#N/A</v>
      </c>
      <c r="AD11" s="323" t="e">
        <f t="shared" ca="1" si="26"/>
        <v>#N/A</v>
      </c>
      <c r="AE11" s="324">
        <f t="shared" ca="1" si="5"/>
        <v>580.6198824439814</v>
      </c>
      <c r="AG11" s="306">
        <f t="shared" ca="1" si="27"/>
        <v>-29.710496166188811</v>
      </c>
      <c r="AH11" s="304">
        <f t="shared" ca="1" si="28"/>
        <v>-20.21646574329047</v>
      </c>
    </row>
    <row r="12" spans="1:248" x14ac:dyDescent="0.2">
      <c r="A12" s="347">
        <f t="shared" ca="1" si="6"/>
        <v>0.01</v>
      </c>
      <c r="B12" s="304">
        <f t="shared" ca="1" si="7"/>
        <v>0.08</v>
      </c>
      <c r="D12" s="306">
        <f t="shared" ca="1" si="8"/>
        <v>-5.0721906259222536</v>
      </c>
      <c r="E12" s="307">
        <f t="shared" ca="1" si="9"/>
        <v>-29.295488417029475</v>
      </c>
      <c r="F12" s="304">
        <f t="shared" ca="1" si="10"/>
        <v>29.731343046320692</v>
      </c>
      <c r="G12" s="306">
        <f t="shared" ca="1" si="11"/>
        <v>38.409412780428589</v>
      </c>
      <c r="H12" s="307">
        <f t="shared" ca="1" si="12"/>
        <v>147.45671862471647</v>
      </c>
      <c r="I12" s="304">
        <f t="shared" ca="1" si="13"/>
        <v>152.37705489248097</v>
      </c>
      <c r="J12" s="306">
        <f t="shared" ca="1" si="14"/>
        <v>135.1652944366644</v>
      </c>
      <c r="K12" s="307">
        <f t="shared" ca="1" si="15"/>
        <v>582.09591440464942</v>
      </c>
      <c r="L12" s="304">
        <f t="shared" ca="1" si="0"/>
        <v>597.58288997153784</v>
      </c>
      <c r="M12" s="306">
        <f t="shared" ca="1" si="16"/>
        <v>1.315979433687068</v>
      </c>
      <c r="N12" s="304">
        <f t="shared" ca="1" si="17"/>
        <v>75.400067476285187</v>
      </c>
      <c r="P12" s="310">
        <f t="shared" ca="1" si="18"/>
        <v>1</v>
      </c>
      <c r="Q12" s="304">
        <f t="shared" ca="1" si="19"/>
        <v>7.4999999999999989E-3</v>
      </c>
      <c r="R12" s="306">
        <f t="shared" ca="1" si="20"/>
        <v>7.4999999999999991E-4</v>
      </c>
      <c r="S12" s="307">
        <f t="shared" ca="1" si="21"/>
        <v>4.3410680000000008</v>
      </c>
      <c r="T12" s="304">
        <f t="shared" ca="1" si="1"/>
        <v>42.58587708000001</v>
      </c>
      <c r="U12" s="311">
        <f t="shared" ca="1" si="2"/>
        <v>0</v>
      </c>
      <c r="V12" s="306">
        <f t="shared" ca="1" si="3"/>
        <v>1.1557099239930522</v>
      </c>
      <c r="W12" s="304">
        <f t="shared" ca="1" si="4"/>
        <v>87.062355361186434</v>
      </c>
      <c r="Y12" s="314" t="str">
        <f t="shared" ca="1" si="22"/>
        <v/>
      </c>
      <c r="Z12" s="315" t="str">
        <f t="shared" ca="1" si="23"/>
        <v/>
      </c>
      <c r="AA12" s="316" t="str">
        <f t="shared" ca="1" si="24"/>
        <v/>
      </c>
      <c r="AC12" s="310" t="e">
        <f t="shared" ca="1" si="25"/>
        <v>#N/A</v>
      </c>
      <c r="AD12" s="323" t="e">
        <f t="shared" ca="1" si="26"/>
        <v>#N/A</v>
      </c>
      <c r="AE12" s="324">
        <f t="shared" ca="1" si="5"/>
        <v>582.09591440464942</v>
      </c>
      <c r="AG12" s="306">
        <f t="shared" ca="1" si="27"/>
        <v>-29.62846072356276</v>
      </c>
      <c r="AH12" s="304">
        <f t="shared" ca="1" si="28"/>
        <v>-20.134829937098633</v>
      </c>
    </row>
    <row r="13" spans="1:248" x14ac:dyDescent="0.2">
      <c r="A13" s="347">
        <f t="shared" ca="1" si="6"/>
        <v>0.01</v>
      </c>
      <c r="B13" s="304">
        <f t="shared" ca="1" si="7"/>
        <v>0.09</v>
      </c>
      <c r="D13" s="306">
        <f t="shared" ca="1" si="8"/>
        <v>-5.0548743324317096</v>
      </c>
      <c r="E13" s="307">
        <f t="shared" ca="1" si="9"/>
        <v>-29.216055135018571</v>
      </c>
      <c r="F13" s="304">
        <f t="shared" ca="1" si="10"/>
        <v>29.650120272422541</v>
      </c>
      <c r="G13" s="306">
        <f t="shared" ca="1" si="11"/>
        <v>38.358864037104269</v>
      </c>
      <c r="H13" s="307">
        <f t="shared" ca="1" si="12"/>
        <v>147.16455807336629</v>
      </c>
      <c r="I13" s="304">
        <f t="shared" ca="1" si="13"/>
        <v>152.08158863960571</v>
      </c>
      <c r="J13" s="306">
        <f t="shared" ca="1" si="14"/>
        <v>135.54913582075207</v>
      </c>
      <c r="K13" s="307">
        <f t="shared" ca="1" si="15"/>
        <v>583.56902078813982</v>
      </c>
      <c r="L13" s="304">
        <f t="shared" ca="1" si="0"/>
        <v>599.10464048059339</v>
      </c>
      <c r="M13" s="306">
        <f t="shared" ca="1" si="16"/>
        <v>1.3158168374610975</v>
      </c>
      <c r="N13" s="304">
        <f t="shared" ca="1" si="17"/>
        <v>75.390751398772323</v>
      </c>
      <c r="P13" s="310">
        <f t="shared" ca="1" si="18"/>
        <v>1</v>
      </c>
      <c r="Q13" s="304">
        <f t="shared" ca="1" si="19"/>
        <v>8.4999999999999989E-3</v>
      </c>
      <c r="R13" s="306">
        <f t="shared" ca="1" si="20"/>
        <v>8.4999999999999984E-4</v>
      </c>
      <c r="S13" s="307">
        <f t="shared" ca="1" si="21"/>
        <v>4.341059500000001</v>
      </c>
      <c r="T13" s="304">
        <f t="shared" ca="1" si="1"/>
        <v>42.585793695000014</v>
      </c>
      <c r="U13" s="311">
        <f t="shared" ca="1" si="2"/>
        <v>0</v>
      </c>
      <c r="V13" s="306">
        <f t="shared" ca="1" si="3"/>
        <v>1.1555395434831059</v>
      </c>
      <c r="W13" s="304">
        <f t="shared" ca="1" si="4"/>
        <v>86.712261292027264</v>
      </c>
      <c r="Y13" s="314" t="str">
        <f t="shared" ca="1" si="22"/>
        <v/>
      </c>
      <c r="Z13" s="315" t="str">
        <f t="shared" ca="1" si="23"/>
        <v/>
      </c>
      <c r="AA13" s="316" t="str">
        <f t="shared" ca="1" si="24"/>
        <v/>
      </c>
      <c r="AC13" s="310" t="e">
        <f t="shared" ca="1" si="25"/>
        <v>#N/A</v>
      </c>
      <c r="AD13" s="323" t="e">
        <f t="shared" ca="1" si="26"/>
        <v>#N/A</v>
      </c>
      <c r="AE13" s="324">
        <f t="shared" ca="1" si="5"/>
        <v>583.56902078813982</v>
      </c>
      <c r="AG13" s="306">
        <f t="shared" ca="1" si="27"/>
        <v>-29.546826320623175</v>
      </c>
      <c r="AH13" s="304">
        <f t="shared" ca="1" si="28"/>
        <v>-20.053596446025772</v>
      </c>
    </row>
    <row r="14" spans="1:248" x14ac:dyDescent="0.2">
      <c r="A14" s="347">
        <f t="shared" ca="1" si="6"/>
        <v>0.01</v>
      </c>
      <c r="B14" s="304">
        <f t="shared" ca="1" si="7"/>
        <v>9.9999999999999992E-2</v>
      </c>
      <c r="D14" s="306">
        <f t="shared" ca="1" si="8"/>
        <v>-5.0376412667942372</v>
      </c>
      <c r="E14" s="307">
        <f t="shared" ca="1" si="9"/>
        <v>-29.137012657173912</v>
      </c>
      <c r="F14" s="304">
        <f t="shared" ca="1" si="10"/>
        <v>29.569297186731053</v>
      </c>
      <c r="G14" s="306">
        <f t="shared" ca="1" si="11"/>
        <v>38.308487624436324</v>
      </c>
      <c r="H14" s="307">
        <f t="shared" ca="1" si="12"/>
        <v>146.87318794679456</v>
      </c>
      <c r="I14" s="304">
        <f t="shared" ca="1" si="13"/>
        <v>151.78693475304794</v>
      </c>
      <c r="J14" s="306">
        <f t="shared" ca="1" si="14"/>
        <v>135.93247257905978</v>
      </c>
      <c r="K14" s="307">
        <f t="shared" ca="1" si="15"/>
        <v>585.03920951824068</v>
      </c>
      <c r="L14" s="304">
        <f t="shared" ca="1" si="0"/>
        <v>600.62343758396969</v>
      </c>
      <c r="M14" s="306">
        <f t="shared" ca="1" si="16"/>
        <v>1.3156538239072637</v>
      </c>
      <c r="N14" s="304">
        <f t="shared" ca="1" si="17"/>
        <v>75.38141141013422</v>
      </c>
      <c r="P14" s="310">
        <f t="shared" ca="1" si="18"/>
        <v>1</v>
      </c>
      <c r="Q14" s="304">
        <f t="shared" ca="1" si="19"/>
        <v>9.499999999999998E-3</v>
      </c>
      <c r="R14" s="306">
        <f t="shared" ca="1" si="20"/>
        <v>9.4999999999999978E-4</v>
      </c>
      <c r="S14" s="307">
        <f t="shared" ca="1" si="21"/>
        <v>4.341050000000001</v>
      </c>
      <c r="T14" s="304">
        <f t="shared" ca="1" si="1"/>
        <v>42.585700500000009</v>
      </c>
      <c r="U14" s="311">
        <f t="shared" ca="1" si="2"/>
        <v>0</v>
      </c>
      <c r="V14" s="306">
        <f t="shared" ca="1" si="3"/>
        <v>1.1553695247441198</v>
      </c>
      <c r="W14" s="304">
        <f t="shared" ca="1" si="4"/>
        <v>86.363872658771413</v>
      </c>
      <c r="Y14" s="314" t="str">
        <f t="shared" ca="1" si="22"/>
        <v/>
      </c>
      <c r="Z14" s="315" t="str">
        <f t="shared" ca="1" si="23"/>
        <v/>
      </c>
      <c r="AA14" s="316" t="str">
        <f t="shared" ca="1" si="24"/>
        <v/>
      </c>
      <c r="AC14" s="310" t="e">
        <f t="shared" ca="1" si="25"/>
        <v>#N/A</v>
      </c>
      <c r="AD14" s="323" t="e">
        <f t="shared" ca="1" si="26"/>
        <v>#N/A</v>
      </c>
      <c r="AE14" s="324">
        <f t="shared" ca="1" si="5"/>
        <v>585.03920951824068</v>
      </c>
      <c r="AG14" s="306">
        <f t="shared" ca="1" si="27"/>
        <v>-29.465590330667673</v>
      </c>
      <c r="AH14" s="304">
        <f t="shared" ca="1" si="28"/>
        <v>-19.972762647752788</v>
      </c>
    </row>
    <row r="15" spans="1:248" x14ac:dyDescent="0.2">
      <c r="A15" s="347">
        <f t="shared" ca="1" si="6"/>
        <v>0.01</v>
      </c>
      <c r="B15" s="304">
        <f t="shared" ca="1" si="7"/>
        <v>0.10999999999999999</v>
      </c>
      <c r="D15" s="306">
        <f t="shared" ca="1" si="8"/>
        <v>-5.0205478657971625</v>
      </c>
      <c r="E15" s="307">
        <f t="shared" ca="1" si="9"/>
        <v>-29.058576908547565</v>
      </c>
      <c r="F15" s="304">
        <f t="shared" ca="1" si="10"/>
        <v>29.489096168291326</v>
      </c>
      <c r="G15" s="306">
        <f t="shared" ca="1" si="11"/>
        <v>38.258282145778352</v>
      </c>
      <c r="H15" s="307">
        <f t="shared" ca="1" si="12"/>
        <v>146.58260217770908</v>
      </c>
      <c r="I15" s="304">
        <f t="shared" ca="1" si="13"/>
        <v>151.49308701698075</v>
      </c>
      <c r="J15" s="306">
        <f t="shared" ca="1" si="14"/>
        <v>136.31530642791085</v>
      </c>
      <c r="K15" s="307">
        <f t="shared" ca="1" si="15"/>
        <v>586.50648846886315</v>
      </c>
      <c r="L15" s="304">
        <f t="shared" ca="1" si="0"/>
        <v>602.13928935306319</v>
      </c>
      <c r="M15" s="306">
        <f t="shared" ca="1" si="16"/>
        <v>1.3154903920146623</v>
      </c>
      <c r="N15" s="304">
        <f t="shared" ca="1" si="17"/>
        <v>75.372047452450317</v>
      </c>
      <c r="P15" s="310">
        <f t="shared" ca="1" si="18"/>
        <v>2</v>
      </c>
      <c r="Q15" s="304">
        <f t="shared" ca="1" si="19"/>
        <v>9.5000000000000032E-3</v>
      </c>
      <c r="R15" s="306">
        <f t="shared" ca="1" si="20"/>
        <v>9.5000000000000032E-4</v>
      </c>
      <c r="S15" s="307">
        <f t="shared" ca="1" si="21"/>
        <v>4.341040500000001</v>
      </c>
      <c r="T15" s="304">
        <f t="shared" ca="1" si="1"/>
        <v>42.585607305000011</v>
      </c>
      <c r="U15" s="311">
        <f t="shared" ca="1" si="2"/>
        <v>0</v>
      </c>
      <c r="V15" s="306">
        <f t="shared" ca="1" si="3"/>
        <v>1.1551998667159196</v>
      </c>
      <c r="W15" s="304">
        <f t="shared" ca="1" si="4"/>
        <v>86.017175928624454</v>
      </c>
      <c r="Y15" s="314" t="str">
        <f t="shared" ca="1" si="22"/>
        <v/>
      </c>
      <c r="Z15" s="315" t="str">
        <f t="shared" ca="1" si="23"/>
        <v/>
      </c>
      <c r="AA15" s="316" t="str">
        <f t="shared" ca="1" si="24"/>
        <v/>
      </c>
      <c r="AC15" s="310" t="e">
        <f t="shared" ca="1" si="25"/>
        <v>#N/A</v>
      </c>
      <c r="AD15" s="323" t="e">
        <f t="shared" ca="1" si="26"/>
        <v>#N/A</v>
      </c>
      <c r="AE15" s="324">
        <f t="shared" ca="1" si="5"/>
        <v>586.50648846886315</v>
      </c>
      <c r="AG15" s="306">
        <f t="shared" ca="1" si="27"/>
        <v>-29.384975925608828</v>
      </c>
      <c r="AH15" s="304">
        <f t="shared" ca="1" si="28"/>
        <v>-19.892551718596359</v>
      </c>
    </row>
    <row r="16" spans="1:248" x14ac:dyDescent="0.2">
      <c r="A16" s="347">
        <f t="shared" ca="1" si="6"/>
        <v>0.01</v>
      </c>
      <c r="B16" s="304">
        <f t="shared" ca="1" si="7"/>
        <v>0.11999999999999998</v>
      </c>
      <c r="D16" s="306">
        <f t="shared" ca="1" si="8"/>
        <v>-5.0035924080320102</v>
      </c>
      <c r="E16" s="307">
        <f t="shared" ca="1" si="9"/>
        <v>-28.980740406254583</v>
      </c>
      <c r="F16" s="304">
        <f t="shared" ca="1" si="10"/>
        <v>29.409509541650515</v>
      </c>
      <c r="G16" s="306">
        <f t="shared" ca="1" si="11"/>
        <v>38.208246221698033</v>
      </c>
      <c r="H16" s="307">
        <f t="shared" ca="1" si="12"/>
        <v>146.29279477364653</v>
      </c>
      <c r="I16" s="304">
        <f t="shared" ca="1" si="13"/>
        <v>151.20003929239624</v>
      </c>
      <c r="J16" s="306">
        <f t="shared" ca="1" si="14"/>
        <v>136.69763906974825</v>
      </c>
      <c r="K16" s="307">
        <f t="shared" ca="1" si="15"/>
        <v>587.97086545361992</v>
      </c>
      <c r="L16" s="304">
        <f t="shared" ca="1" si="0"/>
        <v>603.65220379745324</v>
      </c>
      <c r="M16" s="306">
        <f t="shared" ca="1" si="16"/>
        <v>1.3153265407659354</v>
      </c>
      <c r="N16" s="304">
        <f t="shared" ca="1" si="17"/>
        <v>75.362659467430319</v>
      </c>
      <c r="P16" s="310">
        <f t="shared" ca="1" si="18"/>
        <v>2</v>
      </c>
      <c r="Q16" s="304">
        <f t="shared" ca="1" si="19"/>
        <v>8.5000000000000041E-3</v>
      </c>
      <c r="R16" s="306">
        <f t="shared" ca="1" si="20"/>
        <v>8.5000000000000039E-4</v>
      </c>
      <c r="S16" s="307">
        <f t="shared" ca="1" si="21"/>
        <v>4.3410320000000011</v>
      </c>
      <c r="T16" s="304">
        <f t="shared" ca="1" si="1"/>
        <v>42.585523920000014</v>
      </c>
      <c r="U16" s="311">
        <f t="shared" ca="1" si="2"/>
        <v>0</v>
      </c>
      <c r="V16" s="306">
        <f t="shared" ca="1" si="3"/>
        <v>1.1550305683461717</v>
      </c>
      <c r="W16" s="304">
        <f t="shared" ca="1" si="4"/>
        <v>85.672157737352805</v>
      </c>
      <c r="Y16" s="314" t="str">
        <f t="shared" ca="1" si="22"/>
        <v/>
      </c>
      <c r="Z16" s="315" t="str">
        <f t="shared" ca="1" si="23"/>
        <v/>
      </c>
      <c r="AA16" s="316" t="str">
        <f t="shared" ca="1" si="24"/>
        <v/>
      </c>
      <c r="AC16" s="310" t="e">
        <f t="shared" ca="1" si="25"/>
        <v>#N/A</v>
      </c>
      <c r="AD16" s="323" t="e">
        <f t="shared" ca="1" si="26"/>
        <v>#N/A</v>
      </c>
      <c r="AE16" s="324">
        <f t="shared" ca="1" si="5"/>
        <v>587.97086545361992</v>
      </c>
      <c r="AG16" s="306">
        <f t="shared" ca="1" si="27"/>
        <v>-29.304975423577034</v>
      </c>
      <c r="AH16" s="304">
        <f t="shared" ca="1" si="28"/>
        <v>-19.812955981117955</v>
      </c>
    </row>
    <row r="17" spans="1:34" x14ac:dyDescent="0.2">
      <c r="A17" s="347">
        <f t="shared" ca="1" si="6"/>
        <v>0.01</v>
      </c>
      <c r="B17" s="304">
        <f t="shared" ca="1" si="7"/>
        <v>0.12999999999999998</v>
      </c>
      <c r="D17" s="306">
        <f t="shared" ca="1" si="8"/>
        <v>-4.9867161334137844</v>
      </c>
      <c r="E17" s="307">
        <f t="shared" ca="1" si="9"/>
        <v>-28.903277290640169</v>
      </c>
      <c r="F17" s="304">
        <f t="shared" ca="1" si="10"/>
        <v>29.330304736481771</v>
      </c>
      <c r="G17" s="306">
        <f t="shared" ca="1" si="11"/>
        <v>38.158379060363899</v>
      </c>
      <c r="H17" s="307">
        <f t="shared" ca="1" si="12"/>
        <v>146.00376200074012</v>
      </c>
      <c r="I17" s="304">
        <f t="shared" ca="1" si="13"/>
        <v>150.90778777413439</v>
      </c>
      <c r="J17" s="306">
        <f t="shared" ca="1" si="14"/>
        <v>137.07947219615855</v>
      </c>
      <c r="K17" s="307">
        <f t="shared" ca="1" si="15"/>
        <v>589.43234823749185</v>
      </c>
      <c r="L17" s="304">
        <f t="shared" ca="1" si="0"/>
        <v>605.16218887694993</v>
      </c>
      <c r="M17" s="306">
        <f t="shared" ca="1" si="16"/>
        <v>1.3151622691397211</v>
      </c>
      <c r="N17" s="304">
        <f t="shared" ca="1" si="17"/>
        <v>75.353247396554494</v>
      </c>
      <c r="P17" s="310">
        <f t="shared" ca="1" si="18"/>
        <v>2</v>
      </c>
      <c r="Q17" s="304">
        <f t="shared" ca="1" si="19"/>
        <v>7.5000000000000032E-3</v>
      </c>
      <c r="R17" s="306">
        <f t="shared" ca="1" si="20"/>
        <v>7.5000000000000034E-4</v>
      </c>
      <c r="S17" s="307">
        <f t="shared" ca="1" si="21"/>
        <v>4.3410245000000014</v>
      </c>
      <c r="T17" s="304">
        <f t="shared" ca="1" si="1"/>
        <v>42.585450345000012</v>
      </c>
      <c r="U17" s="311">
        <f t="shared" ca="1" si="2"/>
        <v>0</v>
      </c>
      <c r="V17" s="306">
        <f t="shared" ca="1" si="3"/>
        <v>1.1548616285890234</v>
      </c>
      <c r="W17" s="304">
        <f t="shared" ca="1" si="4"/>
        <v>85.328807440203335</v>
      </c>
      <c r="Y17" s="314" t="str">
        <f t="shared" ca="1" si="22"/>
        <v/>
      </c>
      <c r="Z17" s="315" t="str">
        <f t="shared" ca="1" si="23"/>
        <v/>
      </c>
      <c r="AA17" s="316" t="str">
        <f t="shared" ca="1" si="24"/>
        <v/>
      </c>
      <c r="AC17" s="310" t="e">
        <f t="shared" ca="1" si="25"/>
        <v>#N/A</v>
      </c>
      <c r="AD17" s="323" t="e">
        <f t="shared" ca="1" si="26"/>
        <v>#N/A</v>
      </c>
      <c r="AE17" s="324">
        <f t="shared" ca="1" si="5"/>
        <v>589.43234823749185</v>
      </c>
      <c r="AG17" s="306">
        <f t="shared" ca="1" si="27"/>
        <v>-29.22535543977753</v>
      </c>
      <c r="AH17" s="304">
        <f t="shared" ca="1" si="28"/>
        <v>-19.733742054980979</v>
      </c>
    </row>
    <row r="18" spans="1:34" x14ac:dyDescent="0.2">
      <c r="A18" s="347">
        <f t="shared" ca="1" si="6"/>
        <v>0.01</v>
      </c>
      <c r="B18" s="304">
        <f t="shared" ca="1" si="7"/>
        <v>0.13999999999999999</v>
      </c>
      <c r="D18" s="306">
        <f t="shared" ca="1" si="8"/>
        <v>-4.9699185413310634</v>
      </c>
      <c r="E18" s="307">
        <f t="shared" ca="1" si="9"/>
        <v>-28.826185219075349</v>
      </c>
      <c r="F18" s="304">
        <f t="shared" ca="1" si="10"/>
        <v>29.251479357323184</v>
      </c>
      <c r="G18" s="306">
        <f t="shared" ca="1" si="11"/>
        <v>38.108679874950589</v>
      </c>
      <c r="H18" s="307">
        <f t="shared" ca="1" si="12"/>
        <v>145.71550014854938</v>
      </c>
      <c r="I18" s="304">
        <f t="shared" ca="1" si="13"/>
        <v>150.6163286810343</v>
      </c>
      <c r="J18" s="306">
        <f t="shared" ca="1" si="14"/>
        <v>137.46080749083512</v>
      </c>
      <c r="K18" s="307">
        <f t="shared" ca="1" si="15"/>
        <v>590.89094454823828</v>
      </c>
      <c r="L18" s="304">
        <f t="shared" ca="1" si="0"/>
        <v>606.66925251337864</v>
      </c>
      <c r="M18" s="306">
        <f t="shared" ca="1" si="16"/>
        <v>1.3149975761106383</v>
      </c>
      <c r="N18" s="304">
        <f t="shared" ca="1" si="17"/>
        <v>75.343811181072823</v>
      </c>
      <c r="P18" s="310">
        <f t="shared" ca="1" si="18"/>
        <v>2</v>
      </c>
      <c r="Q18" s="304">
        <f t="shared" ca="1" si="19"/>
        <v>6.5000000000000023E-3</v>
      </c>
      <c r="R18" s="306">
        <f t="shared" ca="1" si="20"/>
        <v>6.5000000000000019E-4</v>
      </c>
      <c r="S18" s="307">
        <f t="shared" ca="1" si="21"/>
        <v>4.3410180000000018</v>
      </c>
      <c r="T18" s="304">
        <f t="shared" ca="1" si="1"/>
        <v>42.585386580000019</v>
      </c>
      <c r="U18" s="311">
        <f t="shared" ca="1" si="2"/>
        <v>0</v>
      </c>
      <c r="V18" s="306">
        <f t="shared" ca="1" si="3"/>
        <v>1.1546930464037797</v>
      </c>
      <c r="W18" s="304">
        <f t="shared" ca="1" si="4"/>
        <v>84.987114477196698</v>
      </c>
      <c r="Y18" s="314" t="str">
        <f t="shared" ca="1" si="22"/>
        <v/>
      </c>
      <c r="Z18" s="315" t="str">
        <f t="shared" ca="1" si="23"/>
        <v/>
      </c>
      <c r="AA18" s="316" t="str">
        <f t="shared" ca="1" si="24"/>
        <v/>
      </c>
      <c r="AC18" s="310" t="e">
        <f t="shared" ca="1" si="25"/>
        <v>#N/A</v>
      </c>
      <c r="AD18" s="323" t="e">
        <f t="shared" ca="1" si="26"/>
        <v>#N/A</v>
      </c>
      <c r="AE18" s="324">
        <f t="shared" ca="1" si="5"/>
        <v>590.89094454823828</v>
      </c>
      <c r="AG18" s="306">
        <f t="shared" ca="1" si="27"/>
        <v>-29.146113574320477</v>
      </c>
      <c r="AH18" s="304">
        <f t="shared" ca="1" si="28"/>
        <v>-19.654907544774819</v>
      </c>
    </row>
    <row r="19" spans="1:34" x14ac:dyDescent="0.2">
      <c r="A19" s="347">
        <f t="shared" ca="1" si="6"/>
        <v>0.01</v>
      </c>
      <c r="B19" s="304">
        <f t="shared" ca="1" si="7"/>
        <v>0.15</v>
      </c>
      <c r="D19" s="306">
        <f t="shared" ca="1" si="8"/>
        <v>-4.9531991351407587</v>
      </c>
      <c r="E19" s="307">
        <f t="shared" ca="1" si="9"/>
        <v>-28.749461867500159</v>
      </c>
      <c r="F19" s="304">
        <f t="shared" ca="1" si="10"/>
        <v>29.173031027700993</v>
      </c>
      <c r="G19" s="306">
        <f t="shared" ca="1" si="11"/>
        <v>38.059147883599181</v>
      </c>
      <c r="H19" s="307">
        <f t="shared" ca="1" si="12"/>
        <v>145.42800552987438</v>
      </c>
      <c r="I19" s="304">
        <f t="shared" ca="1" si="13"/>
        <v>150.32565825574437</v>
      </c>
      <c r="J19" s="306">
        <f t="shared" ca="1" si="14"/>
        <v>137.84164662962786</v>
      </c>
      <c r="K19" s="307">
        <f t="shared" ca="1" si="15"/>
        <v>592.34666207663042</v>
      </c>
      <c r="L19" s="304">
        <f t="shared" ca="1" si="0"/>
        <v>608.17340259081789</v>
      </c>
      <c r="M19" s="306">
        <f t="shared" ca="1" si="16"/>
        <v>1.3148324606492683</v>
      </c>
      <c r="N19" s="304">
        <f t="shared" ca="1" si="17"/>
        <v>75.334350762003965</v>
      </c>
      <c r="P19" s="310">
        <f t="shared" ca="1" si="18"/>
        <v>2</v>
      </c>
      <c r="Q19" s="304">
        <f t="shared" ca="1" si="19"/>
        <v>5.5000000000000023E-3</v>
      </c>
      <c r="R19" s="306">
        <f t="shared" ca="1" si="20"/>
        <v>5.5000000000000025E-4</v>
      </c>
      <c r="S19" s="307">
        <f t="shared" ca="1" si="21"/>
        <v>4.3410125000000015</v>
      </c>
      <c r="T19" s="304">
        <f t="shared" ca="1" si="1"/>
        <v>42.585332625000014</v>
      </c>
      <c r="U19" s="311">
        <f t="shared" ca="1" si="2"/>
        <v>0</v>
      </c>
      <c r="V19" s="306">
        <f t="shared" ca="1" si="3"/>
        <v>1.1545248207548682</v>
      </c>
      <c r="W19" s="304">
        <f t="shared" ca="1" si="4"/>
        <v>84.647068372318031</v>
      </c>
      <c r="Y19" s="314" t="str">
        <f t="shared" ca="1" si="22"/>
        <v/>
      </c>
      <c r="Z19" s="315" t="str">
        <f t="shared" ca="1" si="23"/>
        <v/>
      </c>
      <c r="AA19" s="316" t="str">
        <f t="shared" ca="1" si="24"/>
        <v/>
      </c>
      <c r="AC19" s="310" t="e">
        <f t="shared" ca="1" si="25"/>
        <v>#N/A</v>
      </c>
      <c r="AD19" s="323" t="e">
        <f t="shared" ca="1" si="26"/>
        <v>#N/A</v>
      </c>
      <c r="AE19" s="324">
        <f t="shared" ca="1" si="5"/>
        <v>592.34666207663042</v>
      </c>
      <c r="AG19" s="306">
        <f t="shared" ca="1" si="27"/>
        <v>-29.067247446283531</v>
      </c>
      <c r="AH19" s="304">
        <f t="shared" ca="1" si="28"/>
        <v>-19.576450074077574</v>
      </c>
    </row>
    <row r="20" spans="1:34" x14ac:dyDescent="0.2">
      <c r="A20" s="347">
        <f t="shared" ca="1" si="6"/>
        <v>0.01</v>
      </c>
      <c r="B20" s="304">
        <f t="shared" ca="1" si="7"/>
        <v>0.16</v>
      </c>
      <c r="D20" s="306">
        <f t="shared" ca="1" si="8"/>
        <v>-4.9365574221303259</v>
      </c>
      <c r="E20" s="307">
        <f t="shared" ca="1" si="9"/>
        <v>-28.673104930246794</v>
      </c>
      <c r="F20" s="304">
        <f t="shared" ca="1" si="10"/>
        <v>29.094957389948743</v>
      </c>
      <c r="G20" s="306">
        <f t="shared" ca="1" si="11"/>
        <v>38.009782309377876</v>
      </c>
      <c r="H20" s="307">
        <f t="shared" ca="1" si="12"/>
        <v>145.14127448057192</v>
      </c>
      <c r="I20" s="304">
        <f t="shared" ca="1" si="13"/>
        <v>150.03577276453444</v>
      </c>
      <c r="J20" s="306">
        <f t="shared" ca="1" si="14"/>
        <v>138.22199128059273</v>
      </c>
      <c r="K20" s="307">
        <f t="shared" ca="1" si="15"/>
        <v>593.7995084766826</v>
      </c>
      <c r="L20" s="304">
        <f t="shared" ca="1" si="0"/>
        <v>609.6746469558351</v>
      </c>
      <c r="M20" s="306">
        <f t="shared" ca="1" si="16"/>
        <v>1.3146669217221369</v>
      </c>
      <c r="N20" s="304">
        <f t="shared" ca="1" si="17"/>
        <v>75.324866080134214</v>
      </c>
      <c r="P20" s="310">
        <f t="shared" ca="1" si="18"/>
        <v>2</v>
      </c>
      <c r="Q20" s="304">
        <f t="shared" ca="1" si="19"/>
        <v>4.5000000000000014E-3</v>
      </c>
      <c r="R20" s="306">
        <f t="shared" ca="1" si="20"/>
        <v>4.5000000000000015E-4</v>
      </c>
      <c r="S20" s="307">
        <f t="shared" ca="1" si="21"/>
        <v>4.3410080000000013</v>
      </c>
      <c r="T20" s="304">
        <f t="shared" ca="1" si="1"/>
        <v>42.585288480000017</v>
      </c>
      <c r="U20" s="311">
        <f t="shared" ca="1" si="2"/>
        <v>0</v>
      </c>
      <c r="V20" s="306">
        <f t="shared" ca="1" si="3"/>
        <v>1.1543569506118068</v>
      </c>
      <c r="W20" s="304">
        <f t="shared" ca="1" si="4"/>
        <v>84.308658732716751</v>
      </c>
      <c r="Y20" s="314" t="str">
        <f t="shared" ca="1" si="22"/>
        <v/>
      </c>
      <c r="Z20" s="315" t="str">
        <f t="shared" ca="1" si="23"/>
        <v/>
      </c>
      <c r="AA20" s="316" t="str">
        <f t="shared" ca="1" si="24"/>
        <v/>
      </c>
      <c r="AC20" s="310" t="e">
        <f t="shared" ca="1" si="25"/>
        <v>#N/A</v>
      </c>
      <c r="AD20" s="323" t="e">
        <f t="shared" ca="1" si="26"/>
        <v>#N/A</v>
      </c>
      <c r="AE20" s="324">
        <f t="shared" ca="1" si="5"/>
        <v>593.7995084766826</v>
      </c>
      <c r="AG20" s="306">
        <f t="shared" ca="1" si="27"/>
        <v>-28.988754693530929</v>
      </c>
      <c r="AH20" s="304">
        <f t="shared" ca="1" si="28"/>
        <v>-19.498367285275219</v>
      </c>
    </row>
    <row r="21" spans="1:34" x14ac:dyDescent="0.2">
      <c r="A21" s="347">
        <f t="shared" ca="1" si="6"/>
        <v>0.01</v>
      </c>
      <c r="B21" s="304">
        <f t="shared" ca="1" si="7"/>
        <v>0.17</v>
      </c>
      <c r="D21" s="306">
        <f t="shared" ca="1" si="8"/>
        <v>-4.9199929134804501</v>
      </c>
      <c r="E21" s="307">
        <f t="shared" ca="1" si="9"/>
        <v>-28.597112119864775</v>
      </c>
      <c r="F21" s="304">
        <f t="shared" ca="1" si="10"/>
        <v>29.017256105028515</v>
      </c>
      <c r="G21" s="306">
        <f t="shared" ca="1" si="11"/>
        <v>37.960582380243068</v>
      </c>
      <c r="H21" s="307">
        <f t="shared" ca="1" si="12"/>
        <v>144.85530335937327</v>
      </c>
      <c r="I21" s="304">
        <f t="shared" ca="1" si="13"/>
        <v>149.74666849710974</v>
      </c>
      <c r="J21" s="306">
        <f t="shared" ca="1" si="14"/>
        <v>138.60184310404082</v>
      </c>
      <c r="K21" s="307">
        <f t="shared" ca="1" si="15"/>
        <v>595.24949136588236</v>
      </c>
      <c r="L21" s="304">
        <f t="shared" ca="1" si="0"/>
        <v>611.17299341772195</v>
      </c>
      <c r="M21" s="306">
        <f t="shared" ca="1" si="16"/>
        <v>1.3145009582916982</v>
      </c>
      <c r="N21" s="304">
        <f t="shared" ca="1" si="17"/>
        <v>75.315357076016568</v>
      </c>
      <c r="P21" s="310">
        <f t="shared" ca="1" si="18"/>
        <v>2</v>
      </c>
      <c r="Q21" s="304">
        <f t="shared" ca="1" si="19"/>
        <v>3.5000000000000005E-3</v>
      </c>
      <c r="R21" s="306">
        <f t="shared" ca="1" si="20"/>
        <v>3.5000000000000005E-4</v>
      </c>
      <c r="S21" s="307">
        <f t="shared" ca="1" si="21"/>
        <v>4.3410045000000013</v>
      </c>
      <c r="T21" s="304">
        <f t="shared" ca="1" si="1"/>
        <v>42.585254145000015</v>
      </c>
      <c r="U21" s="311">
        <f t="shared" ca="1" si="2"/>
        <v>0</v>
      </c>
      <c r="V21" s="306">
        <f t="shared" ca="1" si="3"/>
        <v>1.1541894349491715</v>
      </c>
      <c r="W21" s="304">
        <f t="shared" ca="1" si="4"/>
        <v>83.97187524791542</v>
      </c>
      <c r="Y21" s="314" t="str">
        <f t="shared" ca="1" si="22"/>
        <v/>
      </c>
      <c r="Z21" s="315" t="str">
        <f t="shared" ca="1" si="23"/>
        <v/>
      </c>
      <c r="AA21" s="316" t="str">
        <f t="shared" ca="1" si="24"/>
        <v/>
      </c>
      <c r="AC21" s="310" t="e">
        <f t="shared" ca="1" si="25"/>
        <v>#N/A</v>
      </c>
      <c r="AD21" s="323" t="e">
        <f t="shared" ca="1" si="26"/>
        <v>#N/A</v>
      </c>
      <c r="AE21" s="324">
        <f t="shared" ca="1" si="5"/>
        <v>595.24949136588236</v>
      </c>
      <c r="AG21" s="306">
        <f t="shared" ca="1" si="27"/>
        <v>-28.910632972534597</v>
      </c>
      <c r="AH21" s="304">
        <f t="shared" ca="1" si="28"/>
        <v>-19.42065683938285</v>
      </c>
    </row>
    <row r="22" spans="1:34" x14ac:dyDescent="0.2">
      <c r="A22" s="347">
        <f t="shared" ca="1" si="6"/>
        <v>0.01</v>
      </c>
      <c r="B22" s="304">
        <f t="shared" ca="1" si="7"/>
        <v>0.18000000000000002</v>
      </c>
      <c r="D22" s="306">
        <f t="shared" ca="1" si="8"/>
        <v>-4.9035051242280838</v>
      </c>
      <c r="E22" s="307">
        <f t="shared" ca="1" si="9"/>
        <v>-28.521481166948107</v>
      </c>
      <c r="F22" s="304">
        <f t="shared" ca="1" si="10"/>
        <v>28.939924852354171</v>
      </c>
      <c r="G22" s="306">
        <f t="shared" ca="1" si="11"/>
        <v>37.91154732900079</v>
      </c>
      <c r="H22" s="307">
        <f t="shared" ca="1" si="12"/>
        <v>144.57008854770379</v>
      </c>
      <c r="I22" s="304">
        <f t="shared" ca="1" si="13"/>
        <v>149.4583417664266</v>
      </c>
      <c r="J22" s="306">
        <f t="shared" ca="1" si="14"/>
        <v>138.98120375258705</v>
      </c>
      <c r="K22" s="307">
        <f t="shared" ca="1" si="15"/>
        <v>596.69661832541772</v>
      </c>
      <c r="L22" s="304">
        <f t="shared" ca="1" si="0"/>
        <v>612.66844974872606</v>
      </c>
      <c r="M22" s="306">
        <f t="shared" ca="1" si="16"/>
        <v>1.3143345693163162</v>
      </c>
      <c r="N22" s="304">
        <f t="shared" ca="1" si="17"/>
        <v>75.305823689969671</v>
      </c>
      <c r="P22" s="310">
        <f t="shared" ca="1" si="18"/>
        <v>2</v>
      </c>
      <c r="Q22" s="304">
        <f t="shared" ca="1" si="19"/>
        <v>2.4999999999999996E-3</v>
      </c>
      <c r="R22" s="306">
        <f t="shared" ca="1" si="20"/>
        <v>2.4999999999999995E-4</v>
      </c>
      <c r="S22" s="307">
        <f t="shared" ca="1" si="21"/>
        <v>4.3410020000000014</v>
      </c>
      <c r="T22" s="304">
        <f t="shared" ca="1" si="1"/>
        <v>42.585229620000014</v>
      </c>
      <c r="U22" s="311">
        <f t="shared" ca="1" si="2"/>
        <v>0</v>
      </c>
      <c r="V22" s="306">
        <f t="shared" ca="1" si="3"/>
        <v>1.1540222727465637</v>
      </c>
      <c r="W22" s="304">
        <f t="shared" ca="1" si="4"/>
        <v>83.636707689027418</v>
      </c>
      <c r="Y22" s="314" t="str">
        <f t="shared" ca="1" si="22"/>
        <v/>
      </c>
      <c r="Z22" s="315" t="str">
        <f t="shared" ca="1" si="23"/>
        <v/>
      </c>
      <c r="AA22" s="316" t="str">
        <f t="shared" ca="1" si="24"/>
        <v/>
      </c>
      <c r="AC22" s="310" t="e">
        <f t="shared" ca="1" si="25"/>
        <v>#N/A</v>
      </c>
      <c r="AD22" s="323" t="e">
        <f t="shared" ca="1" si="26"/>
        <v>#N/A</v>
      </c>
      <c r="AE22" s="324">
        <f t="shared" ca="1" si="5"/>
        <v>596.69661832541772</v>
      </c>
      <c r="AG22" s="306">
        <f t="shared" ca="1" si="27"/>
        <v>-28.832879958197253</v>
      </c>
      <c r="AH22" s="304">
        <f t="shared" ca="1" si="28"/>
        <v>-19.343316415867903</v>
      </c>
    </row>
    <row r="23" spans="1:34" x14ac:dyDescent="0.2">
      <c r="A23" s="347">
        <f t="shared" ca="1" si="6"/>
        <v>0.01</v>
      </c>
      <c r="B23" s="304">
        <f t="shared" ca="1" si="7"/>
        <v>0.19000000000000003</v>
      </c>
      <c r="D23" s="306">
        <f t="shared" ca="1" si="8"/>
        <v>-4.8870935732299357</v>
      </c>
      <c r="E23" s="307">
        <f t="shared" ca="1" si="9"/>
        <v>-28.446209819964295</v>
      </c>
      <c r="F23" s="304">
        <f t="shared" ca="1" si="10"/>
        <v>28.862961329616514</v>
      </c>
      <c r="G23" s="306">
        <f t="shared" ca="1" si="11"/>
        <v>37.862676393268494</v>
      </c>
      <c r="H23" s="307">
        <f t="shared" ca="1" si="12"/>
        <v>144.28562644950415</v>
      </c>
      <c r="I23" s="304">
        <f t="shared" ca="1" si="13"/>
        <v>149.17078890850991</v>
      </c>
      <c r="J23" s="306">
        <f t="shared" ca="1" si="14"/>
        <v>139.36007487119841</v>
      </c>
      <c r="K23" s="307">
        <f t="shared" ca="1" si="15"/>
        <v>598.14089690040373</v>
      </c>
      <c r="L23" s="304">
        <f t="shared" ca="1" si="0"/>
        <v>614.16102368428221</v>
      </c>
      <c r="M23" s="306">
        <f t="shared" ca="1" si="16"/>
        <v>1.3141677537502476</v>
      </c>
      <c r="N23" s="304">
        <f t="shared" ca="1" si="17"/>
        <v>75.296265862076851</v>
      </c>
      <c r="P23" s="310">
        <f t="shared" ca="1" si="18"/>
        <v>2</v>
      </c>
      <c r="Q23" s="304">
        <f t="shared" ca="1" si="19"/>
        <v>1.4999999999999996E-3</v>
      </c>
      <c r="R23" s="306">
        <f t="shared" ca="1" si="20"/>
        <v>1.4999999999999996E-4</v>
      </c>
      <c r="S23" s="307">
        <f t="shared" ca="1" si="21"/>
        <v>4.3410005000000016</v>
      </c>
      <c r="T23" s="304">
        <f t="shared" ca="1" si="1"/>
        <v>42.585214905000015</v>
      </c>
      <c r="U23" s="311">
        <f t="shared" ca="1" si="2"/>
        <v>0</v>
      </c>
      <c r="V23" s="306">
        <f t="shared" ca="1" si="3"/>
        <v>1.1538554629885793</v>
      </c>
      <c r="W23" s="304">
        <f t="shared" ca="1" si="4"/>
        <v>83.303145907983065</v>
      </c>
      <c r="Y23" s="314" t="str">
        <f t="shared" ca="1" si="22"/>
        <v/>
      </c>
      <c r="Z23" s="315" t="str">
        <f t="shared" ca="1" si="23"/>
        <v/>
      </c>
      <c r="AA23" s="316" t="str">
        <f t="shared" ca="1" si="24"/>
        <v/>
      </c>
      <c r="AC23" s="310" t="e">
        <f t="shared" ca="1" si="25"/>
        <v>#N/A</v>
      </c>
      <c r="AD23" s="323" t="e">
        <f t="shared" ca="1" si="26"/>
        <v>#N/A</v>
      </c>
      <c r="AE23" s="324">
        <f t="shared" ca="1" si="5"/>
        <v>598.14089690040373</v>
      </c>
      <c r="AG23" s="306">
        <f t="shared" ca="1" si="27"/>
        <v>-28.755493343677529</v>
      </c>
      <c r="AH23" s="304">
        <f t="shared" ca="1" si="28"/>
        <v>-19.266343712475361</v>
      </c>
    </row>
    <row r="24" spans="1:34" x14ac:dyDescent="0.2">
      <c r="A24" s="347">
        <f t="shared" ca="1" si="6"/>
        <v>0.01</v>
      </c>
      <c r="B24" s="304">
        <f t="shared" ca="1" si="7"/>
        <v>0.20000000000000004</v>
      </c>
      <c r="D24" s="306">
        <f t="shared" ca="1" si="8"/>
        <v>-4.8707577831263427</v>
      </c>
      <c r="E24" s="307">
        <f t="shared" ca="1" si="9"/>
        <v>-28.371295845085271</v>
      </c>
      <c r="F24" s="304">
        <f t="shared" ca="1" si="10"/>
        <v>28.786363252610403</v>
      </c>
      <c r="G24" s="306">
        <f t="shared" ca="1" si="11"/>
        <v>37.813968815437228</v>
      </c>
      <c r="H24" s="307">
        <f t="shared" ca="1" si="12"/>
        <v>144.0019134910533</v>
      </c>
      <c r="I24" s="304">
        <f t="shared" ca="1" si="13"/>
        <v>148.88400628227217</v>
      </c>
      <c r="J24" s="306">
        <f t="shared" ca="1" si="14"/>
        <v>139.73845809724193</v>
      </c>
      <c r="K24" s="307">
        <f t="shared" ca="1" si="15"/>
        <v>599.58233460010649</v>
      </c>
      <c r="L24" s="304">
        <f t="shared" ca="1" si="0"/>
        <v>615.65072292324055</v>
      </c>
      <c r="M24" s="306">
        <f t="shared" ca="1" si="16"/>
        <v>1.3140005105436232</v>
      </c>
      <c r="N24" s="304">
        <f t="shared" ca="1" si="17"/>
        <v>75.286683532185037</v>
      </c>
      <c r="P24" s="310">
        <f t="shared" ca="1" si="18"/>
        <v>2</v>
      </c>
      <c r="Q24" s="304">
        <f t="shared" ca="1" si="19"/>
        <v>4.9999999999999871E-4</v>
      </c>
      <c r="R24" s="306">
        <f t="shared" ca="1" si="20"/>
        <v>4.9999999999999874E-5</v>
      </c>
      <c r="S24" s="307">
        <f t="shared" ca="1" si="21"/>
        <v>4.341000000000002</v>
      </c>
      <c r="T24" s="304">
        <f t="shared" ca="1" si="1"/>
        <v>42.585210000000025</v>
      </c>
      <c r="U24" s="311">
        <f t="shared" ca="1" si="2"/>
        <v>0</v>
      </c>
      <c r="V24" s="306">
        <f t="shared" ca="1" si="3"/>
        <v>1.1536890046647748</v>
      </c>
      <c r="W24" s="304">
        <f t="shared" ca="1" si="4"/>
        <v>82.97117983676435</v>
      </c>
      <c r="Y24" s="314" t="str">
        <f t="shared" ca="1" si="22"/>
        <v/>
      </c>
      <c r="Z24" s="315" t="str">
        <f t="shared" ca="1" si="23"/>
        <v/>
      </c>
      <c r="AA24" s="316" t="str">
        <f t="shared" ca="1" si="24"/>
        <v/>
      </c>
      <c r="AC24" s="310" t="e">
        <f t="shared" ca="1" si="25"/>
        <v>#N/A</v>
      </c>
      <c r="AD24" s="323" t="e">
        <f t="shared" ca="1" si="26"/>
        <v>#N/A</v>
      </c>
      <c r="AE24" s="324">
        <f t="shared" ca="1" si="5"/>
        <v>599.58233460010649</v>
      </c>
      <c r="AG24" s="306">
        <f t="shared" ca="1" si="27"/>
        <v>-28.678470840216882</v>
      </c>
      <c r="AH24" s="304">
        <f t="shared" ca="1" si="28"/>
        <v>-19.18973644505483</v>
      </c>
    </row>
    <row r="25" spans="1:34" x14ac:dyDescent="0.2">
      <c r="A25" s="347">
        <f t="shared" ca="1" si="6"/>
        <v>0.01</v>
      </c>
      <c r="B25" s="304">
        <f t="shared" ca="1" si="7"/>
        <v>0.21000000000000005</v>
      </c>
      <c r="D25" s="306">
        <f t="shared" ca="1" si="8"/>
        <v>-4.8544685855060807</v>
      </c>
      <c r="E25" s="307">
        <f t="shared" ca="1" si="9"/>
        <v>-28.296627751427678</v>
      </c>
      <c r="F25" s="304">
        <f t="shared" ca="1" si="10"/>
        <v>28.710015801990295</v>
      </c>
      <c r="G25" s="306">
        <f t="shared" ca="1" si="11"/>
        <v>37.765424129582165</v>
      </c>
      <c r="H25" s="307">
        <f t="shared" ca="1" si="12"/>
        <v>143.71894721353902</v>
      </c>
      <c r="I25" s="304">
        <f t="shared" ca="1" si="13"/>
        <v>148.59799139912775</v>
      </c>
      <c r="J25" s="306">
        <f t="shared" ca="1" si="14"/>
        <v>140.11635506196703</v>
      </c>
      <c r="K25" s="307">
        <f t="shared" ca="1" si="15"/>
        <v>601.02093890362949</v>
      </c>
      <c r="L25" s="304">
        <f t="shared" ca="1" si="0"/>
        <v>617.13755513374133</v>
      </c>
      <c r="M25" s="306">
        <f t="shared" ca="1" si="16"/>
        <v>1.3138328386437059</v>
      </c>
      <c r="N25" s="304">
        <f t="shared" ca="1" si="17"/>
        <v>75.277076639976841</v>
      </c>
      <c r="P25" s="310">
        <f t="shared" ca="1" si="18"/>
        <v>3</v>
      </c>
      <c r="Q25" s="304">
        <f t="shared" ca="1" si="19"/>
        <v>0</v>
      </c>
      <c r="R25" s="306">
        <f t="shared" ca="1" si="20"/>
        <v>0</v>
      </c>
      <c r="S25" s="307">
        <f t="shared" ca="1" si="21"/>
        <v>4.341000000000002</v>
      </c>
      <c r="T25" s="304">
        <f t="shared" ca="1" si="1"/>
        <v>42.585210000000025</v>
      </c>
      <c r="U25" s="311">
        <f t="shared" ca="1" si="2"/>
        <v>0</v>
      </c>
      <c r="V25" s="306">
        <f t="shared" ca="1" si="3"/>
        <v>1.1535228967690057</v>
      </c>
      <c r="W25" s="304">
        <f t="shared" ca="1" si="4"/>
        <v>82.64080074324211</v>
      </c>
      <c r="Y25" s="314" t="str">
        <f t="shared" ca="1" si="22"/>
        <v>Fin de propulsion</v>
      </c>
      <c r="Z25" s="315" t="str">
        <f t="shared" ca="1" si="23"/>
        <v/>
      </c>
      <c r="AA25" s="316" t="str">
        <f t="shared" ca="1" si="24"/>
        <v/>
      </c>
      <c r="AC25" s="310" t="e">
        <f t="shared" ca="1" si="25"/>
        <v>#N/A</v>
      </c>
      <c r="AD25" s="323" t="e">
        <f t="shared" ca="1" si="26"/>
        <v>#N/A</v>
      </c>
      <c r="AE25" s="324">
        <f t="shared" ca="1" si="5"/>
        <v>601.02093890362949</v>
      </c>
      <c r="AG25" s="306">
        <f t="shared" ca="1" si="27"/>
        <v>-28.601697197642636</v>
      </c>
      <c r="AH25" s="304">
        <f t="shared" ca="1" si="28"/>
        <v>-19.113379368063651</v>
      </c>
    </row>
    <row r="26" spans="1:34" x14ac:dyDescent="0.2">
      <c r="A26" s="347">
        <f t="shared" ca="1" si="6"/>
        <v>0.01</v>
      </c>
      <c r="B26" s="304">
        <f t="shared" ca="1" si="7"/>
        <v>0.22000000000000006</v>
      </c>
      <c r="D26" s="306">
        <f t="shared" ca="1" si="8"/>
        <v>-4.8382260796653425</v>
      </c>
      <c r="E26" s="307">
        <f t="shared" ca="1" si="9"/>
        <v>-28.222205729894554</v>
      </c>
      <c r="F26" s="304">
        <f t="shared" ca="1" si="10"/>
        <v>28.633919184394699</v>
      </c>
      <c r="G26" s="306">
        <f t="shared" ca="1" si="11"/>
        <v>37.717041868785515</v>
      </c>
      <c r="H26" s="307">
        <f t="shared" ca="1" si="12"/>
        <v>143.43672515624007</v>
      </c>
      <c r="I26" s="304">
        <f t="shared" ca="1" si="13"/>
        <v>148.31274176846193</v>
      </c>
      <c r="J26" s="306">
        <f t="shared" ca="1" si="14"/>
        <v>140.49376739195887</v>
      </c>
      <c r="K26" s="307">
        <f t="shared" ca="1" si="15"/>
        <v>602.45671726547835</v>
      </c>
      <c r="L26" s="304">
        <f t="shared" ca="1" si="0"/>
        <v>618.62152795896327</v>
      </c>
      <c r="M26" s="306">
        <f t="shared" ca="1" si="16"/>
        <v>1.3136647369948684</v>
      </c>
      <c r="N26" s="304">
        <f t="shared" ca="1" si="17"/>
        <v>75.267445124969257</v>
      </c>
      <c r="P26" s="310">
        <f t="shared" ca="1" si="18"/>
        <v>3</v>
      </c>
      <c r="Q26" s="304">
        <f t="shared" ca="1" si="19"/>
        <v>0</v>
      </c>
      <c r="R26" s="306">
        <f t="shared" ca="1" si="20"/>
        <v>0</v>
      </c>
      <c r="S26" s="307">
        <f t="shared" ca="1" si="21"/>
        <v>4.341000000000002</v>
      </c>
      <c r="T26" s="304">
        <f t="shared" ca="1" si="1"/>
        <v>42.585210000000025</v>
      </c>
      <c r="U26" s="311">
        <f t="shared" ca="1" si="2"/>
        <v>0</v>
      </c>
      <c r="V26" s="306">
        <f t="shared" ca="1" si="3"/>
        <v>1.1533571382987802</v>
      </c>
      <c r="W26" s="304">
        <f t="shared" ca="1" si="4"/>
        <v>82.311999936114262</v>
      </c>
      <c r="Y26" s="314" t="str">
        <f t="shared" ca="1" si="22"/>
        <v/>
      </c>
      <c r="Z26" s="315" t="str">
        <f t="shared" ca="1" si="23"/>
        <v/>
      </c>
      <c r="AA26" s="316" t="str">
        <f t="shared" ca="1" si="24"/>
        <v/>
      </c>
      <c r="AC26" s="310" t="e">
        <f t="shared" ca="1" si="25"/>
        <v>#N/A</v>
      </c>
      <c r="AD26" s="323" t="e">
        <f t="shared" ca="1" si="26"/>
        <v>#N/A</v>
      </c>
      <c r="AE26" s="324">
        <f t="shared" ca="1" si="5"/>
        <v>602.45671726547835</v>
      </c>
      <c r="AG26" s="306">
        <f t="shared" ca="1" si="27"/>
        <v>-28.525172618871636</v>
      </c>
      <c r="AH26" s="304">
        <f t="shared" ca="1" si="28"/>
        <v>-19.037272689067514</v>
      </c>
    </row>
    <row r="27" spans="1:34" x14ac:dyDescent="0.2">
      <c r="A27" s="347">
        <f t="shared" ca="1" si="6"/>
        <v>0.01</v>
      </c>
      <c r="B27" s="304">
        <f t="shared" ca="1" si="7"/>
        <v>0.23000000000000007</v>
      </c>
      <c r="D27" s="306">
        <f t="shared" ca="1" si="8"/>
        <v>-4.8220590948041231</v>
      </c>
      <c r="E27" s="307">
        <f t="shared" ca="1" si="9"/>
        <v>-28.148139228277664</v>
      </c>
      <c r="F27" s="304">
        <f t="shared" ca="1" si="10"/>
        <v>28.55818614562709</v>
      </c>
      <c r="G27" s="306">
        <f t="shared" ca="1" si="11"/>
        <v>37.668821277837473</v>
      </c>
      <c r="H27" s="307">
        <f t="shared" ca="1" si="12"/>
        <v>143.15524376395729</v>
      </c>
      <c r="I27" s="304">
        <f t="shared" ca="1" si="13"/>
        <v>148.02825376791992</v>
      </c>
      <c r="J27" s="306">
        <f t="shared" ca="1" si="14"/>
        <v>140.87069670769199</v>
      </c>
      <c r="K27" s="307">
        <f t="shared" ca="1" si="15"/>
        <v>603.88967711007933</v>
      </c>
      <c r="L27" s="304">
        <f t="shared" ca="1" si="0"/>
        <v>620.10264901145717</v>
      </c>
      <c r="M27" s="306">
        <f t="shared" ca="1" si="16"/>
        <v>1.3134962045372838</v>
      </c>
      <c r="N27" s="304">
        <f t="shared" ca="1" si="17"/>
        <v>75.257788926438693</v>
      </c>
      <c r="P27" s="310">
        <f t="shared" ca="1" si="18"/>
        <v>3</v>
      </c>
      <c r="Q27" s="304">
        <f t="shared" ca="1" si="19"/>
        <v>0</v>
      </c>
      <c r="R27" s="306">
        <f t="shared" ca="1" si="20"/>
        <v>0</v>
      </c>
      <c r="S27" s="307">
        <f t="shared" ca="1" si="21"/>
        <v>4.341000000000002</v>
      </c>
      <c r="T27" s="304">
        <f t="shared" ca="1" si="1"/>
        <v>42.585210000000025</v>
      </c>
      <c r="U27" s="311">
        <f t="shared" ca="1" si="2"/>
        <v>0</v>
      </c>
      <c r="V27" s="306">
        <f t="shared" ca="1" si="3"/>
        <v>1.1531917282558846</v>
      </c>
      <c r="W27" s="304">
        <f t="shared" ca="1" si="4"/>
        <v>81.984767513394189</v>
      </c>
      <c r="Y27" s="314" t="str">
        <f t="shared" ca="1" si="22"/>
        <v/>
      </c>
      <c r="Z27" s="315" t="str">
        <f t="shared" ca="1" si="23"/>
        <v/>
      </c>
      <c r="AA27" s="316" t="str">
        <f t="shared" ca="1" si="24"/>
        <v/>
      </c>
      <c r="AC27" s="310" t="e">
        <f t="shared" ca="1" si="25"/>
        <v>#N/A</v>
      </c>
      <c r="AD27" s="323" t="e">
        <f t="shared" ca="1" si="26"/>
        <v>#N/A</v>
      </c>
      <c r="AE27" s="324">
        <f t="shared" ca="1" si="5"/>
        <v>603.88967711007933</v>
      </c>
      <c r="AG27" s="306">
        <f t="shared" ca="1" si="27"/>
        <v>-28.449010277927147</v>
      </c>
      <c r="AH27" s="304">
        <f t="shared" ca="1" si="28"/>
        <v>-18.961529586757482</v>
      </c>
    </row>
    <row r="28" spans="1:34" x14ac:dyDescent="0.2">
      <c r="A28" s="347">
        <f t="shared" ca="1" si="6"/>
        <v>0.01</v>
      </c>
      <c r="B28" s="304">
        <f t="shared" ca="1" si="7"/>
        <v>0.24000000000000007</v>
      </c>
      <c r="D28" s="306">
        <f t="shared" ca="1" si="8"/>
        <v>-4.8059671532071837</v>
      </c>
      <c r="E28" s="307">
        <f t="shared" ca="1" si="9"/>
        <v>-28.074426015998867</v>
      </c>
      <c r="F28" s="304">
        <f t="shared" ca="1" si="10"/>
        <v>28.48281440457562</v>
      </c>
      <c r="G28" s="306">
        <f t="shared" ca="1" si="11"/>
        <v>37.6207616063054</v>
      </c>
      <c r="H28" s="307">
        <f t="shared" ca="1" si="12"/>
        <v>142.8744995037973</v>
      </c>
      <c r="I28" s="304">
        <f t="shared" ca="1" si="13"/>
        <v>147.74452379800422</v>
      </c>
      <c r="J28" s="306">
        <f t="shared" ca="1" si="14"/>
        <v>141.2471446221127</v>
      </c>
      <c r="K28" s="307">
        <f t="shared" ca="1" si="15"/>
        <v>605.31982582641808</v>
      </c>
      <c r="L28" s="304">
        <f t="shared" ca="1" si="0"/>
        <v>621.58092586760188</v>
      </c>
      <c r="M28" s="306">
        <f t="shared" ca="1" si="16"/>
        <v>1.3133272402069085</v>
      </c>
      <c r="N28" s="304">
        <f t="shared" ca="1" si="17"/>
        <v>75.248107983419928</v>
      </c>
      <c r="P28" s="310">
        <f t="shared" ca="1" si="18"/>
        <v>3</v>
      </c>
      <c r="Q28" s="304">
        <f t="shared" ca="1" si="19"/>
        <v>0</v>
      </c>
      <c r="R28" s="306">
        <f t="shared" ca="1" si="20"/>
        <v>0</v>
      </c>
      <c r="S28" s="307">
        <f t="shared" ca="1" si="21"/>
        <v>4.341000000000002</v>
      </c>
      <c r="T28" s="304">
        <f t="shared" ca="1" si="1"/>
        <v>42.585210000000025</v>
      </c>
      <c r="U28" s="311">
        <f t="shared" ca="1" si="2"/>
        <v>0</v>
      </c>
      <c r="V28" s="306">
        <f t="shared" ca="1" si="3"/>
        <v>1.1530266656469992</v>
      </c>
      <c r="W28" s="304">
        <f t="shared" ca="1" si="4"/>
        <v>81.659093651458065</v>
      </c>
      <c r="Y28" s="314" t="str">
        <f t="shared" ca="1" si="22"/>
        <v/>
      </c>
      <c r="Z28" s="315" t="str">
        <f t="shared" ca="1" si="23"/>
        <v/>
      </c>
      <c r="AA28" s="316" t="str">
        <f t="shared" ca="1" si="24"/>
        <v/>
      </c>
      <c r="AC28" s="310" t="e">
        <f t="shared" ca="1" si="25"/>
        <v>#N/A</v>
      </c>
      <c r="AD28" s="323" t="e">
        <f t="shared" ca="1" si="26"/>
        <v>#N/A</v>
      </c>
      <c r="AE28" s="324">
        <f t="shared" ca="1" si="5"/>
        <v>605.31982582641808</v>
      </c>
      <c r="AG28" s="306">
        <f t="shared" ca="1" si="27"/>
        <v>-28.373207889080945</v>
      </c>
      <c r="AH28" s="304">
        <f t="shared" ca="1" si="28"/>
        <v>-18.886147780095406</v>
      </c>
    </row>
    <row r="29" spans="1:34" x14ac:dyDescent="0.2">
      <c r="A29" s="347">
        <f t="shared" ca="1" si="6"/>
        <v>0.01</v>
      </c>
      <c r="B29" s="304">
        <f t="shared" ca="1" si="7"/>
        <v>0.25000000000000006</v>
      </c>
      <c r="D29" s="306">
        <f t="shared" ca="1" si="8"/>
        <v>-4.7899497809357481</v>
      </c>
      <c r="E29" s="307">
        <f t="shared" ca="1" si="9"/>
        <v>-28.001063880131994</v>
      </c>
      <c r="F29" s="304">
        <f t="shared" ca="1" si="10"/>
        <v>28.407801698180009</v>
      </c>
      <c r="G29" s="306">
        <f t="shared" ca="1" si="11"/>
        <v>37.572862108496039</v>
      </c>
      <c r="H29" s="307">
        <f t="shared" ca="1" si="12"/>
        <v>142.59448886499598</v>
      </c>
      <c r="I29" s="304">
        <f t="shared" ca="1" si="13"/>
        <v>147.46154828189455</v>
      </c>
      <c r="J29" s="306">
        <f t="shared" ca="1" si="14"/>
        <v>141.62311274068671</v>
      </c>
      <c r="K29" s="307">
        <f t="shared" ca="1" si="15"/>
        <v>606.74717076826209</v>
      </c>
      <c r="L29" s="304">
        <f t="shared" ca="1" si="0"/>
        <v>623.05636606783173</v>
      </c>
      <c r="M29" s="306">
        <f t="shared" ca="1" si="16"/>
        <v>1.3131578429354633</v>
      </c>
      <c r="N29" s="304">
        <f t="shared" ca="1" si="17"/>
        <v>75.238402234705092</v>
      </c>
      <c r="P29" s="310">
        <f t="shared" ca="1" si="18"/>
        <v>3</v>
      </c>
      <c r="Q29" s="304">
        <f t="shared" ca="1" si="19"/>
        <v>0</v>
      </c>
      <c r="R29" s="306">
        <f t="shared" ca="1" si="20"/>
        <v>0</v>
      </c>
      <c r="S29" s="307">
        <f t="shared" ca="1" si="21"/>
        <v>4.341000000000002</v>
      </c>
      <c r="T29" s="304">
        <f t="shared" ca="1" si="1"/>
        <v>42.585210000000025</v>
      </c>
      <c r="U29" s="311">
        <f t="shared" ca="1" si="2"/>
        <v>0</v>
      </c>
      <c r="V29" s="306">
        <f t="shared" ca="1" si="3"/>
        <v>1.1528619494836641</v>
      </c>
      <c r="W29" s="304">
        <f t="shared" ca="1" si="4"/>
        <v>81.334968604300471</v>
      </c>
      <c r="Y29" s="314" t="str">
        <f t="shared" ca="1" si="22"/>
        <v/>
      </c>
      <c r="Z29" s="315" t="str">
        <f t="shared" ca="1" si="23"/>
        <v/>
      </c>
      <c r="AA29" s="316" t="str">
        <f t="shared" ca="1" si="24"/>
        <v/>
      </c>
      <c r="AC29" s="310" t="e">
        <f t="shared" ca="1" si="25"/>
        <v>#N/A</v>
      </c>
      <c r="AD29" s="323" t="e">
        <f t="shared" ca="1" si="26"/>
        <v>#N/A</v>
      </c>
      <c r="AE29" s="324">
        <f t="shared" ca="1" si="5"/>
        <v>606.74717076826209</v>
      </c>
      <c r="AG29" s="306">
        <f t="shared" ca="1" si="27"/>
        <v>-28.297763184634192</v>
      </c>
      <c r="AH29" s="304">
        <f t="shared" ca="1" si="28"/>
        <v>-18.811125006094915</v>
      </c>
    </row>
    <row r="30" spans="1:34" x14ac:dyDescent="0.2">
      <c r="A30" s="347">
        <f t="shared" ca="1" si="6"/>
        <v>0.01</v>
      </c>
      <c r="B30" s="304">
        <f t="shared" ca="1" si="7"/>
        <v>0.26000000000000006</v>
      </c>
      <c r="D30" s="306">
        <f t="shared" ca="1" si="8"/>
        <v>-4.7740065077916327</v>
      </c>
      <c r="E30" s="307">
        <f t="shared" ca="1" si="9"/>
        <v>-27.928050625235187</v>
      </c>
      <c r="F30" s="304">
        <f t="shared" ca="1" si="10"/>
        <v>28.33314578126009</v>
      </c>
      <c r="G30" s="306">
        <f t="shared" ca="1" si="11"/>
        <v>37.525122043418122</v>
      </c>
      <c r="H30" s="307">
        <f t="shared" ca="1" si="12"/>
        <v>142.31520835874363</v>
      </c>
      <c r="I30" s="304">
        <f t="shared" ca="1" si="13"/>
        <v>147.1793236652691</v>
      </c>
      <c r="J30" s="306">
        <f t="shared" ca="1" si="14"/>
        <v>141.99860266144628</v>
      </c>
      <c r="K30" s="307">
        <f t="shared" ca="1" si="15"/>
        <v>608.17171925438083</v>
      </c>
      <c r="L30" s="304">
        <f t="shared" ca="1" si="0"/>
        <v>624.52897711686103</v>
      </c>
      <c r="M30" s="306">
        <f t="shared" ca="1" si="16"/>
        <v>1.3129880116504162</v>
      </c>
      <c r="N30" s="304">
        <f t="shared" ca="1" si="17"/>
        <v>75.228671618842611</v>
      </c>
      <c r="P30" s="310">
        <f t="shared" ca="1" si="18"/>
        <v>3</v>
      </c>
      <c r="Q30" s="304">
        <f t="shared" ca="1" si="19"/>
        <v>0</v>
      </c>
      <c r="R30" s="306">
        <f t="shared" ca="1" si="20"/>
        <v>0</v>
      </c>
      <c r="S30" s="307">
        <f t="shared" ca="1" si="21"/>
        <v>4.341000000000002</v>
      </c>
      <c r="T30" s="304">
        <f t="shared" ca="1" si="1"/>
        <v>42.585210000000025</v>
      </c>
      <c r="U30" s="311">
        <f t="shared" ca="1" si="2"/>
        <v>0</v>
      </c>
      <c r="V30" s="306">
        <f t="shared" ca="1" si="3"/>
        <v>1.1526975787822511</v>
      </c>
      <c r="W30" s="304">
        <f t="shared" ca="1" si="4"/>
        <v>81.012382702798348</v>
      </c>
      <c r="Y30" s="314" t="str">
        <f t="shared" ca="1" si="22"/>
        <v/>
      </c>
      <c r="Z30" s="315" t="str">
        <f t="shared" ca="1" si="23"/>
        <v/>
      </c>
      <c r="AA30" s="316" t="str">
        <f t="shared" ca="1" si="24"/>
        <v/>
      </c>
      <c r="AC30" s="310" t="e">
        <f t="shared" ca="1" si="25"/>
        <v>#N/A</v>
      </c>
      <c r="AD30" s="323" t="e">
        <f t="shared" ca="1" si="26"/>
        <v>#N/A</v>
      </c>
      <c r="AE30" s="324">
        <f t="shared" ca="1" si="5"/>
        <v>608.17171925438083</v>
      </c>
      <c r="AG30" s="306">
        <f t="shared" ca="1" si="27"/>
        <v>-28.222673914745844</v>
      </c>
      <c r="AH30" s="304">
        <f t="shared" ca="1" si="28"/>
        <v>-18.736459019649949</v>
      </c>
    </row>
    <row r="31" spans="1:34" x14ac:dyDescent="0.2">
      <c r="A31" s="347">
        <f t="shared" ca="1" si="6"/>
        <v>0.01</v>
      </c>
      <c r="B31" s="304">
        <f t="shared" ca="1" si="7"/>
        <v>0.27000000000000007</v>
      </c>
      <c r="D31" s="306">
        <f t="shared" ca="1" si="8"/>
        <v>-4.7581368672817543</v>
      </c>
      <c r="E31" s="307">
        <f t="shared" ca="1" si="9"/>
        <v>-27.85538407318505</v>
      </c>
      <c r="F31" s="304">
        <f t="shared" ca="1" si="10"/>
        <v>28.25884442634619</v>
      </c>
      <c r="G31" s="306">
        <f t="shared" ca="1" si="11"/>
        <v>37.477540674745306</v>
      </c>
      <c r="H31" s="307">
        <f t="shared" ca="1" si="12"/>
        <v>142.03665451801177</v>
      </c>
      <c r="I31" s="304">
        <f t="shared" ca="1" si="13"/>
        <v>146.89784641612763</v>
      </c>
      <c r="J31" s="306">
        <f t="shared" ca="1" si="14"/>
        <v>142.3736159750371</v>
      </c>
      <c r="K31" s="307">
        <f t="shared" ca="1" si="15"/>
        <v>609.59347856876457</v>
      </c>
      <c r="L31" s="304">
        <f t="shared" ca="1" si="0"/>
        <v>625.99876648390784</v>
      </c>
      <c r="M31" s="306">
        <f t="shared" ca="1" si="16"/>
        <v>1.3128177452749623</v>
      </c>
      <c r="N31" s="304">
        <f t="shared" ca="1" si="17"/>
        <v>75.218916074136118</v>
      </c>
      <c r="P31" s="310">
        <f t="shared" ca="1" si="18"/>
        <v>3</v>
      </c>
      <c r="Q31" s="304">
        <f t="shared" ca="1" si="19"/>
        <v>0</v>
      </c>
      <c r="R31" s="306">
        <f t="shared" ca="1" si="20"/>
        <v>0</v>
      </c>
      <c r="S31" s="307">
        <f t="shared" ca="1" si="21"/>
        <v>4.341000000000002</v>
      </c>
      <c r="T31" s="304">
        <f t="shared" ca="1" si="1"/>
        <v>42.585210000000025</v>
      </c>
      <c r="U31" s="311">
        <f t="shared" ca="1" si="2"/>
        <v>0</v>
      </c>
      <c r="V31" s="306">
        <f t="shared" ca="1" si="3"/>
        <v>1.1525335525639302</v>
      </c>
      <c r="W31" s="304">
        <f t="shared" ca="1" si="4"/>
        <v>80.691326353982689</v>
      </c>
      <c r="Y31" s="314" t="str">
        <f t="shared" ca="1" si="22"/>
        <v/>
      </c>
      <c r="Z31" s="315" t="str">
        <f t="shared" ca="1" si="23"/>
        <v/>
      </c>
      <c r="AA31" s="316" t="str">
        <f t="shared" ca="1" si="24"/>
        <v/>
      </c>
      <c r="AC31" s="310" t="e">
        <f t="shared" ca="1" si="25"/>
        <v>#N/A</v>
      </c>
      <c r="AD31" s="323" t="e">
        <f t="shared" ca="1" si="26"/>
        <v>#N/A</v>
      </c>
      <c r="AE31" s="324">
        <f t="shared" ca="1" si="5"/>
        <v>609.59347856876457</v>
      </c>
      <c r="AG31" s="306">
        <f t="shared" ca="1" si="27"/>
        <v>-28.147937847262966</v>
      </c>
      <c r="AH31" s="304">
        <f t="shared" ca="1" si="28"/>
        <v>-18.662147593365194</v>
      </c>
    </row>
    <row r="32" spans="1:34" x14ac:dyDescent="0.2">
      <c r="A32" s="347">
        <f t="shared" ca="1" si="6"/>
        <v>0.01</v>
      </c>
      <c r="B32" s="304">
        <f t="shared" ca="1" si="7"/>
        <v>0.28000000000000008</v>
      </c>
      <c r="D32" s="306">
        <f t="shared" ca="1" si="8"/>
        <v>-4.7423403965830468</v>
      </c>
      <c r="E32" s="307">
        <f t="shared" ca="1" si="9"/>
        <v>-27.783062063012615</v>
      </c>
      <c r="F32" s="304">
        <f t="shared" ca="1" si="10"/>
        <v>28.184895423511406</v>
      </c>
      <c r="G32" s="306">
        <f t="shared" ca="1" si="11"/>
        <v>37.430117270779476</v>
      </c>
      <c r="H32" s="307">
        <f t="shared" ca="1" si="12"/>
        <v>141.75882389738166</v>
      </c>
      <c r="I32" s="304">
        <f t="shared" ca="1" si="13"/>
        <v>146.61711302461649</v>
      </c>
      <c r="J32" s="306">
        <f t="shared" ca="1" si="14"/>
        <v>142.74815426476471</v>
      </c>
      <c r="K32" s="307">
        <f t="shared" ca="1" si="15"/>
        <v>611.01245596084152</v>
      </c>
      <c r="L32" s="304">
        <f t="shared" ca="1" si="0"/>
        <v>627.46574160291527</v>
      </c>
      <c r="M32" s="306">
        <f t="shared" ca="1" si="16"/>
        <v>1.3126470427280068</v>
      </c>
      <c r="N32" s="304">
        <f t="shared" ca="1" si="17"/>
        <v>75.209135538643423</v>
      </c>
      <c r="P32" s="310">
        <f t="shared" ca="1" si="18"/>
        <v>3</v>
      </c>
      <c r="Q32" s="304">
        <f t="shared" ca="1" si="19"/>
        <v>0</v>
      </c>
      <c r="R32" s="306">
        <f t="shared" ca="1" si="20"/>
        <v>0</v>
      </c>
      <c r="S32" s="307">
        <f t="shared" ca="1" si="21"/>
        <v>4.341000000000002</v>
      </c>
      <c r="T32" s="304">
        <f t="shared" ca="1" si="1"/>
        <v>42.585210000000025</v>
      </c>
      <c r="U32" s="311">
        <f t="shared" ca="1" si="2"/>
        <v>0</v>
      </c>
      <c r="V32" s="306">
        <f t="shared" ca="1" si="3"/>
        <v>1.1523698698546407</v>
      </c>
      <c r="W32" s="304">
        <f t="shared" ca="1" si="4"/>
        <v>80.371790040319055</v>
      </c>
      <c r="Y32" s="314" t="str">
        <f t="shared" ca="1" si="22"/>
        <v/>
      </c>
      <c r="Z32" s="315" t="str">
        <f t="shared" ca="1" si="23"/>
        <v/>
      </c>
      <c r="AA32" s="316" t="str">
        <f t="shared" ca="1" si="24"/>
        <v/>
      </c>
      <c r="AC32" s="310" t="e">
        <f t="shared" ca="1" si="25"/>
        <v>#N/A</v>
      </c>
      <c r="AD32" s="323" t="e">
        <f t="shared" ca="1" si="26"/>
        <v>#N/A</v>
      </c>
      <c r="AE32" s="324">
        <f t="shared" ca="1" si="5"/>
        <v>611.01245596084152</v>
      </c>
      <c r="AG32" s="306">
        <f t="shared" ca="1" si="27"/>
        <v>-28.073552767552833</v>
      </c>
      <c r="AH32" s="304">
        <f t="shared" ca="1" si="28"/>
        <v>-18.588188517388311</v>
      </c>
    </row>
    <row r="33" spans="1:34" x14ac:dyDescent="0.2">
      <c r="A33" s="347">
        <f t="shared" ca="1" si="6"/>
        <v>0.01</v>
      </c>
      <c r="B33" s="304">
        <f t="shared" ca="1" si="7"/>
        <v>0.29000000000000009</v>
      </c>
      <c r="D33" s="306">
        <f t="shared" ca="1" si="8"/>
        <v>-4.7266166365077638</v>
      </c>
      <c r="E33" s="307">
        <f t="shared" ca="1" si="9"/>
        <v>-27.711082450741266</v>
      </c>
      <c r="F33" s="304">
        <f t="shared" ca="1" si="10"/>
        <v>28.111296580205838</v>
      </c>
      <c r="G33" s="306">
        <f t="shared" ca="1" si="11"/>
        <v>37.382851104414399</v>
      </c>
      <c r="H33" s="307">
        <f t="shared" ca="1" si="12"/>
        <v>141.48171307287424</v>
      </c>
      <c r="I33" s="304">
        <f t="shared" ca="1" si="13"/>
        <v>146.33712000285482</v>
      </c>
      <c r="J33" s="306">
        <f t="shared" ca="1" si="14"/>
        <v>143.12221910664067</v>
      </c>
      <c r="K33" s="307">
        <f t="shared" ca="1" si="15"/>
        <v>612.42865864569285</v>
      </c>
      <c r="L33" s="304">
        <f t="shared" ca="1" si="0"/>
        <v>628.92990987277096</v>
      </c>
      <c r="M33" s="306">
        <f t="shared" ca="1" si="16"/>
        <v>1.3124759029241457</v>
      </c>
      <c r="N33" s="304">
        <f t="shared" ca="1" si="17"/>
        <v>75.199329950175496</v>
      </c>
      <c r="P33" s="310">
        <f t="shared" ca="1" si="18"/>
        <v>3</v>
      </c>
      <c r="Q33" s="304">
        <f t="shared" ca="1" si="19"/>
        <v>0</v>
      </c>
      <c r="R33" s="306">
        <f t="shared" ca="1" si="20"/>
        <v>0</v>
      </c>
      <c r="S33" s="307">
        <f t="shared" ca="1" si="21"/>
        <v>4.341000000000002</v>
      </c>
      <c r="T33" s="304">
        <f t="shared" ca="1" si="1"/>
        <v>42.585210000000025</v>
      </c>
      <c r="U33" s="311">
        <f t="shared" ca="1" si="2"/>
        <v>0</v>
      </c>
      <c r="V33" s="306">
        <f t="shared" ca="1" si="3"/>
        <v>1.1522065296850597</v>
      </c>
      <c r="W33" s="304">
        <f t="shared" ca="1" si="4"/>
        <v>80.053764318995206</v>
      </c>
      <c r="Y33" s="314" t="str">
        <f t="shared" ca="1" si="22"/>
        <v/>
      </c>
      <c r="Z33" s="315" t="str">
        <f t="shared" ca="1" si="23"/>
        <v/>
      </c>
      <c r="AA33" s="316" t="str">
        <f t="shared" ca="1" si="24"/>
        <v/>
      </c>
      <c r="AC33" s="310" t="e">
        <f t="shared" ca="1" si="25"/>
        <v>#N/A</v>
      </c>
      <c r="AD33" s="323" t="e">
        <f t="shared" ca="1" si="26"/>
        <v>#N/A</v>
      </c>
      <c r="AE33" s="324">
        <f t="shared" ca="1" si="5"/>
        <v>612.42865864569285</v>
      </c>
      <c r="AG33" s="306">
        <f t="shared" ca="1" si="27"/>
        <v>-27.999516478337064</v>
      </c>
      <c r="AH33" s="304">
        <f t="shared" ca="1" si="28"/>
        <v>-18.514579599244186</v>
      </c>
    </row>
    <row r="34" spans="1:34" x14ac:dyDescent="0.2">
      <c r="A34" s="347">
        <f t="shared" ca="1" si="6"/>
        <v>0.01</v>
      </c>
      <c r="B34" s="304">
        <f t="shared" ca="1" si="7"/>
        <v>0.3000000000000001</v>
      </c>
      <c r="D34" s="306">
        <f t="shared" ca="1" si="8"/>
        <v>-4.7109651314691492</v>
      </c>
      <c r="E34" s="307">
        <f t="shared" ca="1" si="9"/>
        <v>-27.639443109226292</v>
      </c>
      <c r="F34" s="304">
        <f t="shared" ca="1" si="10"/>
        <v>28.038045721092526</v>
      </c>
      <c r="G34" s="306">
        <f t="shared" ca="1" si="11"/>
        <v>37.335741453099708</v>
      </c>
      <c r="H34" s="307">
        <f t="shared" ca="1" si="12"/>
        <v>141.20531864178199</v>
      </c>
      <c r="I34" s="304">
        <f t="shared" ca="1" si="13"/>
        <v>146.05786388476278</v>
      </c>
      <c r="J34" s="306">
        <f t="shared" ca="1" si="14"/>
        <v>143.49581206942824</v>
      </c>
      <c r="K34" s="307">
        <f t="shared" ca="1" si="15"/>
        <v>613.84209380426614</v>
      </c>
      <c r="L34" s="304">
        <f t="shared" ca="1" si="0"/>
        <v>630.39127865752562</v>
      </c>
      <c r="M34" s="306">
        <f t="shared" ca="1" si="16"/>
        <v>1.312304324773647</v>
      </c>
      <c r="N34" s="304">
        <f t="shared" ca="1" si="17"/>
        <v>75.189499246295256</v>
      </c>
      <c r="P34" s="310">
        <f t="shared" ca="1" si="18"/>
        <v>3</v>
      </c>
      <c r="Q34" s="304">
        <f t="shared" ca="1" si="19"/>
        <v>0</v>
      </c>
      <c r="R34" s="306">
        <f t="shared" ca="1" si="20"/>
        <v>0</v>
      </c>
      <c r="S34" s="307">
        <f t="shared" ca="1" si="21"/>
        <v>4.341000000000002</v>
      </c>
      <c r="T34" s="304">
        <f t="shared" ca="1" si="1"/>
        <v>42.585210000000025</v>
      </c>
      <c r="U34" s="311">
        <f t="shared" ca="1" si="2"/>
        <v>0</v>
      </c>
      <c r="V34" s="306">
        <f t="shared" ca="1" si="3"/>
        <v>1.1520435310905741</v>
      </c>
      <c r="W34" s="304">
        <f t="shared" ca="1" si="4"/>
        <v>79.737239821217287</v>
      </c>
      <c r="Y34" s="314" t="str">
        <f t="shared" ca="1" si="22"/>
        <v/>
      </c>
      <c r="Z34" s="315" t="str">
        <f t="shared" ca="1" si="23"/>
        <v/>
      </c>
      <c r="AA34" s="316" t="str">
        <f t="shared" ca="1" si="24"/>
        <v/>
      </c>
      <c r="AC34" s="310" t="e">
        <f t="shared" ca="1" si="25"/>
        <v>#N/A</v>
      </c>
      <c r="AD34" s="323" t="e">
        <f t="shared" ca="1" si="26"/>
        <v>#N/A</v>
      </c>
      <c r="AE34" s="324">
        <f t="shared" ca="1" si="5"/>
        <v>613.84209380426614</v>
      </c>
      <c r="AG34" s="306">
        <f t="shared" ca="1" si="27"/>
        <v>-27.925826799527428</v>
      </c>
      <c r="AH34" s="304">
        <f t="shared" ca="1" si="28"/>
        <v>-18.441318663670852</v>
      </c>
    </row>
    <row r="35" spans="1:34" x14ac:dyDescent="0.2">
      <c r="A35" s="347">
        <f t="shared" ca="1" si="6"/>
        <v>0.01</v>
      </c>
      <c r="B35" s="304">
        <f t="shared" ca="1" si="7"/>
        <v>0.31000000000000011</v>
      </c>
      <c r="D35" s="306">
        <f t="shared" ca="1" si="8"/>
        <v>-4.6953854294475237</v>
      </c>
      <c r="E35" s="307">
        <f t="shared" ca="1" si="9"/>
        <v>-27.568141927996265</v>
      </c>
      <c r="F35" s="304">
        <f t="shared" ca="1" si="10"/>
        <v>27.965140687885224</v>
      </c>
      <c r="G35" s="306">
        <f t="shared" ca="1" si="11"/>
        <v>37.288787598805236</v>
      </c>
      <c r="H35" s="307">
        <f t="shared" ca="1" si="12"/>
        <v>140.92963722250201</v>
      </c>
      <c r="I35" s="304">
        <f t="shared" ca="1" si="13"/>
        <v>145.77934122589124</v>
      </c>
      <c r="J35" s="306">
        <f t="shared" ca="1" si="14"/>
        <v>143.86893471468775</v>
      </c>
      <c r="K35" s="307">
        <f t="shared" ca="1" si="15"/>
        <v>615.25276858358757</v>
      </c>
      <c r="L35" s="304">
        <f t="shared" ca="1" si="0"/>
        <v>631.849855286609</v>
      </c>
      <c r="M35" s="306">
        <f t="shared" ca="1" si="16"/>
        <v>1.3121323071824322</v>
      </c>
      <c r="N35" s="304">
        <f t="shared" ca="1" si="17"/>
        <v>75.179643364316647</v>
      </c>
      <c r="P35" s="310">
        <f t="shared" ca="1" si="18"/>
        <v>3</v>
      </c>
      <c r="Q35" s="304">
        <f t="shared" ca="1" si="19"/>
        <v>0</v>
      </c>
      <c r="R35" s="306">
        <f t="shared" ca="1" si="20"/>
        <v>0</v>
      </c>
      <c r="S35" s="307">
        <f t="shared" ca="1" si="21"/>
        <v>4.341000000000002</v>
      </c>
      <c r="T35" s="304">
        <f t="shared" ca="1" si="1"/>
        <v>42.585210000000025</v>
      </c>
      <c r="U35" s="311">
        <f t="shared" ca="1" si="2"/>
        <v>0</v>
      </c>
      <c r="V35" s="306">
        <f t="shared" ca="1" si="3"/>
        <v>1.1518808731112464</v>
      </c>
      <c r="W35" s="304">
        <f t="shared" ca="1" si="4"/>
        <v>79.422207251513058</v>
      </c>
      <c r="Y35" s="314" t="str">
        <f t="shared" ca="1" si="22"/>
        <v/>
      </c>
      <c r="Z35" s="315" t="str">
        <f t="shared" ca="1" si="23"/>
        <v/>
      </c>
      <c r="AA35" s="316" t="str">
        <f t="shared" ca="1" si="24"/>
        <v/>
      </c>
      <c r="AC35" s="310" t="e">
        <f t="shared" ca="1" si="25"/>
        <v>#N/A</v>
      </c>
      <c r="AD35" s="323" t="e">
        <f t="shared" ca="1" si="26"/>
        <v>#N/A</v>
      </c>
      <c r="AE35" s="324">
        <f t="shared" ca="1" si="5"/>
        <v>615.25276858358757</v>
      </c>
      <c r="AG35" s="306">
        <f t="shared" ca="1" si="27"/>
        <v>-27.852481568063524</v>
      </c>
      <c r="AH35" s="304">
        <f t="shared" ca="1" si="28"/>
        <v>-18.368403552457327</v>
      </c>
    </row>
    <row r="36" spans="1:34" x14ac:dyDescent="0.2">
      <c r="A36" s="347">
        <f t="shared" ca="1" si="6"/>
        <v>0.01</v>
      </c>
      <c r="B36" s="304">
        <f t="shared" ca="1" si="7"/>
        <v>0.32000000000000012</v>
      </c>
      <c r="D36" s="306">
        <f t="shared" ca="1" si="8"/>
        <v>-4.6798770819566773</v>
      </c>
      <c r="E36" s="307">
        <f t="shared" ca="1" si="9"/>
        <v>-27.497176813096168</v>
      </c>
      <c r="F36" s="304">
        <f t="shared" ca="1" si="10"/>
        <v>27.892579339187993</v>
      </c>
      <c r="G36" s="306">
        <f t="shared" ca="1" si="11"/>
        <v>37.241988827985672</v>
      </c>
      <c r="H36" s="307">
        <f t="shared" ca="1" si="12"/>
        <v>140.65466545437104</v>
      </c>
      <c r="I36" s="304">
        <f t="shared" ca="1" si="13"/>
        <v>145.50154860325318</v>
      </c>
      <c r="J36" s="306">
        <f t="shared" ca="1" si="14"/>
        <v>144.24158859682171</v>
      </c>
      <c r="K36" s="307">
        <f t="shared" ca="1" si="15"/>
        <v>616.66069009697196</v>
      </c>
      <c r="L36" s="304">
        <f t="shared" ca="1" si="0"/>
        <v>633.30564705504446</v>
      </c>
      <c r="M36" s="306">
        <f t="shared" ca="1" si="16"/>
        <v>1.3119598490520576</v>
      </c>
      <c r="N36" s="304">
        <f t="shared" ca="1" si="17"/>
        <v>75.169762241303459</v>
      </c>
      <c r="P36" s="310">
        <f t="shared" ca="1" si="18"/>
        <v>3</v>
      </c>
      <c r="Q36" s="304">
        <f t="shared" ca="1" si="19"/>
        <v>0</v>
      </c>
      <c r="R36" s="306">
        <f t="shared" ca="1" si="20"/>
        <v>0</v>
      </c>
      <c r="S36" s="307">
        <f t="shared" ca="1" si="21"/>
        <v>4.341000000000002</v>
      </c>
      <c r="T36" s="304">
        <f t="shared" ca="1" si="1"/>
        <v>42.585210000000025</v>
      </c>
      <c r="U36" s="311">
        <f t="shared" ca="1" si="2"/>
        <v>0</v>
      </c>
      <c r="V36" s="306">
        <f t="shared" ca="1" si="3"/>
        <v>1.151718554791791</v>
      </c>
      <c r="W36" s="304">
        <f t="shared" ca="1" si="4"/>
        <v>79.108657387043607</v>
      </c>
      <c r="Y36" s="314" t="str">
        <f t="shared" ca="1" si="22"/>
        <v/>
      </c>
      <c r="Z36" s="315" t="str">
        <f t="shared" ca="1" si="23"/>
        <v/>
      </c>
      <c r="AA36" s="316" t="str">
        <f t="shared" ca="1" si="24"/>
        <v/>
      </c>
      <c r="AC36" s="310" t="e">
        <f t="shared" ca="1" si="25"/>
        <v>#N/A</v>
      </c>
      <c r="AD36" s="323" t="e">
        <f t="shared" ca="1" si="26"/>
        <v>#N/A</v>
      </c>
      <c r="AE36" s="324">
        <f t="shared" ca="1" si="5"/>
        <v>616.66069009697196</v>
      </c>
      <c r="AG36" s="306">
        <f t="shared" ca="1" si="27"/>
        <v>-27.779478637752213</v>
      </c>
      <c r="AH36" s="304">
        <f t="shared" ca="1" si="28"/>
        <v>-18.29583212428312</v>
      </c>
    </row>
    <row r="37" spans="1:34" x14ac:dyDescent="0.2">
      <c r="A37" s="347">
        <f t="shared" ca="1" si="6"/>
        <v>0.01</v>
      </c>
      <c r="B37" s="304">
        <f t="shared" ca="1" si="7"/>
        <v>0.33000000000000013</v>
      </c>
      <c r="D37" s="306">
        <f t="shared" ca="1" si="8"/>
        <v>-4.6644396440107148</v>
      </c>
      <c r="E37" s="307">
        <f t="shared" ca="1" si="9"/>
        <v>-27.426545686932322</v>
      </c>
      <c r="F37" s="304">
        <f t="shared" ca="1" si="10"/>
        <v>27.820359550336597</v>
      </c>
      <c r="G37" s="306">
        <f t="shared" ca="1" si="11"/>
        <v>37.195344431545564</v>
      </c>
      <c r="H37" s="307">
        <f t="shared" ca="1" si="12"/>
        <v>140.38039999750171</v>
      </c>
      <c r="I37" s="304">
        <f t="shared" ca="1" si="13"/>
        <v>145.22448261515649</v>
      </c>
      <c r="J37" s="306">
        <f t="shared" ca="1" si="14"/>
        <v>144.61377526311938</v>
      </c>
      <c r="K37" s="307">
        <f t="shared" ca="1" si="15"/>
        <v>618.06586542423133</v>
      </c>
      <c r="L37" s="304">
        <f t="shared" ca="1" si="0"/>
        <v>634.75866122366222</v>
      </c>
      <c r="M37" s="306">
        <f t="shared" ca="1" si="16"/>
        <v>1.3117869492796947</v>
      </c>
      <c r="N37" s="304">
        <f t="shared" ca="1" si="17"/>
        <v>75.159855814068294</v>
      </c>
      <c r="P37" s="310">
        <f t="shared" ca="1" si="18"/>
        <v>3</v>
      </c>
      <c r="Q37" s="304">
        <f t="shared" ca="1" si="19"/>
        <v>0</v>
      </c>
      <c r="R37" s="306">
        <f t="shared" ca="1" si="20"/>
        <v>0</v>
      </c>
      <c r="S37" s="307">
        <f t="shared" ca="1" si="21"/>
        <v>4.341000000000002</v>
      </c>
      <c r="T37" s="304">
        <f t="shared" ca="1" si="1"/>
        <v>42.585210000000025</v>
      </c>
      <c r="U37" s="311">
        <f t="shared" ca="1" si="2"/>
        <v>0</v>
      </c>
      <c r="V37" s="306">
        <f t="shared" ca="1" si="3"/>
        <v>1.1515565751815386</v>
      </c>
      <c r="W37" s="304">
        <f t="shared" ca="1" si="4"/>
        <v>78.79658107692174</v>
      </c>
      <c r="Y37" s="314" t="str">
        <f t="shared" ca="1" si="22"/>
        <v/>
      </c>
      <c r="Z37" s="315" t="str">
        <f t="shared" ca="1" si="23"/>
        <v/>
      </c>
      <c r="AA37" s="316" t="str">
        <f t="shared" ca="1" si="24"/>
        <v/>
      </c>
      <c r="AC37" s="310" t="e">
        <f t="shared" ca="1" si="25"/>
        <v>#N/A</v>
      </c>
      <c r="AD37" s="323" t="e">
        <f t="shared" ca="1" si="26"/>
        <v>#N/A</v>
      </c>
      <c r="AE37" s="324">
        <f t="shared" ca="1" si="5"/>
        <v>618.06586542423133</v>
      </c>
      <c r="AG37" s="306">
        <f t="shared" ca="1" si="27"/>
        <v>-27.706815879108895</v>
      </c>
      <c r="AH37" s="304">
        <f t="shared" ca="1" si="28"/>
        <v>-18.22360225455968</v>
      </c>
    </row>
    <row r="38" spans="1:34" x14ac:dyDescent="0.2">
      <c r="A38" s="347">
        <f t="shared" ca="1" si="6"/>
        <v>0.01</v>
      </c>
      <c r="B38" s="304">
        <f t="shared" ca="1" si="7"/>
        <v>0.34000000000000014</v>
      </c>
      <c r="D38" s="306">
        <f t="shared" ca="1" si="8"/>
        <v>-4.6490726740911894</v>
      </c>
      <c r="E38" s="307">
        <f t="shared" ca="1" si="9"/>
        <v>-27.356246488118821</v>
      </c>
      <c r="F38" s="304">
        <f t="shared" ca="1" si="10"/>
        <v>27.748479213241481</v>
      </c>
      <c r="G38" s="306">
        <f t="shared" ca="1" si="11"/>
        <v>37.148853704804651</v>
      </c>
      <c r="H38" s="307">
        <f t="shared" ca="1" si="12"/>
        <v>140.10683753262052</v>
      </c>
      <c r="I38" s="304">
        <f t="shared" ca="1" si="13"/>
        <v>144.94813988103849</v>
      </c>
      <c r="J38" s="306">
        <f t="shared" ca="1" si="14"/>
        <v>144.98549625380113</v>
      </c>
      <c r="K38" s="307">
        <f t="shared" ca="1" si="15"/>
        <v>619.468301611882</v>
      </c>
      <c r="L38" s="304">
        <f t="shared" ca="1" si="0"/>
        <v>636.20890501931092</v>
      </c>
      <c r="M38" s="306">
        <f t="shared" ca="1" si="16"/>
        <v>1.3116136067581114</v>
      </c>
      <c r="N38" s="304">
        <f t="shared" ca="1" si="17"/>
        <v>75.149924019171422</v>
      </c>
      <c r="P38" s="310">
        <f t="shared" ca="1" si="18"/>
        <v>3</v>
      </c>
      <c r="Q38" s="304">
        <f t="shared" ca="1" si="19"/>
        <v>0</v>
      </c>
      <c r="R38" s="306">
        <f t="shared" ca="1" si="20"/>
        <v>0</v>
      </c>
      <c r="S38" s="307">
        <f t="shared" ca="1" si="21"/>
        <v>4.341000000000002</v>
      </c>
      <c r="T38" s="304">
        <f t="shared" ca="1" si="1"/>
        <v>42.585210000000025</v>
      </c>
      <c r="U38" s="311">
        <f t="shared" ca="1" si="2"/>
        <v>0</v>
      </c>
      <c r="V38" s="306">
        <f t="shared" ca="1" si="3"/>
        <v>1.1513949333344125</v>
      </c>
      <c r="W38" s="304">
        <f t="shared" ca="1" si="4"/>
        <v>78.485969241538584</v>
      </c>
      <c r="Y38" s="314" t="str">
        <f t="shared" ca="1" si="22"/>
        <v/>
      </c>
      <c r="Z38" s="315" t="str">
        <f t="shared" ca="1" si="23"/>
        <v/>
      </c>
      <c r="AA38" s="316" t="str">
        <f t="shared" ca="1" si="24"/>
        <v/>
      </c>
      <c r="AC38" s="310" t="e">
        <f t="shared" ca="1" si="25"/>
        <v>#N/A</v>
      </c>
      <c r="AD38" s="323" t="e">
        <f t="shared" ca="1" si="26"/>
        <v>#N/A</v>
      </c>
      <c r="AE38" s="324">
        <f t="shared" ca="1" si="5"/>
        <v>619.468301611882</v>
      </c>
      <c r="AG38" s="306">
        <f t="shared" ca="1" si="27"/>
        <v>-27.634491179200374</v>
      </c>
      <c r="AH38" s="304">
        <f t="shared" ca="1" si="28"/>
        <v>-18.151711835273371</v>
      </c>
    </row>
    <row r="39" spans="1:34" x14ac:dyDescent="0.2">
      <c r="A39" s="347">
        <f t="shared" ca="1" si="6"/>
        <v>0.01</v>
      </c>
      <c r="B39" s="304">
        <f t="shared" ca="1" si="7"/>
        <v>0.35000000000000014</v>
      </c>
      <c r="D39" s="306">
        <f t="shared" ca="1" si="8"/>
        <v>-4.6337757341146553</v>
      </c>
      <c r="E39" s="307">
        <f t="shared" ca="1" si="9"/>
        <v>-27.28627717132585</v>
      </c>
      <c r="F39" s="304">
        <f t="shared" ca="1" si="10"/>
        <v>27.676936236232653</v>
      </c>
      <c r="G39" s="306">
        <f t="shared" ca="1" si="11"/>
        <v>37.102515947463502</v>
      </c>
      <c r="H39" s="307">
        <f t="shared" ca="1" si="12"/>
        <v>139.83397476090727</v>
      </c>
      <c r="I39" s="304">
        <f t="shared" ca="1" si="13"/>
        <v>144.67251704130206</v>
      </c>
      <c r="J39" s="306">
        <f t="shared" ca="1" si="14"/>
        <v>145.35675310206247</v>
      </c>
      <c r="K39" s="307">
        <f t="shared" ca="1" si="15"/>
        <v>620.86800567334967</v>
      </c>
      <c r="L39" s="304">
        <f t="shared" ca="1" si="0"/>
        <v>637.65638563506639</v>
      </c>
      <c r="M39" s="306">
        <f t="shared" ca="1" si="16"/>
        <v>1.3114398203756532</v>
      </c>
      <c r="N39" s="304">
        <f t="shared" ca="1" si="17"/>
        <v>75.139966792919708</v>
      </c>
      <c r="P39" s="310">
        <f t="shared" ca="1" si="18"/>
        <v>3</v>
      </c>
      <c r="Q39" s="304">
        <f t="shared" ca="1" si="19"/>
        <v>0</v>
      </c>
      <c r="R39" s="306">
        <f t="shared" ca="1" si="20"/>
        <v>0</v>
      </c>
      <c r="S39" s="307">
        <f t="shared" ca="1" si="21"/>
        <v>4.341000000000002</v>
      </c>
      <c r="T39" s="304">
        <f t="shared" ca="1" si="1"/>
        <v>42.585210000000025</v>
      </c>
      <c r="U39" s="311">
        <f t="shared" ca="1" si="2"/>
        <v>0</v>
      </c>
      <c r="V39" s="306">
        <f t="shared" ca="1" si="3"/>
        <v>1.1512336283088955</v>
      </c>
      <c r="W39" s="304">
        <f t="shared" ca="1" si="4"/>
        <v>78.176812871897013</v>
      </c>
      <c r="Y39" s="314" t="str">
        <f t="shared" ca="1" si="22"/>
        <v/>
      </c>
      <c r="Z39" s="315" t="str">
        <f t="shared" ca="1" si="23"/>
        <v/>
      </c>
      <c r="AA39" s="316" t="str">
        <f t="shared" ca="1" si="24"/>
        <v/>
      </c>
      <c r="AC39" s="310" t="e">
        <f t="shared" ca="1" si="25"/>
        <v>#N/A</v>
      </c>
      <c r="AD39" s="323" t="e">
        <f t="shared" ca="1" si="26"/>
        <v>#N/A</v>
      </c>
      <c r="AE39" s="324">
        <f t="shared" ca="1" si="5"/>
        <v>620.86800567334967</v>
      </c>
      <c r="AG39" s="306">
        <f t="shared" ca="1" si="27"/>
        <v>-27.56250244148962</v>
      </c>
      <c r="AH39" s="304">
        <f t="shared" ca="1" si="28"/>
        <v>-18.080158774830348</v>
      </c>
    </row>
    <row r="40" spans="1:34" x14ac:dyDescent="0.2">
      <c r="A40" s="347">
        <f t="shared" ca="1" si="6"/>
        <v>0.01</v>
      </c>
      <c r="B40" s="304">
        <f t="shared" ca="1" si="7"/>
        <v>0.36000000000000015</v>
      </c>
      <c r="D40" s="306">
        <f t="shared" ca="1" si="8"/>
        <v>-4.6185483894005248</v>
      </c>
      <c r="E40" s="307">
        <f t="shared" ca="1" si="9"/>
        <v>-27.216635707129562</v>
      </c>
      <c r="F40" s="304">
        <f t="shared" ca="1" si="10"/>
        <v>27.605728543906135</v>
      </c>
      <c r="G40" s="306">
        <f t="shared" ca="1" si="11"/>
        <v>37.056330463569495</v>
      </c>
      <c r="H40" s="307">
        <f t="shared" ca="1" si="12"/>
        <v>139.56180840383598</v>
      </c>
      <c r="I40" s="304">
        <f t="shared" ca="1" si="13"/>
        <v>144.39761075715307</v>
      </c>
      <c r="J40" s="306">
        <f t="shared" ca="1" si="14"/>
        <v>145.72754733411765</v>
      </c>
      <c r="K40" s="307">
        <f t="shared" ca="1" si="15"/>
        <v>622.26498458917342</v>
      </c>
      <c r="L40" s="304">
        <f t="shared" ca="1" si="0"/>
        <v>639.10111023044055</v>
      </c>
      <c r="M40" s="306">
        <f t="shared" ca="1" si="16"/>
        <v>1.3112655890162224</v>
      </c>
      <c r="N40" s="304">
        <f t="shared" ca="1" si="17"/>
        <v>75.129984071365499</v>
      </c>
      <c r="P40" s="310">
        <f t="shared" ca="1" si="18"/>
        <v>3</v>
      </c>
      <c r="Q40" s="304">
        <f t="shared" ca="1" si="19"/>
        <v>0</v>
      </c>
      <c r="R40" s="306">
        <f t="shared" ca="1" si="20"/>
        <v>0</v>
      </c>
      <c r="S40" s="307">
        <f t="shared" ca="1" si="21"/>
        <v>4.341000000000002</v>
      </c>
      <c r="T40" s="304">
        <f t="shared" ca="1" si="1"/>
        <v>42.585210000000025</v>
      </c>
      <c r="U40" s="311">
        <f t="shared" ca="1" si="2"/>
        <v>0</v>
      </c>
      <c r="V40" s="306">
        <f t="shared" ca="1" si="3"/>
        <v>1.1510726591680036</v>
      </c>
      <c r="W40" s="304">
        <f t="shared" ca="1" si="4"/>
        <v>77.869103028952694</v>
      </c>
      <c r="Y40" s="314" t="str">
        <f t="shared" ca="1" si="22"/>
        <v/>
      </c>
      <c r="Z40" s="315" t="str">
        <f t="shared" ca="1" si="23"/>
        <v/>
      </c>
      <c r="AA40" s="316" t="str">
        <f t="shared" ca="1" si="24"/>
        <v/>
      </c>
      <c r="AC40" s="310" t="e">
        <f t="shared" ca="1" si="25"/>
        <v>#N/A</v>
      </c>
      <c r="AD40" s="323" t="e">
        <f t="shared" ca="1" si="26"/>
        <v>#N/A</v>
      </c>
      <c r="AE40" s="324">
        <f t="shared" ca="1" si="5"/>
        <v>622.26498458917342</v>
      </c>
      <c r="AG40" s="306">
        <f t="shared" ca="1" si="27"/>
        <v>-27.490847585682076</v>
      </c>
      <c r="AH40" s="304">
        <f t="shared" ca="1" si="28"/>
        <v>-18.008940997903014</v>
      </c>
    </row>
    <row r="41" spans="1:34" x14ac:dyDescent="0.2">
      <c r="A41" s="347">
        <f t="shared" ca="1" si="6"/>
        <v>0.01</v>
      </c>
      <c r="B41" s="304">
        <f t="shared" ca="1" si="7"/>
        <v>0.37000000000000016</v>
      </c>
      <c r="D41" s="306">
        <f t="shared" ca="1" si="8"/>
        <v>-4.603390208639329</v>
      </c>
      <c r="E41" s="307">
        <f t="shared" ca="1" si="9"/>
        <v>-27.147320081863583</v>
      </c>
      <c r="F41" s="304">
        <f t="shared" ca="1" si="10"/>
        <v>27.534854076972156</v>
      </c>
      <c r="G41" s="306">
        <f t="shared" ca="1" si="11"/>
        <v>37.010296561483102</v>
      </c>
      <c r="H41" s="307">
        <f t="shared" ca="1" si="12"/>
        <v>139.29033520301735</v>
      </c>
      <c r="I41" s="304">
        <f t="shared" ca="1" si="13"/>
        <v>144.12341771043961</v>
      </c>
      <c r="J41" s="306">
        <f t="shared" ca="1" si="14"/>
        <v>146.09788046924291</v>
      </c>
      <c r="K41" s="307">
        <f t="shared" ca="1" si="15"/>
        <v>623.6592453072077</v>
      </c>
      <c r="L41" s="304">
        <f t="shared" ca="1" si="0"/>
        <v>640.54308593158748</v>
      </c>
      <c r="M41" s="306">
        <f t="shared" ca="1" si="16"/>
        <v>1.3110909115592604</v>
      </c>
      <c r="N41" s="304">
        <f t="shared" ca="1" si="17"/>
        <v>75.119975790305503</v>
      </c>
      <c r="P41" s="310">
        <f t="shared" ca="1" si="18"/>
        <v>3</v>
      </c>
      <c r="Q41" s="304">
        <f t="shared" ca="1" si="19"/>
        <v>0</v>
      </c>
      <c r="R41" s="306">
        <f t="shared" ca="1" si="20"/>
        <v>0</v>
      </c>
      <c r="S41" s="307">
        <f t="shared" ca="1" si="21"/>
        <v>4.341000000000002</v>
      </c>
      <c r="T41" s="304">
        <f t="shared" ca="1" si="1"/>
        <v>42.585210000000025</v>
      </c>
      <c r="U41" s="311">
        <f t="shared" ca="1" si="2"/>
        <v>0</v>
      </c>
      <c r="V41" s="306">
        <f t="shared" ca="1" si="3"/>
        <v>1.1509120249792559</v>
      </c>
      <c r="W41" s="304">
        <f t="shared" ca="1" si="4"/>
        <v>77.562830842962086</v>
      </c>
      <c r="Y41" s="314" t="str">
        <f t="shared" ca="1" si="22"/>
        <v/>
      </c>
      <c r="Z41" s="315" t="str">
        <f t="shared" ca="1" si="23"/>
        <v/>
      </c>
      <c r="AA41" s="316" t="str">
        <f t="shared" ca="1" si="24"/>
        <v/>
      </c>
      <c r="AC41" s="310" t="e">
        <f t="shared" ca="1" si="25"/>
        <v>#N/A</v>
      </c>
      <c r="AD41" s="323" t="e">
        <f t="shared" ca="1" si="26"/>
        <v>#N/A</v>
      </c>
      <c r="AE41" s="324">
        <f t="shared" ca="1" si="5"/>
        <v>623.6592453072077</v>
      </c>
      <c r="AG41" s="306">
        <f t="shared" ca="1" si="27"/>
        <v>-27.419524547573715</v>
      </c>
      <c r="AH41" s="304">
        <f t="shared" ca="1" si="28"/>
        <v>-17.9380564452782</v>
      </c>
    </row>
    <row r="42" spans="1:34" x14ac:dyDescent="0.2">
      <c r="A42" s="347">
        <f t="shared" ca="1" si="6"/>
        <v>0.01</v>
      </c>
      <c r="B42" s="304">
        <f t="shared" ca="1" si="7"/>
        <v>0.38000000000000017</v>
      </c>
      <c r="D42" s="306">
        <f t="shared" ca="1" si="8"/>
        <v>-4.5883007638612678</v>
      </c>
      <c r="E42" s="307">
        <f t="shared" ca="1" si="9"/>
        <v>-27.078328297472197</v>
      </c>
      <c r="F42" s="304">
        <f t="shared" ca="1" si="10"/>
        <v>27.464310792104968</v>
      </c>
      <c r="G42" s="306">
        <f t="shared" ca="1" si="11"/>
        <v>36.964413553844487</v>
      </c>
      <c r="H42" s="307">
        <f t="shared" ca="1" si="12"/>
        <v>139.01955192004263</v>
      </c>
      <c r="I42" s="304">
        <f t="shared" ca="1" si="13"/>
        <v>143.84993460349253</v>
      </c>
      <c r="J42" s="306">
        <f t="shared" ca="1" si="14"/>
        <v>146.46775401981955</v>
      </c>
      <c r="K42" s="307">
        <f t="shared" ca="1" si="15"/>
        <v>625.05079474282297</v>
      </c>
      <c r="L42" s="304">
        <f t="shared" ca="1" si="0"/>
        <v>641.98231983150833</v>
      </c>
      <c r="M42" s="306">
        <f t="shared" ca="1" si="16"/>
        <v>1.3109157868797277</v>
      </c>
      <c r="N42" s="304">
        <f t="shared" ca="1" si="17"/>
        <v>75.109941885279696</v>
      </c>
      <c r="P42" s="310">
        <f t="shared" ca="1" si="18"/>
        <v>3</v>
      </c>
      <c r="Q42" s="304">
        <f t="shared" ca="1" si="19"/>
        <v>0</v>
      </c>
      <c r="R42" s="306">
        <f t="shared" ca="1" si="20"/>
        <v>0</v>
      </c>
      <c r="S42" s="307">
        <f t="shared" ca="1" si="21"/>
        <v>4.341000000000002</v>
      </c>
      <c r="T42" s="304">
        <f t="shared" ca="1" si="1"/>
        <v>42.585210000000025</v>
      </c>
      <c r="U42" s="311">
        <f t="shared" ca="1" si="2"/>
        <v>0</v>
      </c>
      <c r="V42" s="306">
        <f t="shared" ca="1" si="3"/>
        <v>1.1507517248146486</v>
      </c>
      <c r="W42" s="304">
        <f t="shared" ca="1" si="4"/>
        <v>77.257987512837829</v>
      </c>
      <c r="Y42" s="314" t="str">
        <f t="shared" ca="1" si="22"/>
        <v/>
      </c>
      <c r="Z42" s="315" t="str">
        <f t="shared" ca="1" si="23"/>
        <v/>
      </c>
      <c r="AA42" s="316" t="str">
        <f t="shared" ca="1" si="24"/>
        <v/>
      </c>
      <c r="AC42" s="310" t="e">
        <f t="shared" ca="1" si="25"/>
        <v>#N/A</v>
      </c>
      <c r="AD42" s="323" t="e">
        <f t="shared" ca="1" si="26"/>
        <v>#N/A</v>
      </c>
      <c r="AE42" s="324">
        <f t="shared" ca="1" si="5"/>
        <v>625.05079474282297</v>
      </c>
      <c r="AG42" s="306">
        <f t="shared" ca="1" si="27"/>
        <v>-27.348531278900754</v>
      </c>
      <c r="AH42" s="304">
        <f t="shared" ca="1" si="28"/>
        <v>-17.867503073706992</v>
      </c>
    </row>
    <row r="43" spans="1:34" x14ac:dyDescent="0.2">
      <c r="A43" s="347">
        <f t="shared" ca="1" si="6"/>
        <v>0.01</v>
      </c>
      <c r="B43" s="304">
        <f t="shared" ca="1" si="7"/>
        <v>0.39000000000000018</v>
      </c>
      <c r="D43" s="306">
        <f t="shared" ca="1" si="8"/>
        <v>-4.5732796304051506</v>
      </c>
      <c r="E43" s="307">
        <f t="shared" ca="1" si="9"/>
        <v>-27.009658371365084</v>
      </c>
      <c r="F43" s="304">
        <f t="shared" ca="1" si="10"/>
        <v>27.394096661794318</v>
      </c>
      <c r="G43" s="306">
        <f t="shared" ca="1" si="11"/>
        <v>36.918680757540436</v>
      </c>
      <c r="H43" s="307">
        <f t="shared" ca="1" si="12"/>
        <v>138.74945533632899</v>
      </c>
      <c r="I43" s="304">
        <f t="shared" ca="1" si="13"/>
        <v>143.57715815896742</v>
      </c>
      <c r="J43" s="306">
        <f t="shared" ca="1" si="14"/>
        <v>146.83716949137647</v>
      </c>
      <c r="K43" s="307">
        <f t="shared" ca="1" si="15"/>
        <v>626.43963977910482</v>
      </c>
      <c r="L43" s="304">
        <f t="shared" ca="1" si="0"/>
        <v>643.41881899025441</v>
      </c>
      <c r="M43" s="306">
        <f t="shared" ca="1" si="16"/>
        <v>1.310740213848083</v>
      </c>
      <c r="N43" s="304">
        <f t="shared" ca="1" si="17"/>
        <v>75.09988229157014</v>
      </c>
      <c r="P43" s="310">
        <f t="shared" ca="1" si="18"/>
        <v>3</v>
      </c>
      <c r="Q43" s="304">
        <f t="shared" ca="1" si="19"/>
        <v>0</v>
      </c>
      <c r="R43" s="306">
        <f t="shared" ca="1" si="20"/>
        <v>0</v>
      </c>
      <c r="S43" s="307">
        <f t="shared" ca="1" si="21"/>
        <v>4.341000000000002</v>
      </c>
      <c r="T43" s="304">
        <f t="shared" ca="1" si="1"/>
        <v>42.585210000000025</v>
      </c>
      <c r="U43" s="311">
        <f t="shared" ca="1" si="2"/>
        <v>0</v>
      </c>
      <c r="V43" s="306">
        <f t="shared" ca="1" si="3"/>
        <v>1.1505917577506244</v>
      </c>
      <c r="W43" s="304">
        <f t="shared" ca="1" si="4"/>
        <v>76.95456430551063</v>
      </c>
      <c r="Y43" s="314" t="str">
        <f t="shared" ca="1" si="22"/>
        <v/>
      </c>
      <c r="Z43" s="315" t="str">
        <f t="shared" ca="1" si="23"/>
        <v/>
      </c>
      <c r="AA43" s="316" t="str">
        <f t="shared" ca="1" si="24"/>
        <v/>
      </c>
      <c r="AC43" s="310" t="e">
        <f t="shared" ca="1" si="25"/>
        <v>#N/A</v>
      </c>
      <c r="AD43" s="323" t="e">
        <f t="shared" ca="1" si="26"/>
        <v>#N/A</v>
      </c>
      <c r="AE43" s="324">
        <f t="shared" ca="1" si="5"/>
        <v>626.43963977910482</v>
      </c>
      <c r="AG43" s="306">
        <f t="shared" ca="1" si="27"/>
        <v>-27.277865747190987</v>
      </c>
      <c r="AH43" s="304">
        <f t="shared" ca="1" si="28"/>
        <v>-17.797278855756229</v>
      </c>
    </row>
    <row r="44" spans="1:34" x14ac:dyDescent="0.2">
      <c r="A44" s="347">
        <f t="shared" ca="1" si="6"/>
        <v>0.01</v>
      </c>
      <c r="B44" s="304">
        <f t="shared" ca="1" si="7"/>
        <v>0.40000000000000019</v>
      </c>
      <c r="D44" s="306">
        <f t="shared" ca="1" si="8"/>
        <v>-4.5583263868876474</v>
      </c>
      <c r="E44" s="307">
        <f t="shared" ca="1" si="9"/>
        <v>-26.941308336273636</v>
      </c>
      <c r="F44" s="304">
        <f t="shared" ca="1" si="10"/>
        <v>27.32420967419851</v>
      </c>
      <c r="G44" s="306">
        <f t="shared" ca="1" si="11"/>
        <v>36.873097493671558</v>
      </c>
      <c r="H44" s="307">
        <f t="shared" ca="1" si="12"/>
        <v>138.48004225296626</v>
      </c>
      <c r="I44" s="304">
        <f t="shared" ca="1" si="13"/>
        <v>143.30508511968836</v>
      </c>
      <c r="J44" s="306">
        <f t="shared" ca="1" si="14"/>
        <v>147.20612838263253</v>
      </c>
      <c r="K44" s="307">
        <f t="shared" ca="1" si="15"/>
        <v>627.82578726705128</v>
      </c>
      <c r="L44" s="304">
        <f t="shared" ca="1" si="0"/>
        <v>644.85259043512951</v>
      </c>
      <c r="M44" s="306">
        <f t="shared" ca="1" si="16"/>
        <v>1.3105641913302655</v>
      </c>
      <c r="N44" s="304">
        <f t="shared" ca="1" si="17"/>
        <v>75.089796944199932</v>
      </c>
      <c r="P44" s="310">
        <f t="shared" ca="1" si="18"/>
        <v>3</v>
      </c>
      <c r="Q44" s="304">
        <f t="shared" ca="1" si="19"/>
        <v>0</v>
      </c>
      <c r="R44" s="306">
        <f t="shared" ca="1" si="20"/>
        <v>0</v>
      </c>
      <c r="S44" s="307">
        <f t="shared" ca="1" si="21"/>
        <v>4.341000000000002</v>
      </c>
      <c r="T44" s="304">
        <f t="shared" ca="1" si="1"/>
        <v>42.585210000000025</v>
      </c>
      <c r="U44" s="311">
        <f t="shared" ca="1" si="2"/>
        <v>0</v>
      </c>
      <c r="V44" s="306">
        <f t="shared" ca="1" si="3"/>
        <v>1.1504321228680463</v>
      </c>
      <c r="W44" s="304">
        <f t="shared" ca="1" si="4"/>
        <v>76.652552555298669</v>
      </c>
      <c r="Y44" s="314" t="str">
        <f t="shared" ca="1" si="22"/>
        <v/>
      </c>
      <c r="Z44" s="315" t="str">
        <f t="shared" ca="1" si="23"/>
        <v/>
      </c>
      <c r="AA44" s="316" t="str">
        <f t="shared" ca="1" si="24"/>
        <v/>
      </c>
      <c r="AC44" s="310" t="e">
        <f t="shared" ca="1" si="25"/>
        <v>#N/A</v>
      </c>
      <c r="AD44" s="323" t="e">
        <f t="shared" ca="1" si="26"/>
        <v>#N/A</v>
      </c>
      <c r="AE44" s="324">
        <f t="shared" ca="1" si="5"/>
        <v>627.82578726705128</v>
      </c>
      <c r="AG44" s="306">
        <f t="shared" ca="1" si="27"/>
        <v>-27.207525935616687</v>
      </c>
      <c r="AH44" s="304">
        <f t="shared" ca="1" si="28"/>
        <v>-17.727381779661506</v>
      </c>
    </row>
    <row r="45" spans="1:34" x14ac:dyDescent="0.2">
      <c r="A45" s="347">
        <f t="shared" ca="1" si="6"/>
        <v>0.01</v>
      </c>
      <c r="B45" s="304">
        <f t="shared" ca="1" si="7"/>
        <v>0.4100000000000002</v>
      </c>
      <c r="D45" s="306">
        <f t="shared" ca="1" si="8"/>
        <v>-4.5434406151728739</v>
      </c>
      <c r="E45" s="307">
        <f t="shared" ca="1" si="9"/>
        <v>-26.873276240108844</v>
      </c>
      <c r="F45" s="304">
        <f t="shared" ca="1" si="10"/>
        <v>27.254647832999073</v>
      </c>
      <c r="G45" s="306">
        <f t="shared" ca="1" si="11"/>
        <v>36.827663087519831</v>
      </c>
      <c r="H45" s="307">
        <f t="shared" ca="1" si="12"/>
        <v>138.21130949056516</v>
      </c>
      <c r="I45" s="304">
        <f t="shared" ca="1" si="13"/>
        <v>143.03371224849286</v>
      </c>
      <c r="J45" s="306">
        <f t="shared" ca="1" si="14"/>
        <v>147.57463218553849</v>
      </c>
      <c r="K45" s="307">
        <f t="shared" ca="1" si="15"/>
        <v>629.20924402576895</v>
      </c>
      <c r="L45" s="304">
        <f t="shared" ca="1" si="0"/>
        <v>646.28364116088892</v>
      </c>
      <c r="M45" s="306">
        <f t="shared" ca="1" si="16"/>
        <v>1.3103877181876729</v>
      </c>
      <c r="N45" s="304">
        <f t="shared" ca="1" si="17"/>
        <v>75.079685777931957</v>
      </c>
      <c r="P45" s="310">
        <f t="shared" ca="1" si="18"/>
        <v>3</v>
      </c>
      <c r="Q45" s="304">
        <f t="shared" ca="1" si="19"/>
        <v>0</v>
      </c>
      <c r="R45" s="306">
        <f t="shared" ca="1" si="20"/>
        <v>0</v>
      </c>
      <c r="S45" s="307">
        <f t="shared" ca="1" si="21"/>
        <v>4.341000000000002</v>
      </c>
      <c r="T45" s="304">
        <f t="shared" ca="1" si="1"/>
        <v>42.585210000000025</v>
      </c>
      <c r="U45" s="311">
        <f t="shared" ca="1" si="2"/>
        <v>0</v>
      </c>
      <c r="V45" s="306">
        <f t="shared" ca="1" si="3"/>
        <v>1.1502728192521694</v>
      </c>
      <c r="W45" s="304">
        <f t="shared" ca="1" si="4"/>
        <v>76.351943663283507</v>
      </c>
      <c r="Y45" s="314" t="str">
        <f t="shared" ca="1" si="22"/>
        <v/>
      </c>
      <c r="Z45" s="315" t="str">
        <f t="shared" ca="1" si="23"/>
        <v/>
      </c>
      <c r="AA45" s="316" t="str">
        <f t="shared" ca="1" si="24"/>
        <v/>
      </c>
      <c r="AC45" s="310" t="e">
        <f t="shared" ca="1" si="25"/>
        <v>#N/A</v>
      </c>
      <c r="AD45" s="323" t="e">
        <f t="shared" ca="1" si="26"/>
        <v>#N/A</v>
      </c>
      <c r="AE45" s="324">
        <f t="shared" ca="1" si="5"/>
        <v>629.20924402576895</v>
      </c>
      <c r="AG45" s="306">
        <f t="shared" ca="1" si="27"/>
        <v>-27.137509842849184</v>
      </c>
      <c r="AH45" s="304">
        <f t="shared" ca="1" si="28"/>
        <v>-17.657809849181902</v>
      </c>
    </row>
    <row r="46" spans="1:34" x14ac:dyDescent="0.2">
      <c r="A46" s="347">
        <f t="shared" ca="1" si="6"/>
        <v>0.01</v>
      </c>
      <c r="B46" s="304">
        <f t="shared" ca="1" si="7"/>
        <v>0.42000000000000021</v>
      </c>
      <c r="D46" s="306">
        <f t="shared" ca="1" si="8"/>
        <v>-4.528621900342336</v>
      </c>
      <c r="E46" s="307">
        <f t="shared" ca="1" si="9"/>
        <v>-26.805560145820749</v>
      </c>
      <c r="F46" s="304">
        <f t="shared" ca="1" si="10"/>
        <v>27.18540915725702</v>
      </c>
      <c r="G46" s="306">
        <f t="shared" ca="1" si="11"/>
        <v>36.782376868516408</v>
      </c>
      <c r="H46" s="307">
        <f t="shared" ca="1" si="12"/>
        <v>137.94325388910696</v>
      </c>
      <c r="I46" s="304">
        <f t="shared" ca="1" si="13"/>
        <v>142.76303632807827</v>
      </c>
      <c r="J46" s="306">
        <f t="shared" ca="1" si="14"/>
        <v>147.94268238531868</v>
      </c>
      <c r="K46" s="307">
        <f t="shared" ca="1" si="15"/>
        <v>630.5900168426673</v>
      </c>
      <c r="L46" s="304">
        <f t="shared" ca="1" si="0"/>
        <v>647.7119781299391</v>
      </c>
      <c r="M46" s="306">
        <f t="shared" ca="1" si="16"/>
        <v>1.3102107932771434</v>
      </c>
      <c r="N46" s="304">
        <f t="shared" ca="1" si="17"/>
        <v>75.069548727267886</v>
      </c>
      <c r="P46" s="310">
        <f t="shared" ca="1" si="18"/>
        <v>3</v>
      </c>
      <c r="Q46" s="304">
        <f t="shared" ca="1" si="19"/>
        <v>0</v>
      </c>
      <c r="R46" s="306">
        <f t="shared" ca="1" si="20"/>
        <v>0</v>
      </c>
      <c r="S46" s="307">
        <f t="shared" ca="1" si="21"/>
        <v>4.341000000000002</v>
      </c>
      <c r="T46" s="304">
        <f t="shared" ca="1" si="1"/>
        <v>42.585210000000025</v>
      </c>
      <c r="U46" s="311">
        <f t="shared" ca="1" si="2"/>
        <v>0</v>
      </c>
      <c r="V46" s="306">
        <f t="shared" ca="1" si="3"/>
        <v>1.1501138459926135</v>
      </c>
      <c r="W46" s="304">
        <f t="shared" ca="1" si="4"/>
        <v>76.052729096692715</v>
      </c>
      <c r="Y46" s="314" t="str">
        <f t="shared" ca="1" si="22"/>
        <v/>
      </c>
      <c r="Z46" s="315" t="str">
        <f t="shared" ca="1" si="23"/>
        <v/>
      </c>
      <c r="AA46" s="316" t="str">
        <f t="shared" ca="1" si="24"/>
        <v/>
      </c>
      <c r="AC46" s="310" t="e">
        <f t="shared" ca="1" si="25"/>
        <v>#N/A</v>
      </c>
      <c r="AD46" s="323" t="e">
        <f t="shared" ca="1" si="26"/>
        <v>#N/A</v>
      </c>
      <c r="AE46" s="324">
        <f t="shared" ca="1" si="5"/>
        <v>630.5900168426673</v>
      </c>
      <c r="AG46" s="306">
        <f t="shared" ca="1" si="27"/>
        <v>-27.067815482914984</v>
      </c>
      <c r="AH46" s="304">
        <f t="shared" ca="1" si="28"/>
        <v>-17.588561083456224</v>
      </c>
    </row>
    <row r="47" spans="1:34" x14ac:dyDescent="0.2">
      <c r="A47" s="347">
        <f t="shared" ca="1" si="6"/>
        <v>0.01</v>
      </c>
      <c r="B47" s="304">
        <f t="shared" ca="1" si="7"/>
        <v>0.43000000000000022</v>
      </c>
      <c r="D47" s="306">
        <f t="shared" ca="1" si="8"/>
        <v>-4.5138698306651479</v>
      </c>
      <c r="E47" s="307">
        <f t="shared" ca="1" si="9"/>
        <v>-26.738158131259375</v>
      </c>
      <c r="F47" s="304">
        <f t="shared" ca="1" si="10"/>
        <v>27.116491681270659</v>
      </c>
      <c r="G47" s="306">
        <f t="shared" ca="1" si="11"/>
        <v>36.737238170209757</v>
      </c>
      <c r="H47" s="307">
        <f t="shared" ca="1" si="12"/>
        <v>137.67587230779435</v>
      </c>
      <c r="I47" s="304">
        <f t="shared" ca="1" si="13"/>
        <v>142.49305416084957</v>
      </c>
      <c r="J47" s="306">
        <f t="shared" ca="1" si="14"/>
        <v>148.3102804605123</v>
      </c>
      <c r="K47" s="307">
        <f t="shared" ca="1" si="15"/>
        <v>631.96811247365179</v>
      </c>
      <c r="L47" s="304">
        <f t="shared" ca="1" si="0"/>
        <v>649.13760827253418</v>
      </c>
      <c r="M47" s="306">
        <f t="shared" ca="1" si="16"/>
        <v>1.3100334154509339</v>
      </c>
      <c r="N47" s="304">
        <f t="shared" ca="1" si="17"/>
        <v>75.059385726446877</v>
      </c>
      <c r="P47" s="310">
        <f t="shared" ca="1" si="18"/>
        <v>3</v>
      </c>
      <c r="Q47" s="304">
        <f t="shared" ca="1" si="19"/>
        <v>0</v>
      </c>
      <c r="R47" s="306">
        <f t="shared" ca="1" si="20"/>
        <v>0</v>
      </c>
      <c r="S47" s="307">
        <f t="shared" ca="1" si="21"/>
        <v>4.341000000000002</v>
      </c>
      <c r="T47" s="304">
        <f t="shared" ca="1" si="1"/>
        <v>42.585210000000025</v>
      </c>
      <c r="U47" s="311">
        <f t="shared" ca="1" si="2"/>
        <v>0</v>
      </c>
      <c r="V47" s="306">
        <f t="shared" ca="1" si="3"/>
        <v>1.1499552021833359</v>
      </c>
      <c r="W47" s="304">
        <f t="shared" ca="1" si="4"/>
        <v>75.75490038828913</v>
      </c>
      <c r="Y47" s="314" t="str">
        <f t="shared" ca="1" si="22"/>
        <v/>
      </c>
      <c r="Z47" s="315" t="str">
        <f t="shared" ca="1" si="23"/>
        <v/>
      </c>
      <c r="AA47" s="316" t="str">
        <f t="shared" ca="1" si="24"/>
        <v/>
      </c>
      <c r="AC47" s="310" t="e">
        <f t="shared" ca="1" si="25"/>
        <v>#N/A</v>
      </c>
      <c r="AD47" s="323" t="e">
        <f t="shared" ca="1" si="26"/>
        <v>#N/A</v>
      </c>
      <c r="AE47" s="324">
        <f t="shared" ca="1" si="5"/>
        <v>631.96811247365179</v>
      </c>
      <c r="AG47" s="306">
        <f t="shared" ca="1" si="27"/>
        <v>-26.998440885053412</v>
      </c>
      <c r="AH47" s="304">
        <f t="shared" ca="1" si="28"/>
        <v>-17.51963351686079</v>
      </c>
    </row>
    <row r="48" spans="1:34" x14ac:dyDescent="0.2">
      <c r="A48" s="347">
        <f t="shared" ca="1" si="6"/>
        <v>0.01</v>
      </c>
      <c r="B48" s="304">
        <f t="shared" ca="1" si="7"/>
        <v>0.44000000000000022</v>
      </c>
      <c r="D48" s="306">
        <f t="shared" ca="1" si="8"/>
        <v>-4.499183997568613</v>
      </c>
      <c r="E48" s="307">
        <f t="shared" ca="1" si="9"/>
        <v>-26.67106828903713</v>
      </c>
      <c r="F48" s="304">
        <f t="shared" ca="1" si="10"/>
        <v>27.047893454434849</v>
      </c>
      <c r="G48" s="306">
        <f t="shared" ca="1" si="11"/>
        <v>36.69224633023407</v>
      </c>
      <c r="H48" s="307">
        <f t="shared" ca="1" si="12"/>
        <v>137.40916162490399</v>
      </c>
      <c r="I48" s="304">
        <f t="shared" ca="1" si="13"/>
        <v>142.22376256876893</v>
      </c>
      <c r="J48" s="306">
        <f t="shared" ca="1" si="14"/>
        <v>148.67742788301453</v>
      </c>
      <c r="K48" s="307">
        <f t="shared" ca="1" si="15"/>
        <v>633.34353764331524</v>
      </c>
      <c r="L48" s="304">
        <f t="shared" ca="1" si="0"/>
        <v>650.56053848697161</v>
      </c>
      <c r="M48" s="306">
        <f t="shared" ca="1" si="16"/>
        <v>1.3098555835567012</v>
      </c>
      <c r="N48" s="304">
        <f t="shared" ca="1" si="17"/>
        <v>75.04919670944453</v>
      </c>
      <c r="P48" s="310">
        <f t="shared" ca="1" si="18"/>
        <v>3</v>
      </c>
      <c r="Q48" s="304">
        <f t="shared" ca="1" si="19"/>
        <v>0</v>
      </c>
      <c r="R48" s="306">
        <f t="shared" ca="1" si="20"/>
        <v>0</v>
      </c>
      <c r="S48" s="307">
        <f t="shared" ca="1" si="21"/>
        <v>4.341000000000002</v>
      </c>
      <c r="T48" s="304">
        <f t="shared" ca="1" si="1"/>
        <v>42.585210000000025</v>
      </c>
      <c r="U48" s="311">
        <f t="shared" ca="1" si="2"/>
        <v>0</v>
      </c>
      <c r="V48" s="306">
        <f t="shared" ca="1" si="3"/>
        <v>1.1497968869226052</v>
      </c>
      <c r="W48" s="304">
        <f t="shared" ca="1" si="4"/>
        <v>75.458449135767225</v>
      </c>
      <c r="Y48" s="314" t="str">
        <f t="shared" ca="1" si="22"/>
        <v/>
      </c>
      <c r="Z48" s="315" t="str">
        <f t="shared" ca="1" si="23"/>
        <v/>
      </c>
      <c r="AA48" s="316" t="str">
        <f t="shared" ca="1" si="24"/>
        <v/>
      </c>
      <c r="AC48" s="310" t="e">
        <f t="shared" ca="1" si="25"/>
        <v>#N/A</v>
      </c>
      <c r="AD48" s="323" t="e">
        <f t="shared" ca="1" si="26"/>
        <v>#N/A</v>
      </c>
      <c r="AE48" s="324">
        <f t="shared" ca="1" si="5"/>
        <v>633.34353764331524</v>
      </c>
      <c r="AG48" s="306">
        <f t="shared" ca="1" si="27"/>
        <v>-26.92938409357577</v>
      </c>
      <c r="AH48" s="304">
        <f t="shared" ca="1" si="28"/>
        <v>-17.451025198868717</v>
      </c>
    </row>
    <row r="49" spans="1:34" x14ac:dyDescent="0.2">
      <c r="A49" s="347">
        <f t="shared" ca="1" si="6"/>
        <v>0.01</v>
      </c>
      <c r="B49" s="304">
        <f t="shared" ca="1" si="7"/>
        <v>0.45000000000000023</v>
      </c>
      <c r="D49" s="306">
        <f t="shared" ca="1" si="8"/>
        <v>-4.484563995609121</v>
      </c>
      <c r="E49" s="307">
        <f t="shared" ca="1" si="9"/>
        <v>-26.604288726392831</v>
      </c>
      <c r="F49" s="304">
        <f t="shared" ca="1" si="10"/>
        <v>26.979612541101964</v>
      </c>
      <c r="G49" s="306">
        <f t="shared" ca="1" si="11"/>
        <v>36.647400690277976</v>
      </c>
      <c r="H49" s="307">
        <f t="shared" ca="1" si="12"/>
        <v>137.14311873764007</v>
      </c>
      <c r="I49" s="304">
        <f t="shared" ca="1" si="13"/>
        <v>141.95515839320609</v>
      </c>
      <c r="J49" s="306">
        <f t="shared" ca="1" si="14"/>
        <v>149.04412611811708</v>
      </c>
      <c r="K49" s="307">
        <f t="shared" ca="1" si="15"/>
        <v>634.71629904512793</v>
      </c>
      <c r="L49" s="304">
        <f t="shared" ca="1" si="0"/>
        <v>651.98077563978632</v>
      </c>
      <c r="M49" s="306">
        <f t="shared" ca="1" si="16"/>
        <v>1.3096772964374805</v>
      </c>
      <c r="N49" s="304">
        <f t="shared" ca="1" si="17"/>
        <v>75.038981609971643</v>
      </c>
      <c r="P49" s="310">
        <f t="shared" ca="1" si="18"/>
        <v>3</v>
      </c>
      <c r="Q49" s="304">
        <f t="shared" ca="1" si="19"/>
        <v>0</v>
      </c>
      <c r="R49" s="306">
        <f t="shared" ca="1" si="20"/>
        <v>0</v>
      </c>
      <c r="S49" s="307">
        <f t="shared" ca="1" si="21"/>
        <v>4.341000000000002</v>
      </c>
      <c r="T49" s="304">
        <f t="shared" ca="1" si="1"/>
        <v>42.585210000000025</v>
      </c>
      <c r="U49" s="311">
        <f t="shared" ca="1" si="2"/>
        <v>0</v>
      </c>
      <c r="V49" s="306">
        <f t="shared" ca="1" si="3"/>
        <v>1.1496388993129736</v>
      </c>
      <c r="W49" s="304">
        <f t="shared" ca="1" si="4"/>
        <v>75.163367001155109</v>
      </c>
      <c r="Y49" s="314" t="str">
        <f t="shared" ca="1" si="22"/>
        <v/>
      </c>
      <c r="Z49" s="315" t="str">
        <f t="shared" ca="1" si="23"/>
        <v/>
      </c>
      <c r="AA49" s="316" t="str">
        <f t="shared" ca="1" si="24"/>
        <v/>
      </c>
      <c r="AC49" s="310" t="e">
        <f t="shared" ca="1" si="25"/>
        <v>#N/A</v>
      </c>
      <c r="AD49" s="323" t="e">
        <f t="shared" ca="1" si="26"/>
        <v>#N/A</v>
      </c>
      <c r="AE49" s="324">
        <f t="shared" ca="1" si="5"/>
        <v>634.71629904512793</v>
      </c>
      <c r="AG49" s="306">
        <f t="shared" ca="1" si="27"/>
        <v>-26.86064316772617</v>
      </c>
      <c r="AH49" s="304">
        <f t="shared" ca="1" si="28"/>
        <v>-17.382734193910895</v>
      </c>
    </row>
    <row r="50" spans="1:34" x14ac:dyDescent="0.2">
      <c r="A50" s="347">
        <f t="shared" ca="1" si="6"/>
        <v>0.01</v>
      </c>
      <c r="B50" s="304">
        <f t="shared" ca="1" si="7"/>
        <v>0.46000000000000024</v>
      </c>
      <c r="D50" s="306">
        <f t="shared" ca="1" si="8"/>
        <v>-4.4700094224433231</v>
      </c>
      <c r="E50" s="307">
        <f t="shared" ca="1" si="9"/>
        <v>-26.537817565057026</v>
      </c>
      <c r="F50" s="304">
        <f t="shared" ca="1" si="10"/>
        <v>26.911647020444164</v>
      </c>
      <c r="G50" s="306">
        <f t="shared" ca="1" si="11"/>
        <v>36.602700596053545</v>
      </c>
      <c r="H50" s="307">
        <f t="shared" ca="1" si="12"/>
        <v>136.8777405619895</v>
      </c>
      <c r="I50" s="304">
        <f t="shared" ca="1" si="13"/>
        <v>141.68723849479051</v>
      </c>
      <c r="J50" s="306">
        <f t="shared" ca="1" si="14"/>
        <v>149.41037662454875</v>
      </c>
      <c r="K50" s="307">
        <f t="shared" ca="1" si="15"/>
        <v>636.08640334162612</v>
      </c>
      <c r="L50" s="304">
        <f t="shared" ca="1" si="0"/>
        <v>653.39832656594353</v>
      </c>
      <c r="M50" s="306">
        <f t="shared" ca="1" si="16"/>
        <v>1.3094985529316656</v>
      </c>
      <c r="N50" s="304">
        <f t="shared" ca="1" si="17"/>
        <v>75.028740361473069</v>
      </c>
      <c r="P50" s="310">
        <f t="shared" ca="1" si="18"/>
        <v>3</v>
      </c>
      <c r="Q50" s="304">
        <f t="shared" ca="1" si="19"/>
        <v>0</v>
      </c>
      <c r="R50" s="306">
        <f t="shared" ca="1" si="20"/>
        <v>0</v>
      </c>
      <c r="S50" s="307">
        <f t="shared" ca="1" si="21"/>
        <v>4.341000000000002</v>
      </c>
      <c r="T50" s="304">
        <f t="shared" ca="1" si="1"/>
        <v>42.585210000000025</v>
      </c>
      <c r="U50" s="311">
        <f t="shared" ca="1" si="2"/>
        <v>0</v>
      </c>
      <c r="V50" s="306">
        <f t="shared" ca="1" si="3"/>
        <v>1.1494812384612509</v>
      </c>
      <c r="W50" s="304">
        <f t="shared" ca="1" si="4"/>
        <v>74.869645710223608</v>
      </c>
      <c r="Y50" s="314" t="str">
        <f t="shared" ca="1" si="22"/>
        <v/>
      </c>
      <c r="Z50" s="315" t="str">
        <f t="shared" ca="1" si="23"/>
        <v/>
      </c>
      <c r="AA50" s="316" t="str">
        <f t="shared" ca="1" si="24"/>
        <v/>
      </c>
      <c r="AC50" s="310" t="e">
        <f t="shared" ca="1" si="25"/>
        <v>#N/A</v>
      </c>
      <c r="AD50" s="323" t="e">
        <f t="shared" ca="1" si="26"/>
        <v>#N/A</v>
      </c>
      <c r="AE50" s="324">
        <f t="shared" ca="1" si="5"/>
        <v>636.08640334162612</v>
      </c>
      <c r="AG50" s="306">
        <f t="shared" ca="1" si="27"/>
        <v>-26.792216181543623</v>
      </c>
      <c r="AH50" s="304">
        <f t="shared" ca="1" si="28"/>
        <v>-17.314758581238213</v>
      </c>
    </row>
    <row r="51" spans="1:34" x14ac:dyDescent="0.2">
      <c r="A51" s="347">
        <f t="shared" ca="1" si="6"/>
        <v>0.01</v>
      </c>
      <c r="B51" s="304">
        <f t="shared" ca="1" si="7"/>
        <v>0.47000000000000025</v>
      </c>
      <c r="D51" s="306">
        <f t="shared" ca="1" si="8"/>
        <v>-4.4555198787996639</v>
      </c>
      <c r="E51" s="307">
        <f t="shared" ca="1" si="9"/>
        <v>-26.471652941118819</v>
      </c>
      <c r="F51" s="304">
        <f t="shared" ca="1" si="10"/>
        <v>26.843994986317213</v>
      </c>
      <c r="G51" s="306">
        <f t="shared" ca="1" si="11"/>
        <v>36.558145397265548</v>
      </c>
      <c r="H51" s="307">
        <f t="shared" ca="1" si="12"/>
        <v>136.61302403257832</v>
      </c>
      <c r="I51" s="304">
        <f t="shared" ca="1" si="13"/>
        <v>141.41999975326488</v>
      </c>
      <c r="J51" s="306">
        <f t="shared" ca="1" si="14"/>
        <v>149.77618085451533</v>
      </c>
      <c r="K51" s="307">
        <f t="shared" ca="1" si="15"/>
        <v>637.45385716459896</v>
      </c>
      <c r="L51" s="304">
        <f t="shared" ca="1" si="0"/>
        <v>654.813198069029</v>
      </c>
      <c r="M51" s="306">
        <f t="shared" ca="1" si="16"/>
        <v>1.3093193518729889</v>
      </c>
      <c r="N51" s="304">
        <f t="shared" ca="1" si="17"/>
        <v>75.018472897126614</v>
      </c>
      <c r="P51" s="310">
        <f t="shared" ca="1" si="18"/>
        <v>3</v>
      </c>
      <c r="Q51" s="304">
        <f t="shared" ca="1" si="19"/>
        <v>0</v>
      </c>
      <c r="R51" s="306">
        <f t="shared" ca="1" si="20"/>
        <v>0</v>
      </c>
      <c r="S51" s="307">
        <f t="shared" ca="1" si="21"/>
        <v>4.341000000000002</v>
      </c>
      <c r="T51" s="304">
        <f t="shared" ca="1" si="1"/>
        <v>42.585210000000025</v>
      </c>
      <c r="U51" s="311">
        <f t="shared" ca="1" si="2"/>
        <v>0</v>
      </c>
      <c r="V51" s="306">
        <f t="shared" ca="1" si="3"/>
        <v>1.1493239034784772</v>
      </c>
      <c r="W51" s="304">
        <f t="shared" ca="1" si="4"/>
        <v>74.577277051901518</v>
      </c>
      <c r="Y51" s="314" t="str">
        <f t="shared" ca="1" si="22"/>
        <v/>
      </c>
      <c r="Z51" s="315" t="str">
        <f t="shared" ca="1" si="23"/>
        <v/>
      </c>
      <c r="AA51" s="316" t="str">
        <f t="shared" ca="1" si="24"/>
        <v/>
      </c>
      <c r="AC51" s="310" t="e">
        <f t="shared" ca="1" si="25"/>
        <v>#N/A</v>
      </c>
      <c r="AD51" s="323" t="e">
        <f t="shared" ca="1" si="26"/>
        <v>#N/A</v>
      </c>
      <c r="AE51" s="324">
        <f t="shared" ca="1" si="5"/>
        <v>637.45385716459896</v>
      </c>
      <c r="AG51" s="306">
        <f t="shared" ca="1" si="27"/>
        <v>-26.724101223725775</v>
      </c>
      <c r="AH51" s="304">
        <f t="shared" ca="1" si="28"/>
        <v>-17.247096454785435</v>
      </c>
    </row>
    <row r="52" spans="1:34" x14ac:dyDescent="0.2">
      <c r="A52" s="347">
        <f t="shared" ca="1" si="6"/>
        <v>0.01</v>
      </c>
      <c r="B52" s="304">
        <f t="shared" ca="1" si="7"/>
        <v>0.48000000000000026</v>
      </c>
      <c r="D52" s="306">
        <f t="shared" ca="1" si="8"/>
        <v>-4.4410949684501686</v>
      </c>
      <c r="E52" s="307">
        <f t="shared" ca="1" si="9"/>
        <v>-26.405793004894228</v>
      </c>
      <c r="F52" s="304">
        <f t="shared" ca="1" si="10"/>
        <v>26.77665454712583</v>
      </c>
      <c r="G52" s="306">
        <f t="shared" ca="1" si="11"/>
        <v>36.513734447581044</v>
      </c>
      <c r="H52" s="307">
        <f t="shared" ca="1" si="12"/>
        <v>136.34896610252937</v>
      </c>
      <c r="I52" s="304">
        <f t="shared" ca="1" si="13"/>
        <v>141.15343906733966</v>
      </c>
      <c r="J52" s="306">
        <f t="shared" ca="1" si="14"/>
        <v>150.14154025373958</v>
      </c>
      <c r="K52" s="307">
        <f t="shared" ca="1" si="15"/>
        <v>638.81866711527448</v>
      </c>
      <c r="L52" s="304">
        <f t="shared" ca="1" si="0"/>
        <v>656.22539692143971</v>
      </c>
      <c r="M52" s="306">
        <f t="shared" ca="1" si="16"/>
        <v>1.309139692090499</v>
      </c>
      <c r="N52" s="304">
        <f t="shared" ca="1" si="17"/>
        <v>75.008179149841709</v>
      </c>
      <c r="P52" s="310">
        <f t="shared" ca="1" si="18"/>
        <v>3</v>
      </c>
      <c r="Q52" s="304">
        <f t="shared" ca="1" si="19"/>
        <v>0</v>
      </c>
      <c r="R52" s="306">
        <f t="shared" ca="1" si="20"/>
        <v>0</v>
      </c>
      <c r="S52" s="307">
        <f t="shared" ca="1" si="21"/>
        <v>4.341000000000002</v>
      </c>
      <c r="T52" s="304">
        <f t="shared" ca="1" si="1"/>
        <v>42.585210000000025</v>
      </c>
      <c r="U52" s="311">
        <f t="shared" ca="1" si="2"/>
        <v>0</v>
      </c>
      <c r="V52" s="306">
        <f t="shared" ca="1" si="3"/>
        <v>1.149166893479898</v>
      </c>
      <c r="W52" s="304">
        <f t="shared" ca="1" si="4"/>
        <v>74.28625287769691</v>
      </c>
      <c r="Y52" s="314" t="str">
        <f t="shared" ca="1" si="22"/>
        <v/>
      </c>
      <c r="Z52" s="315" t="str">
        <f t="shared" ca="1" si="23"/>
        <v/>
      </c>
      <c r="AA52" s="316" t="str">
        <f t="shared" ca="1" si="24"/>
        <v/>
      </c>
      <c r="AC52" s="310" t="e">
        <f t="shared" ca="1" si="25"/>
        <v>#N/A</v>
      </c>
      <c r="AD52" s="323" t="e">
        <f t="shared" ca="1" si="26"/>
        <v>#N/A</v>
      </c>
      <c r="AE52" s="324">
        <f t="shared" ca="1" si="5"/>
        <v>638.81866711527448</v>
      </c>
      <c r="AG52" s="306">
        <f t="shared" ca="1" si="27"/>
        <v>-26.656296397494096</v>
      </c>
      <c r="AH52" s="304">
        <f t="shared" ca="1" si="28"/>
        <v>-17.17974592303651</v>
      </c>
    </row>
    <row r="53" spans="1:34" x14ac:dyDescent="0.2">
      <c r="A53" s="347">
        <f t="shared" ca="1" si="6"/>
        <v>0.01</v>
      </c>
      <c r="B53" s="304">
        <f t="shared" ca="1" si="7"/>
        <v>0.49000000000000027</v>
      </c>
      <c r="D53" s="306">
        <f t="shared" ca="1" si="8"/>
        <v>-4.4267342981825868</v>
      </c>
      <c r="E53" s="307">
        <f t="shared" ca="1" si="9"/>
        <v>-26.340235920795756</v>
      </c>
      <c r="F53" s="304">
        <f t="shared" ca="1" si="10"/>
        <v>26.70962382569034</v>
      </c>
      <c r="G53" s="306">
        <f t="shared" ca="1" si="11"/>
        <v>36.469467104599218</v>
      </c>
      <c r="H53" s="307">
        <f t="shared" ca="1" si="12"/>
        <v>136.08556374332142</v>
      </c>
      <c r="I53" s="304">
        <f t="shared" ca="1" si="13"/>
        <v>140.88755335454954</v>
      </c>
      <c r="J53" s="306">
        <f t="shared" ca="1" si="14"/>
        <v>150.50645626150049</v>
      </c>
      <c r="K53" s="307">
        <f t="shared" ca="1" si="15"/>
        <v>640.18083976450373</v>
      </c>
      <c r="L53" s="304">
        <f t="shared" ca="1" si="0"/>
        <v>657.63492986457175</v>
      </c>
      <c r="M53" s="306">
        <f t="shared" ca="1" si="16"/>
        <v>1.3089595724085419</v>
      </c>
      <c r="N53" s="304">
        <f t="shared" ca="1" si="17"/>
        <v>74.997859052258335</v>
      </c>
      <c r="P53" s="310">
        <f t="shared" ca="1" si="18"/>
        <v>3</v>
      </c>
      <c r="Q53" s="304">
        <f t="shared" ca="1" si="19"/>
        <v>0</v>
      </c>
      <c r="R53" s="306">
        <f t="shared" ca="1" si="20"/>
        <v>0</v>
      </c>
      <c r="S53" s="307">
        <f t="shared" ca="1" si="21"/>
        <v>4.341000000000002</v>
      </c>
      <c r="T53" s="304">
        <f t="shared" ca="1" si="1"/>
        <v>42.585210000000025</v>
      </c>
      <c r="U53" s="311">
        <f t="shared" ca="1" si="2"/>
        <v>0</v>
      </c>
      <c r="V53" s="306">
        <f t="shared" ca="1" si="3"/>
        <v>1.1490102075849387</v>
      </c>
      <c r="W53" s="304">
        <f t="shared" ca="1" si="4"/>
        <v>73.996565101125213</v>
      </c>
      <c r="Y53" s="314" t="str">
        <f t="shared" ca="1" si="22"/>
        <v/>
      </c>
      <c r="Z53" s="315" t="str">
        <f t="shared" ca="1" si="23"/>
        <v/>
      </c>
      <c r="AA53" s="316" t="str">
        <f t="shared" ca="1" si="24"/>
        <v/>
      </c>
      <c r="AC53" s="310" t="e">
        <f t="shared" ca="1" si="25"/>
        <v>#N/A</v>
      </c>
      <c r="AD53" s="323" t="e">
        <f t="shared" ca="1" si="26"/>
        <v>#N/A</v>
      </c>
      <c r="AE53" s="324">
        <f t="shared" ca="1" si="5"/>
        <v>640.18083976450373</v>
      </c>
      <c r="AG53" s="306">
        <f t="shared" ca="1" si="27"/>
        <v>-26.588799820460373</v>
      </c>
      <c r="AH53" s="304">
        <f t="shared" ca="1" si="28"/>
        <v>-17.112705108891241</v>
      </c>
    </row>
    <row r="54" spans="1:34" x14ac:dyDescent="0.2">
      <c r="A54" s="347">
        <f t="shared" ca="1" si="6"/>
        <v>0.01</v>
      </c>
      <c r="B54" s="304">
        <f t="shared" ca="1" si="7"/>
        <v>0.50000000000000022</v>
      </c>
      <c r="D54" s="306">
        <f t="shared" ca="1" si="8"/>
        <v>-4.4124374777727953</v>
      </c>
      <c r="E54" s="307">
        <f t="shared" ca="1" si="9"/>
        <v>-26.274979867203598</v>
      </c>
      <c r="F54" s="304">
        <f t="shared" ca="1" si="10"/>
        <v>26.64290095911495</v>
      </c>
      <c r="G54" s="306">
        <f t="shared" ca="1" si="11"/>
        <v>36.425342729821487</v>
      </c>
      <c r="H54" s="307">
        <f t="shared" ca="1" si="12"/>
        <v>135.82281394464937</v>
      </c>
      <c r="I54" s="304">
        <f t="shared" ca="1" si="13"/>
        <v>140.62233955111043</v>
      </c>
      <c r="J54" s="306">
        <f t="shared" ca="1" si="14"/>
        <v>150.87093031067261</v>
      </c>
      <c r="K54" s="307">
        <f t="shared" ca="1" si="15"/>
        <v>641.54038165294355</v>
      </c>
      <c r="L54" s="304">
        <f t="shared" ca="1" si="0"/>
        <v>659.04180360900648</v>
      </c>
      <c r="M54" s="306">
        <f t="shared" ca="1" si="16"/>
        <v>1.3087789916467392</v>
      </c>
      <c r="N54" s="304">
        <f t="shared" ca="1" si="17"/>
        <v>74.987512536745783</v>
      </c>
      <c r="P54" s="310">
        <f t="shared" ca="1" si="18"/>
        <v>3</v>
      </c>
      <c r="Q54" s="304">
        <f t="shared" ca="1" si="19"/>
        <v>0</v>
      </c>
      <c r="R54" s="306">
        <f t="shared" ca="1" si="20"/>
        <v>0</v>
      </c>
      <c r="S54" s="307">
        <f t="shared" ca="1" si="21"/>
        <v>4.341000000000002</v>
      </c>
      <c r="T54" s="304">
        <f t="shared" ca="1" si="1"/>
        <v>42.585210000000025</v>
      </c>
      <c r="U54" s="311">
        <f t="shared" ca="1" si="2"/>
        <v>0</v>
      </c>
      <c r="V54" s="306">
        <f t="shared" ca="1" si="3"/>
        <v>1.1488538449171766</v>
      </c>
      <c r="W54" s="304">
        <f t="shared" ca="1" si="4"/>
        <v>73.708205697142503</v>
      </c>
      <c r="Y54" s="314" t="str">
        <f t="shared" ca="1" si="22"/>
        <v/>
      </c>
      <c r="Z54" s="315" t="str">
        <f t="shared" ca="1" si="23"/>
        <v/>
      </c>
      <c r="AA54" s="316" t="str">
        <f t="shared" ca="1" si="24"/>
        <v/>
      </c>
      <c r="AC54" s="310" t="e">
        <f t="shared" ca="1" si="25"/>
        <v>#N/A</v>
      </c>
      <c r="AD54" s="323" t="e">
        <f t="shared" ca="1" si="26"/>
        <v>#N/A</v>
      </c>
      <c r="AE54" s="324">
        <f t="shared" ca="1" si="5"/>
        <v>641.54038165294355</v>
      </c>
      <c r="AG54" s="306">
        <f t="shared" ca="1" si="27"/>
        <v>-26.521609624494886</v>
      </c>
      <c r="AH54" s="304">
        <f t="shared" ca="1" si="28"/>
        <v>-17.045972149533558</v>
      </c>
    </row>
    <row r="55" spans="1:34" x14ac:dyDescent="0.2">
      <c r="A55" s="347">
        <f t="shared" ca="1" si="6"/>
        <v>0.01</v>
      </c>
      <c r="B55" s="304">
        <f t="shared" ca="1" si="7"/>
        <v>0.51000000000000023</v>
      </c>
      <c r="D55" s="306">
        <f t="shared" ca="1" si="8"/>
        <v>-4.3982041199575006</v>
      </c>
      <c r="E55" s="307">
        <f t="shared" ca="1" si="9"/>
        <v>-26.210023036337965</v>
      </c>
      <c r="F55" s="304">
        <f t="shared" ca="1" si="10"/>
        <v>26.576484098657179</v>
      </c>
      <c r="G55" s="306">
        <f t="shared" ca="1" si="11"/>
        <v>36.381360688621911</v>
      </c>
      <c r="H55" s="307">
        <f t="shared" ca="1" si="12"/>
        <v>135.56071371428598</v>
      </c>
      <c r="I55" s="304">
        <f t="shared" ca="1" si="13"/>
        <v>140.35779461177853</v>
      </c>
      <c r="J55" s="306">
        <f t="shared" ca="1" si="14"/>
        <v>151.23496382776483</v>
      </c>
      <c r="K55" s="307">
        <f t="shared" ca="1" si="15"/>
        <v>642.89729929123826</v>
      </c>
      <c r="L55" s="304">
        <f t="shared" ca="1" si="0"/>
        <v>660.44602483469714</v>
      </c>
      <c r="M55" s="306">
        <f t="shared" ca="1" si="16"/>
        <v>1.3085979486199666</v>
      </c>
      <c r="N55" s="304">
        <f t="shared" ca="1" si="17"/>
        <v>74.977139535401435</v>
      </c>
      <c r="P55" s="310">
        <f t="shared" ca="1" si="18"/>
        <v>3</v>
      </c>
      <c r="Q55" s="304">
        <f t="shared" ca="1" si="19"/>
        <v>0</v>
      </c>
      <c r="R55" s="306">
        <f t="shared" ca="1" si="20"/>
        <v>0</v>
      </c>
      <c r="S55" s="307">
        <f t="shared" ca="1" si="21"/>
        <v>4.341000000000002</v>
      </c>
      <c r="T55" s="304">
        <f t="shared" ca="1" si="1"/>
        <v>42.585210000000025</v>
      </c>
      <c r="U55" s="311">
        <f t="shared" ca="1" si="2"/>
        <v>0</v>
      </c>
      <c r="V55" s="306">
        <f t="shared" ca="1" si="3"/>
        <v>1.1486978046043173</v>
      </c>
      <c r="W55" s="304">
        <f t="shared" ca="1" si="4"/>
        <v>73.421166701585634</v>
      </c>
      <c r="Y55" s="314" t="str">
        <f t="shared" ca="1" si="22"/>
        <v/>
      </c>
      <c r="Z55" s="315" t="str">
        <f t="shared" ca="1" si="23"/>
        <v/>
      </c>
      <c r="AA55" s="316" t="str">
        <f t="shared" ca="1" si="24"/>
        <v/>
      </c>
      <c r="AC55" s="310" t="e">
        <f t="shared" ca="1" si="25"/>
        <v>#N/A</v>
      </c>
      <c r="AD55" s="323" t="e">
        <f t="shared" ca="1" si="26"/>
        <v>#N/A</v>
      </c>
      <c r="AE55" s="324">
        <f t="shared" ca="1" si="5"/>
        <v>642.89729929123826</v>
      </c>
      <c r="AG55" s="306">
        <f t="shared" ca="1" si="27"/>
        <v>-26.454723955595675</v>
      </c>
      <c r="AH55" s="304">
        <f t="shared" ca="1" si="28"/>
        <v>-16.979545196300961</v>
      </c>
    </row>
    <row r="56" spans="1:34" x14ac:dyDescent="0.2">
      <c r="A56" s="347">
        <f t="shared" ca="1" si="6"/>
        <v>0.01</v>
      </c>
      <c r="B56" s="304">
        <f t="shared" ca="1" si="7"/>
        <v>0.52000000000000024</v>
      </c>
      <c r="D56" s="306">
        <f t="shared" ca="1" si="8"/>
        <v>-4.3840338404072501</v>
      </c>
      <c r="E56" s="307">
        <f t="shared" ca="1" si="9"/>
        <v>-26.14536363413297</v>
      </c>
      <c r="F56" s="304">
        <f t="shared" ca="1" si="10"/>
        <v>26.5103714095989</v>
      </c>
      <c r="G56" s="306">
        <f t="shared" ca="1" si="11"/>
        <v>36.337520350217837</v>
      </c>
      <c r="H56" s="307">
        <f t="shared" ca="1" si="12"/>
        <v>135.29926007794464</v>
      </c>
      <c r="I56" s="304">
        <f t="shared" ca="1" si="13"/>
        <v>140.09391550971011</v>
      </c>
      <c r="J56" s="306">
        <f t="shared" ca="1" si="14"/>
        <v>151.59855823295902</v>
      </c>
      <c r="K56" s="307">
        <f t="shared" ca="1" si="15"/>
        <v>644.25159916019936</v>
      </c>
      <c r="L56" s="304">
        <f t="shared" ca="1" si="0"/>
        <v>661.84760019115129</v>
      </c>
      <c r="M56" s="306">
        <f t="shared" ca="1" si="16"/>
        <v>1.3084164421383337</v>
      </c>
      <c r="N56" s="304">
        <f t="shared" ca="1" si="17"/>
        <v>74.96673998004961</v>
      </c>
      <c r="P56" s="310">
        <f t="shared" ca="1" si="18"/>
        <v>3</v>
      </c>
      <c r="Q56" s="304">
        <f t="shared" ca="1" si="19"/>
        <v>0</v>
      </c>
      <c r="R56" s="306">
        <f t="shared" ca="1" si="20"/>
        <v>0</v>
      </c>
      <c r="S56" s="307">
        <f t="shared" ca="1" si="21"/>
        <v>4.341000000000002</v>
      </c>
      <c r="T56" s="304">
        <f t="shared" ca="1" si="1"/>
        <v>42.585210000000025</v>
      </c>
      <c r="U56" s="311">
        <f t="shared" ca="1" si="2"/>
        <v>0</v>
      </c>
      <c r="V56" s="306">
        <f t="shared" ca="1" si="3"/>
        <v>1.1485420857781692</v>
      </c>
      <c r="W56" s="304">
        <f t="shared" ca="1" si="4"/>
        <v>73.135440210617972</v>
      </c>
      <c r="Y56" s="314" t="str">
        <f t="shared" ca="1" si="22"/>
        <v/>
      </c>
      <c r="Z56" s="315" t="str">
        <f t="shared" ca="1" si="23"/>
        <v/>
      </c>
      <c r="AA56" s="316" t="str">
        <f t="shared" ca="1" si="24"/>
        <v/>
      </c>
      <c r="AC56" s="310" t="e">
        <f t="shared" ca="1" si="25"/>
        <v>#N/A</v>
      </c>
      <c r="AD56" s="323" t="e">
        <f t="shared" ca="1" si="26"/>
        <v>#N/A</v>
      </c>
      <c r="AE56" s="324">
        <f t="shared" ca="1" si="5"/>
        <v>644.25159916019936</v>
      </c>
      <c r="AG56" s="306">
        <f t="shared" ca="1" si="27"/>
        <v>-26.38814097375943</v>
      </c>
      <c r="AH56" s="304">
        <f t="shared" ca="1" si="28"/>
        <v>-16.913422414555541</v>
      </c>
    </row>
    <row r="57" spans="1:34" x14ac:dyDescent="0.2">
      <c r="A57" s="347">
        <f t="shared" ca="1" si="6"/>
        <v>0.01</v>
      </c>
      <c r="B57" s="304">
        <f t="shared" ca="1" si="7"/>
        <v>0.53000000000000025</v>
      </c>
      <c r="D57" s="306">
        <f t="shared" ca="1" si="8"/>
        <v>-4.3699262576997144</v>
      </c>
      <c r="E57" s="307">
        <f t="shared" ca="1" si="9"/>
        <v>-26.080999880111769</v>
      </c>
      <c r="F57" s="304">
        <f t="shared" ca="1" si="10"/>
        <v>26.444561071118642</v>
      </c>
      <c r="G57" s="306">
        <f t="shared" ca="1" si="11"/>
        <v>36.293821087640836</v>
      </c>
      <c r="H57" s="307">
        <f t="shared" ca="1" si="12"/>
        <v>135.03845007914353</v>
      </c>
      <c r="I57" s="304">
        <f t="shared" ca="1" si="13"/>
        <v>139.830699236323</v>
      </c>
      <c r="J57" s="306">
        <f t="shared" ca="1" si="14"/>
        <v>151.96171494014831</v>
      </c>
      <c r="K57" s="307">
        <f t="shared" ca="1" si="15"/>
        <v>645.60328771098477</v>
      </c>
      <c r="L57" s="304">
        <f t="shared" ca="1" si="0"/>
        <v>663.24653629761497</v>
      </c>
      <c r="M57" s="306">
        <f t="shared" ca="1" si="16"/>
        <v>1.3082344710071625</v>
      </c>
      <c r="N57" s="304">
        <f t="shared" ca="1" si="17"/>
        <v>74.956313802240274</v>
      </c>
      <c r="P57" s="310">
        <f t="shared" ca="1" si="18"/>
        <v>3</v>
      </c>
      <c r="Q57" s="304">
        <f t="shared" ca="1" si="19"/>
        <v>0</v>
      </c>
      <c r="R57" s="306">
        <f t="shared" ca="1" si="20"/>
        <v>0</v>
      </c>
      <c r="S57" s="307">
        <f t="shared" ca="1" si="21"/>
        <v>4.341000000000002</v>
      </c>
      <c r="T57" s="304">
        <f t="shared" ca="1" si="1"/>
        <v>42.585210000000025</v>
      </c>
      <c r="U57" s="311">
        <f t="shared" ca="1" si="2"/>
        <v>0</v>
      </c>
      <c r="V57" s="306">
        <f t="shared" ca="1" si="3"/>
        <v>1.1483866875746169</v>
      </c>
      <c r="W57" s="304">
        <f t="shared" ca="1" si="4"/>
        <v>72.851018380181074</v>
      </c>
      <c r="Y57" s="314" t="str">
        <f t="shared" ca="1" si="22"/>
        <v/>
      </c>
      <c r="Z57" s="315" t="str">
        <f t="shared" ca="1" si="23"/>
        <v/>
      </c>
      <c r="AA57" s="316" t="str">
        <f t="shared" ca="1" si="24"/>
        <v/>
      </c>
      <c r="AC57" s="310" t="e">
        <f t="shared" ca="1" si="25"/>
        <v>#N/A</v>
      </c>
      <c r="AD57" s="323" t="e">
        <f t="shared" ca="1" si="26"/>
        <v>#N/A</v>
      </c>
      <c r="AE57" s="324">
        <f t="shared" ca="1" si="5"/>
        <v>645.60328771098477</v>
      </c>
      <c r="AG57" s="306">
        <f t="shared" ca="1" si="27"/>
        <v>-26.321858852853687</v>
      </c>
      <c r="AH57" s="304">
        <f t="shared" ca="1" si="28"/>
        <v>-16.847601983556309</v>
      </c>
    </row>
    <row r="58" spans="1:34" x14ac:dyDescent="0.2">
      <c r="A58" s="347">
        <f t="shared" ca="1" si="6"/>
        <v>0.01</v>
      </c>
      <c r="B58" s="304">
        <f t="shared" ca="1" si="7"/>
        <v>0.54000000000000026</v>
      </c>
      <c r="D58" s="306">
        <f t="shared" ca="1" si="8"/>
        <v>-4.3558809932932618</v>
      </c>
      <c r="E58" s="307">
        <f t="shared" ca="1" si="9"/>
        <v>-26.016930007263042</v>
      </c>
      <c r="F58" s="304">
        <f t="shared" ca="1" si="10"/>
        <v>26.379051276165292</v>
      </c>
      <c r="G58" s="306">
        <f t="shared" ca="1" si="11"/>
        <v>36.250262277707904</v>
      </c>
      <c r="H58" s="307">
        <f t="shared" ca="1" si="12"/>
        <v>134.77828077907091</v>
      </c>
      <c r="I58" s="304">
        <f t="shared" ca="1" si="13"/>
        <v>139.5681428011589</v>
      </c>
      <c r="J58" s="306">
        <f t="shared" ca="1" si="14"/>
        <v>152.32443535697504</v>
      </c>
      <c r="K58" s="307">
        <f t="shared" ca="1" si="15"/>
        <v>646.95237136527589</v>
      </c>
      <c r="L58" s="304">
        <f t="shared" ca="1" si="0"/>
        <v>664.64283974325269</v>
      </c>
      <c r="M58" s="306">
        <f t="shared" ca="1" si="16"/>
        <v>1.3080520340269657</v>
      </c>
      <c r="N58" s="304">
        <f t="shared" ca="1" si="17"/>
        <v>74.945860933247886</v>
      </c>
      <c r="P58" s="310">
        <f t="shared" ca="1" si="18"/>
        <v>3</v>
      </c>
      <c r="Q58" s="304">
        <f t="shared" ca="1" si="19"/>
        <v>0</v>
      </c>
      <c r="R58" s="306">
        <f t="shared" ca="1" si="20"/>
        <v>0</v>
      </c>
      <c r="S58" s="307">
        <f t="shared" ca="1" si="21"/>
        <v>4.341000000000002</v>
      </c>
      <c r="T58" s="304">
        <f t="shared" ca="1" si="1"/>
        <v>42.585210000000025</v>
      </c>
      <c r="U58" s="311">
        <f t="shared" ca="1" si="2"/>
        <v>0</v>
      </c>
      <c r="V58" s="306">
        <f t="shared" ca="1" si="3"/>
        <v>1.1482316091335996</v>
      </c>
      <c r="W58" s="304">
        <f t="shared" ca="1" si="4"/>
        <v>72.567893425452212</v>
      </c>
      <c r="Y58" s="314" t="str">
        <f t="shared" ca="1" si="22"/>
        <v/>
      </c>
      <c r="Z58" s="315" t="str">
        <f t="shared" ca="1" si="23"/>
        <v/>
      </c>
      <c r="AA58" s="316" t="str">
        <f t="shared" ca="1" si="24"/>
        <v/>
      </c>
      <c r="AC58" s="310" t="e">
        <f t="shared" ca="1" si="25"/>
        <v>#N/A</v>
      </c>
      <c r="AD58" s="323" t="e">
        <f t="shared" ca="1" si="26"/>
        <v>#N/A</v>
      </c>
      <c r="AE58" s="324">
        <f t="shared" ca="1" si="5"/>
        <v>646.95237136527589</v>
      </c>
      <c r="AG58" s="306">
        <f t="shared" ca="1" si="27"/>
        <v>-26.255875780490342</v>
      </c>
      <c r="AH58" s="304">
        <f t="shared" ca="1" si="28"/>
        <v>-16.782082096332882</v>
      </c>
    </row>
    <row r="59" spans="1:34" x14ac:dyDescent="0.2">
      <c r="A59" s="347">
        <f t="shared" ca="1" si="6"/>
        <v>0.01</v>
      </c>
      <c r="B59" s="304">
        <f t="shared" ca="1" si="7"/>
        <v>0.55000000000000027</v>
      </c>
      <c r="D59" s="306">
        <f t="shared" ca="1" si="8"/>
        <v>-4.3418976715008091</v>
      </c>
      <c r="E59" s="307">
        <f t="shared" ca="1" si="9"/>
        <v>-25.953152261918802</v>
      </c>
      <c r="F59" s="304">
        <f t="shared" ca="1" si="10"/>
        <v>26.313840231333113</v>
      </c>
      <c r="G59" s="306">
        <f t="shared" ca="1" si="11"/>
        <v>36.206843300992894</v>
      </c>
      <c r="H59" s="307">
        <f t="shared" ca="1" si="12"/>
        <v>134.51874925645171</v>
      </c>
      <c r="I59" s="304">
        <f t="shared" ca="1" si="13"/>
        <v>139.30624323174746</v>
      </c>
      <c r="J59" s="306">
        <f t="shared" ca="1" si="14"/>
        <v>152.68672088486855</v>
      </c>
      <c r="K59" s="307">
        <f t="shared" ca="1" si="15"/>
        <v>648.29885651545351</v>
      </c>
      <c r="L59" s="304">
        <f t="shared" ca="1" si="0"/>
        <v>666.03651708732787</v>
      </c>
      <c r="M59" s="306">
        <f t="shared" ca="1" si="16"/>
        <v>1.3078691299934255</v>
      </c>
      <c r="N59" s="304">
        <f t="shared" ca="1" si="17"/>
        <v>74.935381304070106</v>
      </c>
      <c r="P59" s="310">
        <f t="shared" ca="1" si="18"/>
        <v>3</v>
      </c>
      <c r="Q59" s="304">
        <f t="shared" ca="1" si="19"/>
        <v>0</v>
      </c>
      <c r="R59" s="306">
        <f t="shared" ca="1" si="20"/>
        <v>0</v>
      </c>
      <c r="S59" s="307">
        <f t="shared" ca="1" si="21"/>
        <v>4.341000000000002</v>
      </c>
      <c r="T59" s="304">
        <f t="shared" ca="1" si="1"/>
        <v>42.585210000000025</v>
      </c>
      <c r="U59" s="311">
        <f t="shared" ca="1" si="2"/>
        <v>0</v>
      </c>
      <c r="V59" s="306">
        <f t="shared" ca="1" si="3"/>
        <v>1.1480768495990812</v>
      </c>
      <c r="W59" s="304">
        <f t="shared" ca="1" si="4"/>
        <v>72.286057620307531</v>
      </c>
      <c r="Y59" s="314" t="str">
        <f t="shared" ca="1" si="22"/>
        <v/>
      </c>
      <c r="Z59" s="315" t="str">
        <f t="shared" ca="1" si="23"/>
        <v/>
      </c>
      <c r="AA59" s="316" t="str">
        <f t="shared" ca="1" si="24"/>
        <v/>
      </c>
      <c r="AC59" s="310" t="e">
        <f t="shared" ca="1" si="25"/>
        <v>#N/A</v>
      </c>
      <c r="AD59" s="323" t="e">
        <f t="shared" ca="1" si="26"/>
        <v>#N/A</v>
      </c>
      <c r="AE59" s="324">
        <f t="shared" ca="1" si="5"/>
        <v>648.29885651545351</v>
      </c>
      <c r="AG59" s="306">
        <f t="shared" ca="1" si="27"/>
        <v>-26.190189957900575</v>
      </c>
      <c r="AH59" s="304">
        <f t="shared" ca="1" si="28"/>
        <v>-16.71686095956051</v>
      </c>
    </row>
    <row r="60" spans="1:34" x14ac:dyDescent="0.2">
      <c r="A60" s="347">
        <f t="shared" ca="1" si="6"/>
        <v>0.01</v>
      </c>
      <c r="B60" s="304">
        <f t="shared" ca="1" si="7"/>
        <v>0.56000000000000028</v>
      </c>
      <c r="D60" s="306">
        <f t="shared" ca="1" si="8"/>
        <v>-4.3279759194639462</v>
      </c>
      <c r="E60" s="307">
        <f t="shared" ca="1" si="9"/>
        <v>-25.889664903633467</v>
      </c>
      <c r="F60" s="304">
        <f t="shared" ca="1" si="10"/>
        <v>26.248926156738115</v>
      </c>
      <c r="G60" s="306">
        <f t="shared" ca="1" si="11"/>
        <v>36.163563541798254</v>
      </c>
      <c r="H60" s="307">
        <f t="shared" ca="1" si="12"/>
        <v>134.25985260741538</v>
      </c>
      <c r="I60" s="304">
        <f t="shared" ca="1" si="13"/>
        <v>139.04499757347111</v>
      </c>
      <c r="J60" s="306">
        <f t="shared" ca="1" si="14"/>
        <v>153.04857291908252</v>
      </c>
      <c r="K60" s="307">
        <f t="shared" ca="1" si="15"/>
        <v>649.64274952477285</v>
      </c>
      <c r="L60" s="304">
        <f t="shared" ca="1" si="0"/>
        <v>667.42757485938091</v>
      </c>
      <c r="M60" s="306">
        <f t="shared" ca="1" si="16"/>
        <v>1.3076857576973719</v>
      </c>
      <c r="N60" s="304">
        <f t="shared" ca="1" si="17"/>
        <v>74.924874845426615</v>
      </c>
      <c r="P60" s="310">
        <f t="shared" ca="1" si="18"/>
        <v>3</v>
      </c>
      <c r="Q60" s="304">
        <f t="shared" ca="1" si="19"/>
        <v>0</v>
      </c>
      <c r="R60" s="306">
        <f t="shared" ca="1" si="20"/>
        <v>0</v>
      </c>
      <c r="S60" s="307">
        <f t="shared" ca="1" si="21"/>
        <v>4.341000000000002</v>
      </c>
      <c r="T60" s="304">
        <f t="shared" ca="1" si="1"/>
        <v>42.585210000000025</v>
      </c>
      <c r="U60" s="311">
        <f t="shared" ca="1" si="2"/>
        <v>0</v>
      </c>
      <c r="V60" s="306">
        <f t="shared" ca="1" si="3"/>
        <v>1.1479224081190305</v>
      </c>
      <c r="W60" s="304">
        <f t="shared" ca="1" si="4"/>
        <v>72.00550329679109</v>
      </c>
      <c r="Y60" s="314" t="str">
        <f t="shared" ca="1" si="22"/>
        <v/>
      </c>
      <c r="Z60" s="315" t="str">
        <f t="shared" ca="1" si="23"/>
        <v/>
      </c>
      <c r="AA60" s="316" t="str">
        <f t="shared" ca="1" si="24"/>
        <v/>
      </c>
      <c r="AC60" s="310" t="e">
        <f t="shared" ca="1" si="25"/>
        <v>#N/A</v>
      </c>
      <c r="AD60" s="323" t="e">
        <f t="shared" ca="1" si="26"/>
        <v>#N/A</v>
      </c>
      <c r="AE60" s="324">
        <f t="shared" ca="1" si="5"/>
        <v>649.64274952477285</v>
      </c>
      <c r="AG60" s="306">
        <f t="shared" ca="1" si="27"/>
        <v>-26.124799599811006</v>
      </c>
      <c r="AH60" s="304">
        <f t="shared" ca="1" si="28"/>
        <v>-16.65193679343642</v>
      </c>
    </row>
    <row r="61" spans="1:34" x14ac:dyDescent="0.2">
      <c r="A61" s="347">
        <f t="shared" ca="1" si="6"/>
        <v>0.01</v>
      </c>
      <c r="B61" s="304">
        <f t="shared" ca="1" si="7"/>
        <v>0.57000000000000028</v>
      </c>
      <c r="D61" s="306">
        <f t="shared" ca="1" si="8"/>
        <v>-4.3141153671273527</v>
      </c>
      <c r="E61" s="307">
        <f t="shared" ca="1" si="9"/>
        <v>-25.826466205064214</v>
      </c>
      <c r="F61" s="304">
        <f t="shared" ca="1" si="10"/>
        <v>26.184307285895652</v>
      </c>
      <c r="G61" s="306">
        <f t="shared" ca="1" si="11"/>
        <v>36.120422388126983</v>
      </c>
      <c r="H61" s="307">
        <f t="shared" ca="1" si="12"/>
        <v>134.00158794536475</v>
      </c>
      <c r="I61" s="304">
        <f t="shared" ca="1" si="13"/>
        <v>138.78440288943145</v>
      </c>
      <c r="J61" s="306">
        <f t="shared" ca="1" si="14"/>
        <v>153.40999284873214</v>
      </c>
      <c r="K61" s="307">
        <f t="shared" ca="1" si="15"/>
        <v>650.98405672753677</v>
      </c>
      <c r="L61" s="304">
        <f t="shared" ca="1" si="0"/>
        <v>668.81601955940687</v>
      </c>
      <c r="M61" s="306">
        <f t="shared" ca="1" si="16"/>
        <v>1.3075019159247614</v>
      </c>
      <c r="N61" s="304">
        <f t="shared" ca="1" si="17"/>
        <v>74.914341487757824</v>
      </c>
      <c r="P61" s="310">
        <f t="shared" ca="1" si="18"/>
        <v>3</v>
      </c>
      <c r="Q61" s="304">
        <f t="shared" ca="1" si="19"/>
        <v>0</v>
      </c>
      <c r="R61" s="306">
        <f t="shared" ca="1" si="20"/>
        <v>0</v>
      </c>
      <c r="S61" s="307">
        <f t="shared" ca="1" si="21"/>
        <v>4.341000000000002</v>
      </c>
      <c r="T61" s="304">
        <f t="shared" ca="1" si="1"/>
        <v>42.585210000000025</v>
      </c>
      <c r="U61" s="311">
        <f t="shared" ca="1" si="2"/>
        <v>0</v>
      </c>
      <c r="V61" s="306">
        <f t="shared" ca="1" si="3"/>
        <v>1.1477682838453946</v>
      </c>
      <c r="W61" s="304">
        <f t="shared" ca="1" si="4"/>
        <v>71.726222844589387</v>
      </c>
      <c r="Y61" s="314" t="str">
        <f t="shared" ca="1" si="22"/>
        <v/>
      </c>
      <c r="Z61" s="315" t="str">
        <f t="shared" ca="1" si="23"/>
        <v/>
      </c>
      <c r="AA61" s="316" t="str">
        <f t="shared" ca="1" si="24"/>
        <v/>
      </c>
      <c r="AC61" s="310" t="e">
        <f t="shared" ca="1" si="25"/>
        <v>#N/A</v>
      </c>
      <c r="AD61" s="323" t="e">
        <f t="shared" ca="1" si="26"/>
        <v>#N/A</v>
      </c>
      <c r="AE61" s="324">
        <f t="shared" ca="1" si="5"/>
        <v>650.98405672753677</v>
      </c>
      <c r="AG61" s="306">
        <f t="shared" ca="1" si="27"/>
        <v>-26.059702934321237</v>
      </c>
      <c r="AH61" s="304">
        <f t="shared" ca="1" si="28"/>
        <v>-16.587307831557489</v>
      </c>
    </row>
    <row r="62" spans="1:34" x14ac:dyDescent="0.2">
      <c r="A62" s="347">
        <f t="shared" ca="1" si="6"/>
        <v>0.01</v>
      </c>
      <c r="B62" s="304">
        <f t="shared" ca="1" si="7"/>
        <v>0.58000000000000029</v>
      </c>
      <c r="D62" s="306">
        <f t="shared" ca="1" si="8"/>
        <v>-4.3003156472134529</v>
      </c>
      <c r="E62" s="307">
        <f t="shared" ca="1" si="9"/>
        <v>-25.763554451852659</v>
      </c>
      <c r="F62" s="304">
        <f t="shared" ca="1" si="10"/>
        <v>26.119981865599481</v>
      </c>
      <c r="G62" s="306">
        <f t="shared" ca="1" si="11"/>
        <v>36.077419231654851</v>
      </c>
      <c r="H62" s="307">
        <f t="shared" ca="1" si="12"/>
        <v>133.74395240084621</v>
      </c>
      <c r="I62" s="304">
        <f t="shared" ca="1" si="13"/>
        <v>138.5244562603167</v>
      </c>
      <c r="J62" s="306">
        <f t="shared" ca="1" si="14"/>
        <v>153.77098205683106</v>
      </c>
      <c r="K62" s="307">
        <f t="shared" ca="1" si="15"/>
        <v>652.32278442926781</v>
      </c>
      <c r="L62" s="304">
        <f t="shared" ca="1" si="0"/>
        <v>670.20185765803069</v>
      </c>
      <c r="M62" s="306">
        <f t="shared" ca="1" si="16"/>
        <v>1.3073176034566543</v>
      </c>
      <c r="N62" s="304">
        <f t="shared" ca="1" si="17"/>
        <v>74.903781161223648</v>
      </c>
      <c r="P62" s="310">
        <f t="shared" ca="1" si="18"/>
        <v>3</v>
      </c>
      <c r="Q62" s="304">
        <f t="shared" ca="1" si="19"/>
        <v>0</v>
      </c>
      <c r="R62" s="306">
        <f t="shared" ca="1" si="20"/>
        <v>0</v>
      </c>
      <c r="S62" s="307">
        <f t="shared" ca="1" si="21"/>
        <v>4.341000000000002</v>
      </c>
      <c r="T62" s="304">
        <f t="shared" ca="1" si="1"/>
        <v>42.585210000000025</v>
      </c>
      <c r="U62" s="311">
        <f t="shared" ca="1" si="2"/>
        <v>0</v>
      </c>
      <c r="V62" s="306">
        <f t="shared" ca="1" si="3"/>
        <v>1.147614475934075</v>
      </c>
      <c r="W62" s="304">
        <f t="shared" ca="1" si="4"/>
        <v>71.448208710511494</v>
      </c>
      <c r="Y62" s="314" t="str">
        <f t="shared" ca="1" si="22"/>
        <v/>
      </c>
      <c r="Z62" s="315" t="str">
        <f t="shared" ca="1" si="23"/>
        <v/>
      </c>
      <c r="AA62" s="316" t="str">
        <f t="shared" ca="1" si="24"/>
        <v/>
      </c>
      <c r="AC62" s="310" t="e">
        <f t="shared" ca="1" si="25"/>
        <v>#N/A</v>
      </c>
      <c r="AD62" s="323" t="e">
        <f t="shared" ca="1" si="26"/>
        <v>#N/A</v>
      </c>
      <c r="AE62" s="324">
        <f t="shared" ca="1" si="5"/>
        <v>652.32278442926781</v>
      </c>
      <c r="AG62" s="306">
        <f t="shared" ca="1" si="27"/>
        <v>-25.994898202782682</v>
      </c>
      <c r="AH62" s="304">
        <f t="shared" ca="1" si="28"/>
        <v>-16.522972320799205</v>
      </c>
    </row>
    <row r="63" spans="1:34" x14ac:dyDescent="0.2">
      <c r="A63" s="347">
        <f t="shared" ca="1" si="6"/>
        <v>0.01</v>
      </c>
      <c r="B63" s="304">
        <f t="shared" ca="1" si="7"/>
        <v>0.5900000000000003</v>
      </c>
      <c r="D63" s="306">
        <f t="shared" ca="1" si="8"/>
        <v>-4.2865763951973834</v>
      </c>
      <c r="E63" s="307">
        <f t="shared" ca="1" si="9"/>
        <v>-25.700927942507732</v>
      </c>
      <c r="F63" s="304">
        <f t="shared" ca="1" si="10"/>
        <v>26.055948155801932</v>
      </c>
      <c r="G63" s="306">
        <f t="shared" ca="1" si="11"/>
        <v>36.034553467702878</v>
      </c>
      <c r="H63" s="307">
        <f t="shared" ca="1" si="12"/>
        <v>133.48694312142112</v>
      </c>
      <c r="I63" s="304">
        <f t="shared" ca="1" si="13"/>
        <v>138.26515478427041</v>
      </c>
      <c r="J63" s="306">
        <f t="shared" ca="1" si="14"/>
        <v>154.13154192032783</v>
      </c>
      <c r="K63" s="307">
        <f t="shared" ca="1" si="15"/>
        <v>653.65893890687914</v>
      </c>
      <c r="L63" s="304">
        <f t="shared" ca="1" si="0"/>
        <v>671.58509559668232</v>
      </c>
      <c r="M63" s="306">
        <f t="shared" ca="1" si="16"/>
        <v>1.3071328190691935</v>
      </c>
      <c r="N63" s="304">
        <f t="shared" ca="1" si="17"/>
        <v>74.893193795702246</v>
      </c>
      <c r="P63" s="310">
        <f t="shared" ca="1" si="18"/>
        <v>3</v>
      </c>
      <c r="Q63" s="304">
        <f t="shared" ca="1" si="19"/>
        <v>0</v>
      </c>
      <c r="R63" s="306">
        <f t="shared" ca="1" si="20"/>
        <v>0</v>
      </c>
      <c r="S63" s="307">
        <f t="shared" ca="1" si="21"/>
        <v>4.341000000000002</v>
      </c>
      <c r="T63" s="304">
        <f t="shared" ca="1" si="1"/>
        <v>42.585210000000025</v>
      </c>
      <c r="U63" s="311">
        <f t="shared" ca="1" si="2"/>
        <v>0</v>
      </c>
      <c r="V63" s="306">
        <f t="shared" ca="1" si="3"/>
        <v>1.1474609835449034</v>
      </c>
      <c r="W63" s="304">
        <f t="shared" ca="1" si="4"/>
        <v>71.171453397974503</v>
      </c>
      <c r="Y63" s="314" t="str">
        <f t="shared" ca="1" si="22"/>
        <v/>
      </c>
      <c r="Z63" s="315" t="str">
        <f t="shared" ca="1" si="23"/>
        <v/>
      </c>
      <c r="AA63" s="316" t="str">
        <f t="shared" ca="1" si="24"/>
        <v/>
      </c>
      <c r="AC63" s="310" t="e">
        <f t="shared" ca="1" si="25"/>
        <v>#N/A</v>
      </c>
      <c r="AD63" s="323" t="e">
        <f t="shared" ca="1" si="26"/>
        <v>#N/A</v>
      </c>
      <c r="AE63" s="324">
        <f t="shared" ca="1" si="5"/>
        <v>653.65893890687914</v>
      </c>
      <c r="AG63" s="306">
        <f t="shared" ca="1" si="27"/>
        <v>-25.930383659678636</v>
      </c>
      <c r="AH63" s="304">
        <f t="shared" ca="1" si="28"/>
        <v>-16.458928521195915</v>
      </c>
    </row>
    <row r="64" spans="1:34" x14ac:dyDescent="0.2">
      <c r="A64" s="347">
        <f t="shared" ca="1" si="6"/>
        <v>0.01</v>
      </c>
      <c r="B64" s="304">
        <f t="shared" ca="1" si="7"/>
        <v>0.60000000000000031</v>
      </c>
      <c r="D64" s="306">
        <f t="shared" ca="1" si="8"/>
        <v>-4.2728972492821695</v>
      </c>
      <c r="E64" s="307">
        <f t="shared" ca="1" si="9"/>
        <v>-25.638584988289736</v>
      </c>
      <c r="F64" s="304">
        <f t="shared" ca="1" si="10"/>
        <v>25.992204429495374</v>
      </c>
      <c r="G64" s="306">
        <f t="shared" ca="1" si="11"/>
        <v>35.991824495210054</v>
      </c>
      <c r="H64" s="307">
        <f t="shared" ca="1" si="12"/>
        <v>133.23055727153823</v>
      </c>
      <c r="I64" s="304">
        <f t="shared" ca="1" si="13"/>
        <v>138.00649557676127</v>
      </c>
      <c r="J64" s="306">
        <f t="shared" ca="1" si="14"/>
        <v>154.4916738101424</v>
      </c>
      <c r="K64" s="307">
        <f t="shared" ca="1" si="15"/>
        <v>654.9925264088439</v>
      </c>
      <c r="L64" s="304">
        <f t="shared" ca="1" si="0"/>
        <v>672.96573978776928</v>
      </c>
      <c r="M64" s="306">
        <f t="shared" ca="1" si="16"/>
        <v>1.3069475615335824</v>
      </c>
      <c r="N64" s="304">
        <f t="shared" ca="1" si="17"/>
        <v>74.882579320788722</v>
      </c>
      <c r="P64" s="310">
        <f t="shared" ca="1" si="18"/>
        <v>3</v>
      </c>
      <c r="Q64" s="304">
        <f t="shared" ca="1" si="19"/>
        <v>0</v>
      </c>
      <c r="R64" s="306">
        <f t="shared" ca="1" si="20"/>
        <v>0</v>
      </c>
      <c r="S64" s="307">
        <f t="shared" ca="1" si="21"/>
        <v>4.341000000000002</v>
      </c>
      <c r="T64" s="304">
        <f t="shared" ca="1" si="1"/>
        <v>42.585210000000025</v>
      </c>
      <c r="U64" s="311">
        <f t="shared" ca="1" si="2"/>
        <v>0</v>
      </c>
      <c r="V64" s="306">
        <f t="shared" ca="1" si="3"/>
        <v>1.1473078058416188</v>
      </c>
      <c r="W64" s="304">
        <f t="shared" ca="1" si="4"/>
        <v>70.895949466494685</v>
      </c>
      <c r="Y64" s="314" t="str">
        <f t="shared" ca="1" si="22"/>
        <v/>
      </c>
      <c r="Z64" s="315" t="str">
        <f t="shared" ca="1" si="23"/>
        <v/>
      </c>
      <c r="AA64" s="316" t="str">
        <f t="shared" ca="1" si="24"/>
        <v/>
      </c>
      <c r="AC64" s="310" t="e">
        <f t="shared" ca="1" si="25"/>
        <v>#N/A</v>
      </c>
      <c r="AD64" s="323" t="e">
        <f t="shared" ca="1" si="26"/>
        <v>#N/A</v>
      </c>
      <c r="AE64" s="324">
        <f t="shared" ca="1" si="5"/>
        <v>654.9925264088439</v>
      </c>
      <c r="AG64" s="306">
        <f t="shared" ca="1" si="27"/>
        <v>-25.866157572505585</v>
      </c>
      <c r="AH64" s="304">
        <f t="shared" ca="1" si="28"/>
        <v>-16.395174705822271</v>
      </c>
    </row>
    <row r="65" spans="1:34" x14ac:dyDescent="0.2">
      <c r="A65" s="347">
        <f t="shared" ca="1" si="6"/>
        <v>0.01</v>
      </c>
      <c r="B65" s="304">
        <f t="shared" ca="1" si="7"/>
        <v>0.61000000000000032</v>
      </c>
      <c r="D65" s="306">
        <f t="shared" ca="1" si="8"/>
        <v>-4.2592778503742128</v>
      </c>
      <c r="E65" s="307">
        <f t="shared" ca="1" si="9"/>
        <v>-25.576523913095777</v>
      </c>
      <c r="F65" s="304">
        <f t="shared" ca="1" si="10"/>
        <v>25.928748972595042</v>
      </c>
      <c r="G65" s="306">
        <f t="shared" ca="1" si="11"/>
        <v>35.949231716706315</v>
      </c>
      <c r="H65" s="307">
        <f t="shared" ca="1" si="12"/>
        <v>132.97479203240727</v>
      </c>
      <c r="I65" s="304">
        <f t="shared" ca="1" si="13"/>
        <v>137.74847577045421</v>
      </c>
      <c r="J65" s="306">
        <f t="shared" ca="1" si="14"/>
        <v>154.85137909120198</v>
      </c>
      <c r="K65" s="307">
        <f t="shared" ca="1" si="15"/>
        <v>656.32355315536358</v>
      </c>
      <c r="L65" s="304">
        <f t="shared" ca="1" si="0"/>
        <v>674.34379661484877</v>
      </c>
      <c r="M65" s="306">
        <f t="shared" ca="1" si="16"/>
        <v>1.3067618296160619</v>
      </c>
      <c r="N65" s="304">
        <f t="shared" ca="1" si="17"/>
        <v>74.871937665793936</v>
      </c>
      <c r="P65" s="310">
        <f t="shared" ca="1" si="18"/>
        <v>3</v>
      </c>
      <c r="Q65" s="304">
        <f t="shared" ca="1" si="19"/>
        <v>0</v>
      </c>
      <c r="R65" s="306">
        <f t="shared" ca="1" si="20"/>
        <v>0</v>
      </c>
      <c r="S65" s="307">
        <f t="shared" ca="1" si="21"/>
        <v>4.341000000000002</v>
      </c>
      <c r="T65" s="304">
        <f t="shared" ca="1" si="1"/>
        <v>42.585210000000025</v>
      </c>
      <c r="U65" s="311">
        <f t="shared" ca="1" si="2"/>
        <v>0</v>
      </c>
      <c r="V65" s="306">
        <f t="shared" ca="1" si="3"/>
        <v>1.1471549419918432</v>
      </c>
      <c r="W65" s="304">
        <f t="shared" ca="1" si="4"/>
        <v>70.621689531183648</v>
      </c>
      <c r="Y65" s="314" t="str">
        <f t="shared" ca="1" si="22"/>
        <v/>
      </c>
      <c r="Z65" s="315" t="str">
        <f t="shared" ca="1" si="23"/>
        <v/>
      </c>
      <c r="AA65" s="316" t="str">
        <f t="shared" ca="1" si="24"/>
        <v/>
      </c>
      <c r="AC65" s="310" t="e">
        <f t="shared" ca="1" si="25"/>
        <v>#N/A</v>
      </c>
      <c r="AD65" s="323" t="e">
        <f t="shared" ca="1" si="26"/>
        <v>#N/A</v>
      </c>
      <c r="AE65" s="324">
        <f t="shared" ca="1" si="5"/>
        <v>656.32355315536358</v>
      </c>
      <c r="AG65" s="306">
        <f t="shared" ca="1" si="27"/>
        <v>-25.80221822165586</v>
      </c>
      <c r="AH65" s="304">
        <f t="shared" ca="1" si="28"/>
        <v>-16.331709160676031</v>
      </c>
    </row>
    <row r="66" spans="1:34" x14ac:dyDescent="0.2">
      <c r="A66" s="347">
        <f t="shared" ca="1" si="6"/>
        <v>0.01</v>
      </c>
      <c r="B66" s="304">
        <f t="shared" ca="1" si="7"/>
        <v>0.62000000000000033</v>
      </c>
      <c r="D66" s="306">
        <f t="shared" ca="1" si="8"/>
        <v>-4.2457178420590056</v>
      </c>
      <c r="E66" s="307">
        <f t="shared" ca="1" si="9"/>
        <v>-25.514743053346223</v>
      </c>
      <c r="F66" s="304">
        <f t="shared" ca="1" si="10"/>
        <v>25.86558008382293</v>
      </c>
      <c r="G66" s="306">
        <f t="shared" ca="1" si="11"/>
        <v>35.906774538285724</v>
      </c>
      <c r="H66" s="307">
        <f t="shared" ca="1" si="12"/>
        <v>132.7196446018738</v>
      </c>
      <c r="I66" s="304">
        <f t="shared" ca="1" si="13"/>
        <v>137.4910925150825</v>
      </c>
      <c r="J66" s="306">
        <f t="shared" ca="1" si="14"/>
        <v>155.21065912247693</v>
      </c>
      <c r="K66" s="307">
        <f t="shared" ca="1" si="15"/>
        <v>657.65202533853494</v>
      </c>
      <c r="L66" s="304">
        <f t="shared" ca="1" si="0"/>
        <v>675.71927243279868</v>
      </c>
      <c r="M66" s="306">
        <f t="shared" ca="1" si="16"/>
        <v>1.3065756220778892</v>
      </c>
      <c r="N66" s="304">
        <f t="shared" ca="1" si="17"/>
        <v>74.861268759743112</v>
      </c>
      <c r="P66" s="310">
        <f t="shared" ca="1" si="18"/>
        <v>3</v>
      </c>
      <c r="Q66" s="304">
        <f t="shared" ca="1" si="19"/>
        <v>0</v>
      </c>
      <c r="R66" s="306">
        <f t="shared" ca="1" si="20"/>
        <v>0</v>
      </c>
      <c r="S66" s="307">
        <f t="shared" ca="1" si="21"/>
        <v>4.341000000000002</v>
      </c>
      <c r="T66" s="304">
        <f t="shared" ca="1" si="1"/>
        <v>42.585210000000025</v>
      </c>
      <c r="U66" s="311">
        <f t="shared" ca="1" si="2"/>
        <v>0</v>
      </c>
      <c r="V66" s="306">
        <f t="shared" ca="1" si="3"/>
        <v>1.1470023911670568</v>
      </c>
      <c r="W66" s="304">
        <f t="shared" ca="1" si="4"/>
        <v>70.348666262249935</v>
      </c>
      <c r="Y66" s="314" t="str">
        <f t="shared" ca="1" si="22"/>
        <v/>
      </c>
      <c r="Z66" s="315" t="str">
        <f t="shared" ca="1" si="23"/>
        <v/>
      </c>
      <c r="AA66" s="316" t="str">
        <f t="shared" ca="1" si="24"/>
        <v/>
      </c>
      <c r="AC66" s="310" t="e">
        <f t="shared" ca="1" si="25"/>
        <v>#N/A</v>
      </c>
      <c r="AD66" s="323" t="e">
        <f t="shared" ca="1" si="26"/>
        <v>#N/A</v>
      </c>
      <c r="AE66" s="324">
        <f t="shared" ca="1" si="5"/>
        <v>657.65202533853494</v>
      </c>
      <c r="AG66" s="306">
        <f t="shared" ca="1" si="27"/>
        <v>-25.738563900301408</v>
      </c>
      <c r="AH66" s="304">
        <f t="shared" ca="1" si="28"/>
        <v>-16.268530184561993</v>
      </c>
    </row>
    <row r="67" spans="1:34" x14ac:dyDescent="0.2">
      <c r="A67" s="347">
        <f t="shared" ca="1" si="6"/>
        <v>0.01</v>
      </c>
      <c r="B67" s="304">
        <f t="shared" ca="1" si="7"/>
        <v>0.63000000000000034</v>
      </c>
      <c r="D67" s="306">
        <f t="shared" ca="1" si="8"/>
        <v>-4.2322168705771057</v>
      </c>
      <c r="E67" s="307">
        <f t="shared" ca="1" si="9"/>
        <v>-25.45324075787245</v>
      </c>
      <c r="F67" s="304">
        <f t="shared" ca="1" si="10"/>
        <v>25.802696074592994</v>
      </c>
      <c r="G67" s="306">
        <f t="shared" ca="1" si="11"/>
        <v>35.864452369579951</v>
      </c>
      <c r="H67" s="307">
        <f t="shared" ca="1" si="12"/>
        <v>132.46511219429507</v>
      </c>
      <c r="I67" s="304">
        <f t="shared" ca="1" si="13"/>
        <v>137.23434297732129</v>
      </c>
      <c r="J67" s="306">
        <f t="shared" ca="1" si="14"/>
        <v>155.56951525701626</v>
      </c>
      <c r="K67" s="307">
        <f t="shared" ca="1" si="15"/>
        <v>658.97794912251584</v>
      </c>
      <c r="L67" s="304">
        <f t="shared" ca="1" si="0"/>
        <v>677.09217356798626</v>
      </c>
      <c r="M67" s="306">
        <f t="shared" ca="1" si="16"/>
        <v>1.3063889376753144</v>
      </c>
      <c r="N67" s="304">
        <f t="shared" ca="1" si="17"/>
        <v>74.850572531374652</v>
      </c>
      <c r="P67" s="310">
        <f t="shared" ca="1" si="18"/>
        <v>3</v>
      </c>
      <c r="Q67" s="304">
        <f t="shared" ca="1" si="19"/>
        <v>0</v>
      </c>
      <c r="R67" s="306">
        <f t="shared" ca="1" si="20"/>
        <v>0</v>
      </c>
      <c r="S67" s="307">
        <f t="shared" ca="1" si="21"/>
        <v>4.341000000000002</v>
      </c>
      <c r="T67" s="304">
        <f t="shared" ca="1" si="1"/>
        <v>42.585210000000025</v>
      </c>
      <c r="U67" s="311">
        <f t="shared" ca="1" si="2"/>
        <v>0</v>
      </c>
      <c r="V67" s="306">
        <f t="shared" ca="1" si="3"/>
        <v>1.1468501525425783</v>
      </c>
      <c r="W67" s="304">
        <f t="shared" ca="1" si="4"/>
        <v>70.076872384506132</v>
      </c>
      <c r="Y67" s="314" t="str">
        <f t="shared" ca="1" si="22"/>
        <v/>
      </c>
      <c r="Z67" s="315" t="str">
        <f t="shared" ca="1" si="23"/>
        <v/>
      </c>
      <c r="AA67" s="316" t="str">
        <f t="shared" ca="1" si="24"/>
        <v/>
      </c>
      <c r="AC67" s="310" t="e">
        <f t="shared" ca="1" si="25"/>
        <v>#N/A</v>
      </c>
      <c r="AD67" s="323" t="e">
        <f t="shared" ca="1" si="26"/>
        <v>#N/A</v>
      </c>
      <c r="AE67" s="324">
        <f t="shared" ca="1" si="5"/>
        <v>658.97794912251584</v>
      </c>
      <c r="AG67" s="306">
        <f t="shared" ca="1" si="27"/>
        <v>-25.675192914278838</v>
      </c>
      <c r="AH67" s="304">
        <f t="shared" ca="1" si="28"/>
        <v>-16.205636088977172</v>
      </c>
    </row>
    <row r="68" spans="1:34" x14ac:dyDescent="0.2">
      <c r="A68" s="347">
        <f t="shared" ca="1" si="6"/>
        <v>0.01</v>
      </c>
      <c r="B68" s="304">
        <f t="shared" ca="1" si="7"/>
        <v>0.64000000000000035</v>
      </c>
      <c r="D68" s="306">
        <f t="shared" ca="1" si="8"/>
        <v>-4.2187745848003813</v>
      </c>
      <c r="E68" s="307">
        <f t="shared" ca="1" si="9"/>
        <v>-25.392015387805802</v>
      </c>
      <c r="F68" s="304">
        <f t="shared" ca="1" si="10"/>
        <v>25.740095268897594</v>
      </c>
      <c r="G68" s="306">
        <f t="shared" ca="1" si="11"/>
        <v>35.822264623731947</v>
      </c>
      <c r="H68" s="307">
        <f t="shared" ca="1" si="12"/>
        <v>132.21119204041702</v>
      </c>
      <c r="I68" s="304">
        <f t="shared" ca="1" si="13"/>
        <v>136.97822434066191</v>
      </c>
      <c r="J68" s="306">
        <f t="shared" ca="1" si="14"/>
        <v>155.92794884198281</v>
      </c>
      <c r="K68" s="307">
        <f t="shared" ca="1" si="15"/>
        <v>660.30133064368943</v>
      </c>
      <c r="L68" s="304">
        <f t="shared" ref="L68:L131" ca="1" si="29">SQRT(pos_x^2+pos_z^2)</f>
        <v>678.46250631843679</v>
      </c>
      <c r="M68" s="306">
        <f t="shared" ca="1" si="16"/>
        <v>1.3062017751595585</v>
      </c>
      <c r="N68" s="304">
        <f t="shared" ca="1" si="17"/>
        <v>74.839848909138794</v>
      </c>
      <c r="P68" s="310">
        <f t="shared" ca="1" si="18"/>
        <v>3</v>
      </c>
      <c r="Q68" s="304">
        <f t="shared" ca="1" si="19"/>
        <v>0</v>
      </c>
      <c r="R68" s="306">
        <f t="shared" ca="1" si="20"/>
        <v>0</v>
      </c>
      <c r="S68" s="307">
        <f t="shared" ca="1" si="21"/>
        <v>4.341000000000002</v>
      </c>
      <c r="T68" s="304">
        <f t="shared" ref="T68:T131" ca="1" si="30">m*g</f>
        <v>42.585210000000025</v>
      </c>
      <c r="U68" s="311">
        <f t="shared" ref="U68:U131" ca="1" si="31">IF(pos_xz&lt;L_rampe,Poids*COS(Beta),0)</f>
        <v>0</v>
      </c>
      <c r="V68" s="306">
        <f t="shared" ref="V68:V131" ca="1" si="32">Rho_moyen*(20000-Alt_rampe-pos_z)/(20000+Alt_rampe+pos_z)</f>
        <v>1.1466982252975382</v>
      </c>
      <c r="W68" s="304">
        <f t="shared" ref="W68:W131" ca="1" si="33">1/2*Rho*Sref*Cx*vit_xz^2</f>
        <v>69.80630067688044</v>
      </c>
      <c r="Y68" s="314" t="str">
        <f t="shared" ca="1" si="22"/>
        <v/>
      </c>
      <c r="Z68" s="315" t="str">
        <f t="shared" ca="1" si="23"/>
        <v/>
      </c>
      <c r="AA68" s="316" t="str">
        <f t="shared" ca="1" si="24"/>
        <v/>
      </c>
      <c r="AC68" s="310" t="e">
        <f t="shared" ca="1" si="25"/>
        <v>#N/A</v>
      </c>
      <c r="AD68" s="323" t="e">
        <f t="shared" ca="1" si="26"/>
        <v>#N/A</v>
      </c>
      <c r="AE68" s="324">
        <f t="shared" ref="AE68:AE131" ca="1" si="34">IF(t&lt;T_para, pos_z, NA())</f>
        <v>660.30133064368943</v>
      </c>
      <c r="AG68" s="306">
        <f t="shared" ca="1" si="27"/>
        <v>-25.612103581975688</v>
      </c>
      <c r="AH68" s="304">
        <f t="shared" ca="1" si="28"/>
        <v>-16.143025197997257</v>
      </c>
    </row>
    <row r="69" spans="1:34" x14ac:dyDescent="0.2">
      <c r="A69" s="347">
        <f t="shared" ref="A69:A132" ca="1" si="35">IF(B68+0.01&lt;=T_ini+ROUNDUP(Temps_fin_propu,0), 0.01, IF(K68&gt;0, 0.1, 0.0001))</f>
        <v>0.01</v>
      </c>
      <c r="B69" s="304">
        <f t="shared" ref="B69:B132" ca="1" si="36">B68+pas</f>
        <v>0.65000000000000036</v>
      </c>
      <c r="D69" s="306">
        <f t="shared" ref="D69:D132" ca="1" si="37">IF(AND(L68&lt;L_rampe,Poussee&lt;Poids*SIN(M68)),0,(-W68+Poussee)/m*COS(M68)-U68/m*SIN(M68))</f>
        <v>-4.2053906362084668</v>
      </c>
      <c r="E69" s="307">
        <f t="shared" ref="E69:E132" ca="1" si="38">IF(AND(L68&lt;L_rampe,Poussee&lt;Poids*SIN(M68)),0,(-W68+Poussee)/m*SIN(M68)+U68/m*COS(M68)-Poids/m)</f>
        <v>-25.331065316467573</v>
      </c>
      <c r="F69" s="304">
        <f t="shared" ref="F69:F132" ca="1" si="39">SQRT(acc_x^2+acc_z^2)</f>
        <v>25.677776003194985</v>
      </c>
      <c r="G69" s="306">
        <f t="shared" ref="G69:G132" ca="1" si="40">G68+acc_x*pas</f>
        <v>35.780210717369862</v>
      </c>
      <c r="H69" s="307">
        <f t="shared" ref="H69:H132" ca="1" si="41">H68+acc_z*pas</f>
        <v>131.95788138725234</v>
      </c>
      <c r="I69" s="304">
        <f t="shared" ref="I69:I132" ca="1" si="42">SQRT(vit_x^2+vit_z^2)</f>
        <v>136.72273380528765</v>
      </c>
      <c r="J69" s="306">
        <f t="shared" ref="J69:J132" ca="1" si="43">J68+0.5*(vit_x+G68)*pas*(K68&gt;=0)</f>
        <v>156.28596121868833</v>
      </c>
      <c r="K69" s="307">
        <f t="shared" ref="K69:K132" ca="1" si="44">K68+0.5*(vit_z+H68)*pas</f>
        <v>661.62217601082773</v>
      </c>
      <c r="L69" s="304">
        <f t="shared" ca="1" si="29"/>
        <v>679.83027695399971</v>
      </c>
      <c r="M69" s="306">
        <f t="shared" ref="M69:M132" ca="1" si="45">IF(AND(L68&gt;L_rampe,G69&gt;0),ATAN2(G69,H69),$M$4)</f>
        <v>1.3060141332767903</v>
      </c>
      <c r="N69" s="304">
        <f t="shared" ref="N69:N132" ca="1" si="46">DEGREES(Beta)</f>
        <v>74.829097821196285</v>
      </c>
      <c r="P69" s="310">
        <f t="shared" ref="P69:P132" ca="1" si="47">MATCH(t-pas/2-T_ini,CdP_t)</f>
        <v>3</v>
      </c>
      <c r="Q69" s="304">
        <f t="shared" ref="Q69:Q132" ca="1" si="48">(INDEX(CdP,2,i_P+1)-INDEX(CdP,2,i_P+0))/(INDEX(CdP,1,i_P+1)-INDEX(CdP,1,i_P+0))*(t-pas/2-T_ini-INDEX(CdP,1,i_P+0))+INDEX(CdP,2,i_P+0)</f>
        <v>0</v>
      </c>
      <c r="R69" s="306">
        <f t="shared" ref="R69:R132" ca="1" si="49">Poussee/(g*ISP)</f>
        <v>0</v>
      </c>
      <c r="S69" s="307">
        <f t="shared" ref="S69:S132" ca="1" si="50">S68-Débit*pas</f>
        <v>4.341000000000002</v>
      </c>
      <c r="T69" s="304">
        <f t="shared" ca="1" si="30"/>
        <v>42.585210000000025</v>
      </c>
      <c r="U69" s="311">
        <f t="shared" ca="1" si="31"/>
        <v>0</v>
      </c>
      <c r="V69" s="306">
        <f t="shared" ca="1" si="32"/>
        <v>1.146546608614857</v>
      </c>
      <c r="W69" s="304">
        <f t="shared" ca="1" si="33"/>
        <v>69.536943971934136</v>
      </c>
      <c r="Y69" s="314" t="str">
        <f t="shared" ref="Y69:Y132" ca="1" si="51">IF(AND(pos_z&lt;=0,K68&gt;0),"Impact balistique","") &amp; IF(AND(H70&lt;0,vit_z&gt;=0),"Apogée","") &amp; IF(AND(Poussee=0,Q68&gt;0),"Fin de propulsion","") &amp; IF(AND(L70&gt;L_rampe,pos_xz&lt;=L_rampe),"Sortie de rampe","")</f>
        <v/>
      </c>
      <c r="Z69" s="315" t="str">
        <f t="shared" ref="Z69:Z132" ca="1" si="52">IF(ABS(t-T_para)&lt;pas/2,"Para","")</f>
        <v/>
      </c>
      <c r="AA69" s="316" t="str">
        <f t="shared" ref="AA69:AA132" ca="1" si="53">IF(ABS(t-T_satellite)&lt;pas/2,"Satellite","")</f>
        <v/>
      </c>
      <c r="AC69" s="310" t="e">
        <f t="shared" ref="AC69:AC132" ca="1" si="54">IF(ABS(t-ROUND(t,0))&lt;0.001,t,NA())</f>
        <v>#N/A</v>
      </c>
      <c r="AD69" s="323" t="e">
        <f t="shared" ref="AD69:AD132" ca="1" si="55">IF(ABS(t-ROUND(t,0))&lt;0.001,pos_x,NA())</f>
        <v>#N/A</v>
      </c>
      <c r="AE69" s="324">
        <f t="shared" ca="1" si="34"/>
        <v>661.62217601082773</v>
      </c>
      <c r="AG69" s="306">
        <f t="shared" ref="AG69:AG132" ca="1" si="56">IF(AND(L68&lt;L_rampe,Poussee&lt;Poids*SIN(M68)),0,(-W68+Poussee)/m-Poids*SIN(M68)/m)</f>
        <v>-25.549294234217797</v>
      </c>
      <c r="AH69" s="304">
        <f t="shared" ref="AH69:AH132" ca="1" si="57">IF(AND(L68&lt;L_rampe,Poussee&lt;Poids*SIN(M68)), g*SIN(M68), (-W68+Poussee)/m)</f>
        <v>-16.080695848164112</v>
      </c>
    </row>
    <row r="70" spans="1:34" x14ac:dyDescent="0.2">
      <c r="A70" s="347">
        <f t="shared" ca="1" si="35"/>
        <v>0.01</v>
      </c>
      <c r="B70" s="304">
        <f t="shared" ca="1" si="36"/>
        <v>0.66000000000000036</v>
      </c>
      <c r="D70" s="306">
        <f t="shared" ca="1" si="37"/>
        <v>-4.1920646788655151</v>
      </c>
      <c r="E70" s="307">
        <f t="shared" ca="1" si="38"/>
        <v>-25.270388929260303</v>
      </c>
      <c r="F70" s="304">
        <f t="shared" ca="1" si="39"/>
        <v>25.615736626298169</v>
      </c>
      <c r="G70" s="306">
        <f t="shared" ca="1" si="40"/>
        <v>35.738290070581208</v>
      </c>
      <c r="H70" s="307">
        <f t="shared" ca="1" si="41"/>
        <v>131.70517749795974</v>
      </c>
      <c r="I70" s="304">
        <f t="shared" ca="1" si="42"/>
        <v>136.46786858795033</v>
      </c>
      <c r="J70" s="306">
        <f t="shared" ca="1" si="43"/>
        <v>156.64355372262807</v>
      </c>
      <c r="K70" s="307">
        <f t="shared" ca="1" si="44"/>
        <v>662.94049130525377</v>
      </c>
      <c r="L70" s="304">
        <f t="shared" ca="1" si="29"/>
        <v>681.19549171651533</v>
      </c>
      <c r="M70" s="306">
        <f t="shared" ca="1" si="45"/>
        <v>1.3058260107681039</v>
      </c>
      <c r="N70" s="304">
        <f t="shared" ca="1" si="46"/>
        <v>74.818319195417146</v>
      </c>
      <c r="P70" s="310">
        <f t="shared" ca="1" si="47"/>
        <v>3</v>
      </c>
      <c r="Q70" s="304">
        <f t="shared" ca="1" si="48"/>
        <v>0</v>
      </c>
      <c r="R70" s="306">
        <f t="shared" ca="1" si="49"/>
        <v>0</v>
      </c>
      <c r="S70" s="307">
        <f t="shared" ca="1" si="50"/>
        <v>4.341000000000002</v>
      </c>
      <c r="T70" s="304">
        <f t="shared" ca="1" si="30"/>
        <v>42.585210000000025</v>
      </c>
      <c r="U70" s="311">
        <f t="shared" ca="1" si="31"/>
        <v>0</v>
      </c>
      <c r="V70" s="306">
        <f t="shared" ca="1" si="32"/>
        <v>1.1463953016812241</v>
      </c>
      <c r="W70" s="304">
        <f t="shared" ca="1" si="33"/>
        <v>69.268795155383444</v>
      </c>
      <c r="Y70" s="314" t="str">
        <f t="shared" ca="1" si="51"/>
        <v/>
      </c>
      <c r="Z70" s="315" t="str">
        <f t="shared" ca="1" si="52"/>
        <v/>
      </c>
      <c r="AA70" s="316" t="str">
        <f t="shared" ca="1" si="53"/>
        <v/>
      </c>
      <c r="AC70" s="310" t="e">
        <f t="shared" ca="1" si="54"/>
        <v>#N/A</v>
      </c>
      <c r="AD70" s="323" t="e">
        <f t="shared" ca="1" si="55"/>
        <v>#N/A</v>
      </c>
      <c r="AE70" s="324">
        <f t="shared" ca="1" si="34"/>
        <v>662.94049130525377</v>
      </c>
      <c r="AG70" s="306">
        <f t="shared" ca="1" si="56"/>
        <v>-25.486763214157968</v>
      </c>
      <c r="AH70" s="304">
        <f t="shared" ca="1" si="57"/>
        <v>-16.018646388374592</v>
      </c>
    </row>
    <row r="71" spans="1:34" x14ac:dyDescent="0.2">
      <c r="A71" s="347">
        <f t="shared" ca="1" si="35"/>
        <v>0.01</v>
      </c>
      <c r="B71" s="304">
        <f t="shared" ca="1" si="36"/>
        <v>0.67000000000000037</v>
      </c>
      <c r="D71" s="306">
        <f t="shared" ca="1" si="37"/>
        <v>-4.1787963693971406</v>
      </c>
      <c r="E71" s="307">
        <f t="shared" ca="1" si="38"/>
        <v>-25.209984623560075</v>
      </c>
      <c r="F71" s="304">
        <f t="shared" ca="1" si="39"/>
        <v>25.55397549926473</v>
      </c>
      <c r="G71" s="306">
        <f t="shared" ca="1" si="40"/>
        <v>35.696502106887237</v>
      </c>
      <c r="H71" s="307">
        <f t="shared" ca="1" si="41"/>
        <v>131.45307765172413</v>
      </c>
      <c r="I71" s="304">
        <f t="shared" ca="1" si="42"/>
        <v>136.21362592184829</v>
      </c>
      <c r="J71" s="306">
        <f t="shared" ca="1" si="43"/>
        <v>157.00072768351541</v>
      </c>
      <c r="K71" s="307">
        <f t="shared" ca="1" si="44"/>
        <v>664.25628258100221</v>
      </c>
      <c r="L71" s="304">
        <f t="shared" ca="1" si="29"/>
        <v>682.55815681997797</v>
      </c>
      <c r="M71" s="306">
        <f t="shared" ca="1" si="45"/>
        <v>1.3056374063694955</v>
      </c>
      <c r="N71" s="304">
        <f t="shared" ca="1" si="46"/>
        <v>74.807512959379281</v>
      </c>
      <c r="P71" s="310">
        <f t="shared" ca="1" si="47"/>
        <v>3</v>
      </c>
      <c r="Q71" s="304">
        <f t="shared" ca="1" si="48"/>
        <v>0</v>
      </c>
      <c r="R71" s="306">
        <f t="shared" ca="1" si="49"/>
        <v>0</v>
      </c>
      <c r="S71" s="307">
        <f t="shared" ca="1" si="50"/>
        <v>4.341000000000002</v>
      </c>
      <c r="T71" s="304">
        <f t="shared" ca="1" si="30"/>
        <v>42.585210000000025</v>
      </c>
      <c r="U71" s="311">
        <f t="shared" ca="1" si="31"/>
        <v>0</v>
      </c>
      <c r="V71" s="306">
        <f t="shared" ca="1" si="32"/>
        <v>1.1462443036870724</v>
      </c>
      <c r="W71" s="304">
        <f t="shared" ca="1" si="33"/>
        <v>69.001847165626643</v>
      </c>
      <c r="Y71" s="314" t="str">
        <f t="shared" ca="1" si="51"/>
        <v/>
      </c>
      <c r="Z71" s="315" t="str">
        <f t="shared" ca="1" si="52"/>
        <v/>
      </c>
      <c r="AA71" s="316" t="str">
        <f t="shared" ca="1" si="53"/>
        <v/>
      </c>
      <c r="AC71" s="310" t="e">
        <f t="shared" ca="1" si="54"/>
        <v>#N/A</v>
      </c>
      <c r="AD71" s="323" t="e">
        <f t="shared" ca="1" si="55"/>
        <v>#N/A</v>
      </c>
      <c r="AE71" s="324">
        <f t="shared" ca="1" si="34"/>
        <v>664.25628258100221</v>
      </c>
      <c r="AG71" s="306">
        <f t="shared" ca="1" si="56"/>
        <v>-25.424508877165671</v>
      </c>
      <c r="AH71" s="304">
        <f t="shared" ca="1" si="57"/>
        <v>-15.956875179770424</v>
      </c>
    </row>
    <row r="72" spans="1:34" x14ac:dyDescent="0.2">
      <c r="A72" s="347">
        <f t="shared" ca="1" si="35"/>
        <v>0.01</v>
      </c>
      <c r="B72" s="304">
        <f t="shared" ca="1" si="36"/>
        <v>0.68000000000000038</v>
      </c>
      <c r="D72" s="306">
        <f t="shared" ca="1" si="37"/>
        <v>-4.1655853669676333</v>
      </c>
      <c r="E72" s="307">
        <f t="shared" ca="1" si="38"/>
        <v>-25.149850808609983</v>
      </c>
      <c r="F72" s="304">
        <f t="shared" ca="1" si="39"/>
        <v>25.492490995287909</v>
      </c>
      <c r="G72" s="306">
        <f t="shared" ca="1" si="40"/>
        <v>35.654846253217563</v>
      </c>
      <c r="H72" s="307">
        <f t="shared" ca="1" si="41"/>
        <v>131.20157914363804</v>
      </c>
      <c r="I72" s="304">
        <f t="shared" ca="1" si="42"/>
        <v>135.96000305650517</v>
      </c>
      <c r="J72" s="306">
        <f t="shared" ca="1" si="43"/>
        <v>157.35748442531593</v>
      </c>
      <c r="K72" s="307">
        <f t="shared" ca="1" si="44"/>
        <v>665.56955586497907</v>
      </c>
      <c r="L72" s="304">
        <f t="shared" ca="1" si="29"/>
        <v>683.91827845069986</v>
      </c>
      <c r="M72" s="306">
        <f t="shared" ca="1" si="45"/>
        <v>1.3054483188118406</v>
      </c>
      <c r="N72" s="304">
        <f t="shared" ca="1" si="46"/>
        <v>74.796679040367223</v>
      </c>
      <c r="P72" s="310">
        <f t="shared" ca="1" si="47"/>
        <v>3</v>
      </c>
      <c r="Q72" s="304">
        <f t="shared" ca="1" si="48"/>
        <v>0</v>
      </c>
      <c r="R72" s="306">
        <f t="shared" ca="1" si="49"/>
        <v>0</v>
      </c>
      <c r="S72" s="307">
        <f t="shared" ca="1" si="50"/>
        <v>4.341000000000002</v>
      </c>
      <c r="T72" s="304">
        <f t="shared" ca="1" si="30"/>
        <v>42.585210000000025</v>
      </c>
      <c r="U72" s="311">
        <f t="shared" ca="1" si="31"/>
        <v>0</v>
      </c>
      <c r="V72" s="306">
        <f t="shared" ca="1" si="32"/>
        <v>1.1460936138265587</v>
      </c>
      <c r="W72" s="304">
        <f t="shared" ca="1" si="33"/>
        <v>68.736092993276174</v>
      </c>
      <c r="Y72" s="314" t="str">
        <f t="shared" ca="1" si="51"/>
        <v/>
      </c>
      <c r="Z72" s="315" t="str">
        <f t="shared" ca="1" si="52"/>
        <v/>
      </c>
      <c r="AA72" s="316" t="str">
        <f t="shared" ca="1" si="53"/>
        <v/>
      </c>
      <c r="AC72" s="310" t="e">
        <f t="shared" ca="1" si="54"/>
        <v>#N/A</v>
      </c>
      <c r="AD72" s="323" t="e">
        <f t="shared" ca="1" si="55"/>
        <v>#N/A</v>
      </c>
      <c r="AE72" s="324">
        <f t="shared" ca="1" si="34"/>
        <v>665.56955586497907</v>
      </c>
      <c r="AG72" s="306">
        <f t="shared" ca="1" si="56"/>
        <v>-25.362529590717958</v>
      </c>
      <c r="AH72" s="304">
        <f t="shared" ca="1" si="57"/>
        <v>-15.895380595629259</v>
      </c>
    </row>
    <row r="73" spans="1:34" x14ac:dyDescent="0.2">
      <c r="A73" s="347">
        <f t="shared" ca="1" si="35"/>
        <v>0.01</v>
      </c>
      <c r="B73" s="304">
        <f t="shared" ca="1" si="36"/>
        <v>0.69000000000000039</v>
      </c>
      <c r="D73" s="306">
        <f t="shared" ca="1" si="37"/>
        <v>-4.1524313332574057</v>
      </c>
      <c r="E73" s="307">
        <f t="shared" ca="1" si="38"/>
        <v>-25.089985905414736</v>
      </c>
      <c r="F73" s="304">
        <f t="shared" ca="1" si="39"/>
        <v>25.43128149958881</v>
      </c>
      <c r="G73" s="306">
        <f t="shared" ca="1" si="40"/>
        <v>35.61332193988499</v>
      </c>
      <c r="H73" s="307">
        <f t="shared" ca="1" si="41"/>
        <v>130.95067928458388</v>
      </c>
      <c r="I73" s="304">
        <f t="shared" ca="1" si="42"/>
        <v>135.70699725765007</v>
      </c>
      <c r="J73" s="306">
        <f t="shared" ca="1" si="43"/>
        <v>157.71382526628145</v>
      </c>
      <c r="K73" s="307">
        <f t="shared" ca="1" si="44"/>
        <v>666.8803171571202</v>
      </c>
      <c r="L73" s="304">
        <f t="shared" ca="1" si="29"/>
        <v>685.27586276747286</v>
      </c>
      <c r="M73" s="306">
        <f t="shared" ca="1" si="45"/>
        <v>1.3052587468208705</v>
      </c>
      <c r="N73" s="304">
        <f t="shared" ca="1" si="46"/>
        <v>74.785817365370733</v>
      </c>
      <c r="P73" s="310">
        <f t="shared" ca="1" si="47"/>
        <v>3</v>
      </c>
      <c r="Q73" s="304">
        <f t="shared" ca="1" si="48"/>
        <v>0</v>
      </c>
      <c r="R73" s="306">
        <f t="shared" ca="1" si="49"/>
        <v>0</v>
      </c>
      <c r="S73" s="307">
        <f t="shared" ca="1" si="50"/>
        <v>4.341000000000002</v>
      </c>
      <c r="T73" s="304">
        <f t="shared" ca="1" si="30"/>
        <v>42.585210000000025</v>
      </c>
      <c r="U73" s="311">
        <f t="shared" ca="1" si="31"/>
        <v>0</v>
      </c>
      <c r="V73" s="306">
        <f t="shared" ca="1" si="32"/>
        <v>1.1459432312975386</v>
      </c>
      <c r="W73" s="304">
        <f t="shared" ca="1" si="33"/>
        <v>68.47152568069545</v>
      </c>
      <c r="Y73" s="314" t="str">
        <f t="shared" ca="1" si="51"/>
        <v/>
      </c>
      <c r="Z73" s="315" t="str">
        <f t="shared" ca="1" si="52"/>
        <v/>
      </c>
      <c r="AA73" s="316" t="str">
        <f t="shared" ca="1" si="53"/>
        <v/>
      </c>
      <c r="AC73" s="310" t="e">
        <f t="shared" ca="1" si="54"/>
        <v>#N/A</v>
      </c>
      <c r="AD73" s="323" t="e">
        <f t="shared" ca="1" si="55"/>
        <v>#N/A</v>
      </c>
      <c r="AE73" s="324">
        <f t="shared" ca="1" si="34"/>
        <v>666.8803171571202</v>
      </c>
      <c r="AG73" s="306">
        <f t="shared" ca="1" si="56"/>
        <v>-25.300823734291498</v>
      </c>
      <c r="AH73" s="304">
        <f t="shared" ca="1" si="57"/>
        <v>-15.834161021256886</v>
      </c>
    </row>
    <row r="74" spans="1:34" x14ac:dyDescent="0.2">
      <c r="A74" s="347">
        <f t="shared" ca="1" si="35"/>
        <v>0.01</v>
      </c>
      <c r="B74" s="304">
        <f t="shared" ca="1" si="36"/>
        <v>0.7000000000000004</v>
      </c>
      <c r="D74" s="306">
        <f t="shared" ca="1" si="37"/>
        <v>-4.1393339324406684</v>
      </c>
      <c r="E74" s="307">
        <f t="shared" ca="1" si="38"/>
        <v>-25.030388346636329</v>
      </c>
      <c r="F74" s="304">
        <f t="shared" ca="1" si="39"/>
        <v>25.370345409309714</v>
      </c>
      <c r="G74" s="306">
        <f t="shared" ca="1" si="40"/>
        <v>35.571928600560582</v>
      </c>
      <c r="H74" s="307">
        <f t="shared" ca="1" si="41"/>
        <v>130.70037540111753</v>
      </c>
      <c r="I74" s="304">
        <f t="shared" ca="1" si="42"/>
        <v>135.45460580709843</v>
      </c>
      <c r="J74" s="306">
        <f t="shared" ca="1" si="43"/>
        <v>158.06975151898368</v>
      </c>
      <c r="K74" s="307">
        <f t="shared" ca="1" si="44"/>
        <v>668.18857243054867</v>
      </c>
      <c r="L74" s="304">
        <f t="shared" ca="1" si="29"/>
        <v>686.63091590172951</v>
      </c>
      <c r="M74" s="306">
        <f t="shared" ca="1" si="45"/>
        <v>1.305068689117149</v>
      </c>
      <c r="N74" s="304">
        <f t="shared" ca="1" si="46"/>
        <v>74.774927861083555</v>
      </c>
      <c r="P74" s="310">
        <f t="shared" ca="1" si="47"/>
        <v>3</v>
      </c>
      <c r="Q74" s="304">
        <f t="shared" ca="1" si="48"/>
        <v>0</v>
      </c>
      <c r="R74" s="306">
        <f t="shared" ca="1" si="49"/>
        <v>0</v>
      </c>
      <c r="S74" s="307">
        <f t="shared" ca="1" si="50"/>
        <v>4.341000000000002</v>
      </c>
      <c r="T74" s="304">
        <f t="shared" ca="1" si="30"/>
        <v>42.585210000000025</v>
      </c>
      <c r="U74" s="311">
        <f t="shared" ca="1" si="31"/>
        <v>0</v>
      </c>
      <c r="V74" s="306">
        <f t="shared" ca="1" si="32"/>
        <v>1.145793155301547</v>
      </c>
      <c r="W74" s="304">
        <f t="shared" ca="1" si="33"/>
        <v>68.208138321540417</v>
      </c>
      <c r="Y74" s="314" t="str">
        <f t="shared" ca="1" si="51"/>
        <v/>
      </c>
      <c r="Z74" s="315" t="str">
        <f t="shared" ca="1" si="52"/>
        <v/>
      </c>
      <c r="AA74" s="316" t="str">
        <f t="shared" ca="1" si="53"/>
        <v/>
      </c>
      <c r="AC74" s="310" t="e">
        <f t="shared" ca="1" si="54"/>
        <v>#N/A</v>
      </c>
      <c r="AD74" s="323" t="e">
        <f t="shared" ca="1" si="55"/>
        <v>#N/A</v>
      </c>
      <c r="AE74" s="324">
        <f t="shared" ca="1" si="34"/>
        <v>668.18857243054867</v>
      </c>
      <c r="AG74" s="306">
        <f t="shared" ca="1" si="56"/>
        <v>-25.239389699255739</v>
      </c>
      <c r="AH74" s="304">
        <f t="shared" ca="1" si="57"/>
        <v>-15.773214853880539</v>
      </c>
    </row>
    <row r="75" spans="1:34" x14ac:dyDescent="0.2">
      <c r="A75" s="347">
        <f t="shared" ca="1" si="35"/>
        <v>0.01</v>
      </c>
      <c r="B75" s="304">
        <f t="shared" ca="1" si="36"/>
        <v>0.71000000000000041</v>
      </c>
      <c r="D75" s="306">
        <f t="shared" ca="1" si="37"/>
        <v>-4.1262928311633349</v>
      </c>
      <c r="E75" s="307">
        <f t="shared" ca="1" si="38"/>
        <v>-24.971056576490742</v>
      </c>
      <c r="F75" s="304">
        <f t="shared" ca="1" si="39"/>
        <v>25.309681133408446</v>
      </c>
      <c r="G75" s="306">
        <f t="shared" ca="1" si="40"/>
        <v>35.530665672248951</v>
      </c>
      <c r="H75" s="307">
        <f t="shared" ca="1" si="41"/>
        <v>130.45066483535263</v>
      </c>
      <c r="I75" s="304">
        <f t="shared" ca="1" si="42"/>
        <v>135.20282600263442</v>
      </c>
      <c r="J75" s="306">
        <f t="shared" ca="1" si="43"/>
        <v>158.42526449034773</v>
      </c>
      <c r="K75" s="307">
        <f t="shared" ca="1" si="44"/>
        <v>669.49432763173104</v>
      </c>
      <c r="L75" s="304">
        <f t="shared" ca="1" si="29"/>
        <v>687.98344395770187</v>
      </c>
      <c r="M75" s="306">
        <f t="shared" ca="1" si="45"/>
        <v>1.3048781444160487</v>
      </c>
      <c r="N75" s="304">
        <f t="shared" ca="1" si="46"/>
        <v>74.764010453901918</v>
      </c>
      <c r="P75" s="310">
        <f t="shared" ca="1" si="47"/>
        <v>3</v>
      </c>
      <c r="Q75" s="304">
        <f t="shared" ca="1" si="48"/>
        <v>0</v>
      </c>
      <c r="R75" s="306">
        <f t="shared" ca="1" si="49"/>
        <v>0</v>
      </c>
      <c r="S75" s="307">
        <f t="shared" ca="1" si="50"/>
        <v>4.341000000000002</v>
      </c>
      <c r="T75" s="304">
        <f t="shared" ca="1" si="30"/>
        <v>42.585210000000025</v>
      </c>
      <c r="U75" s="311">
        <f t="shared" ca="1" si="31"/>
        <v>0</v>
      </c>
      <c r="V75" s="306">
        <f t="shared" ca="1" si="32"/>
        <v>1.1456433850437753</v>
      </c>
      <c r="W75" s="304">
        <f t="shared" ca="1" si="33"/>
        <v>67.945924060306211</v>
      </c>
      <c r="Y75" s="314" t="str">
        <f t="shared" ca="1" si="51"/>
        <v/>
      </c>
      <c r="Z75" s="315" t="str">
        <f t="shared" ca="1" si="52"/>
        <v/>
      </c>
      <c r="AA75" s="316" t="str">
        <f t="shared" ca="1" si="53"/>
        <v/>
      </c>
      <c r="AC75" s="310" t="e">
        <f t="shared" ca="1" si="54"/>
        <v>#N/A</v>
      </c>
      <c r="AD75" s="323" t="e">
        <f t="shared" ca="1" si="55"/>
        <v>#N/A</v>
      </c>
      <c r="AE75" s="324">
        <f t="shared" ca="1" si="34"/>
        <v>669.49432763173104</v>
      </c>
      <c r="AG75" s="306">
        <f t="shared" ca="1" si="56"/>
        <v>-25.178225888767123</v>
      </c>
      <c r="AH75" s="304">
        <f t="shared" ca="1" si="57"/>
        <v>-15.712540502543282</v>
      </c>
    </row>
    <row r="76" spans="1:34" x14ac:dyDescent="0.2">
      <c r="A76" s="347">
        <f t="shared" ca="1" si="35"/>
        <v>0.01</v>
      </c>
      <c r="B76" s="304">
        <f t="shared" ca="1" si="36"/>
        <v>0.72000000000000042</v>
      </c>
      <c r="D76" s="306">
        <f t="shared" ca="1" si="37"/>
        <v>-4.1133076985211767</v>
      </c>
      <c r="E76" s="307">
        <f t="shared" ca="1" si="38"/>
        <v>-24.911989050645847</v>
      </c>
      <c r="F76" s="304">
        <f t="shared" ca="1" si="39"/>
        <v>25.249287092553963</v>
      </c>
      <c r="G76" s="306">
        <f t="shared" ca="1" si="40"/>
        <v>35.489532595263739</v>
      </c>
      <c r="H76" s="307">
        <f t="shared" ca="1" si="41"/>
        <v>130.20154494484618</v>
      </c>
      <c r="I76" s="304">
        <f t="shared" ca="1" si="42"/>
        <v>134.95165515789378</v>
      </c>
      <c r="J76" s="306">
        <f t="shared" ca="1" si="43"/>
        <v>158.78036548168529</v>
      </c>
      <c r="K76" s="307">
        <f t="shared" ca="1" si="44"/>
        <v>670.79758868063209</v>
      </c>
      <c r="L76" s="304">
        <f t="shared" ca="1" si="29"/>
        <v>689.33345301258089</v>
      </c>
      <c r="M76" s="306">
        <f t="shared" ca="1" si="45"/>
        <v>1.3046871114277279</v>
      </c>
      <c r="N76" s="304">
        <f t="shared" ca="1" si="46"/>
        <v>74.753065069923366</v>
      </c>
      <c r="P76" s="310">
        <f t="shared" ca="1" si="47"/>
        <v>3</v>
      </c>
      <c r="Q76" s="304">
        <f t="shared" ca="1" si="48"/>
        <v>0</v>
      </c>
      <c r="R76" s="306">
        <f t="shared" ca="1" si="49"/>
        <v>0</v>
      </c>
      <c r="S76" s="307">
        <f t="shared" ca="1" si="50"/>
        <v>4.341000000000002</v>
      </c>
      <c r="T76" s="304">
        <f t="shared" ca="1" si="30"/>
        <v>42.585210000000025</v>
      </c>
      <c r="U76" s="311">
        <f t="shared" ca="1" si="31"/>
        <v>0</v>
      </c>
      <c r="V76" s="306">
        <f t="shared" ca="1" si="32"/>
        <v>1.1454939197330487</v>
      </c>
      <c r="W76" s="304">
        <f t="shared" ca="1" si="33"/>
        <v>67.68487609187784</v>
      </c>
      <c r="Y76" s="314" t="str">
        <f t="shared" ca="1" si="51"/>
        <v/>
      </c>
      <c r="Z76" s="315" t="str">
        <f t="shared" ca="1" si="52"/>
        <v/>
      </c>
      <c r="AA76" s="316" t="str">
        <f t="shared" ca="1" si="53"/>
        <v/>
      </c>
      <c r="AC76" s="310" t="e">
        <f t="shared" ca="1" si="54"/>
        <v>#N/A</v>
      </c>
      <c r="AD76" s="323" t="e">
        <f t="shared" ca="1" si="55"/>
        <v>#N/A</v>
      </c>
      <c r="AE76" s="324">
        <f t="shared" ca="1" si="34"/>
        <v>670.79758868063209</v>
      </c>
      <c r="AG76" s="306">
        <f t="shared" ca="1" si="56"/>
        <v>-25.117330717664512</v>
      </c>
      <c r="AH76" s="304">
        <f t="shared" ca="1" si="57"/>
        <v>-15.652136387999581</v>
      </c>
    </row>
    <row r="77" spans="1:34" x14ac:dyDescent="0.2">
      <c r="A77" s="347">
        <f t="shared" ca="1" si="35"/>
        <v>0.01</v>
      </c>
      <c r="B77" s="304">
        <f t="shared" ca="1" si="36"/>
        <v>0.73000000000000043</v>
      </c>
      <c r="D77" s="306">
        <f t="shared" ca="1" si="37"/>
        <v>-4.1003782060381555</v>
      </c>
      <c r="E77" s="307">
        <f t="shared" ca="1" si="38"/>
        <v>-24.853184236120175</v>
      </c>
      <c r="F77" s="304">
        <f t="shared" ca="1" si="39"/>
        <v>25.189161719022827</v>
      </c>
      <c r="G77" s="306">
        <f t="shared" ca="1" si="40"/>
        <v>35.44852881320336</v>
      </c>
      <c r="H77" s="307">
        <f t="shared" ca="1" si="41"/>
        <v>129.95301310248499</v>
      </c>
      <c r="I77" s="304">
        <f t="shared" ca="1" si="42"/>
        <v>134.70109060224846</v>
      </c>
      <c r="J77" s="306">
        <f t="shared" ca="1" si="43"/>
        <v>159.13505578872764</v>
      </c>
      <c r="K77" s="307">
        <f t="shared" ca="1" si="44"/>
        <v>672.09836147086878</v>
      </c>
      <c r="L77" s="304">
        <f t="shared" ca="1" si="29"/>
        <v>690.68094911667288</v>
      </c>
      <c r="M77" s="306">
        <f t="shared" ca="1" si="45"/>
        <v>1.3044955888571068</v>
      </c>
      <c r="N77" s="304">
        <f t="shared" ca="1" si="46"/>
        <v>74.742091634945282</v>
      </c>
      <c r="P77" s="310">
        <f t="shared" ca="1" si="47"/>
        <v>3</v>
      </c>
      <c r="Q77" s="304">
        <f t="shared" ca="1" si="48"/>
        <v>0</v>
      </c>
      <c r="R77" s="306">
        <f t="shared" ca="1" si="49"/>
        <v>0</v>
      </c>
      <c r="S77" s="307">
        <f t="shared" ca="1" si="50"/>
        <v>4.341000000000002</v>
      </c>
      <c r="T77" s="304">
        <f t="shared" ca="1" si="30"/>
        <v>42.585210000000025</v>
      </c>
      <c r="U77" s="311">
        <f t="shared" ca="1" si="31"/>
        <v>0</v>
      </c>
      <c r="V77" s="306">
        <f t="shared" ca="1" si="32"/>
        <v>1.1453447585818057</v>
      </c>
      <c r="W77" s="304">
        <f t="shared" ca="1" si="33"/>
        <v>67.424987661086348</v>
      </c>
      <c r="Y77" s="314" t="str">
        <f t="shared" ca="1" si="51"/>
        <v/>
      </c>
      <c r="Z77" s="315" t="str">
        <f t="shared" ca="1" si="52"/>
        <v/>
      </c>
      <c r="AA77" s="316" t="str">
        <f t="shared" ca="1" si="53"/>
        <v/>
      </c>
      <c r="AC77" s="310" t="e">
        <f t="shared" ca="1" si="54"/>
        <v>#N/A</v>
      </c>
      <c r="AD77" s="323" t="e">
        <f t="shared" ca="1" si="55"/>
        <v>#N/A</v>
      </c>
      <c r="AE77" s="324">
        <f t="shared" ca="1" si="34"/>
        <v>672.09836147086878</v>
      </c>
      <c r="AG77" s="306">
        <f t="shared" ca="1" si="56"/>
        <v>-25.056702612365484</v>
      </c>
      <c r="AH77" s="304">
        <f t="shared" ca="1" si="57"/>
        <v>-15.592000942611797</v>
      </c>
    </row>
    <row r="78" spans="1:34" x14ac:dyDescent="0.2">
      <c r="A78" s="347">
        <f t="shared" ca="1" si="35"/>
        <v>0.01</v>
      </c>
      <c r="B78" s="304">
        <f t="shared" ca="1" si="36"/>
        <v>0.74000000000000044</v>
      </c>
      <c r="D78" s="306">
        <f t="shared" ca="1" si="37"/>
        <v>-4.0875040276450374</v>
      </c>
      <c r="E78" s="307">
        <f t="shared" ca="1" si="38"/>
        <v>-24.794640611182942</v>
      </c>
      <c r="F78" s="304">
        <f t="shared" ca="1" si="39"/>
        <v>25.129303456596976</v>
      </c>
      <c r="G78" s="306">
        <f t="shared" ca="1" si="40"/>
        <v>35.407653772926913</v>
      </c>
      <c r="H78" s="307">
        <f t="shared" ca="1" si="41"/>
        <v>129.70506669637317</v>
      </c>
      <c r="I78" s="304">
        <f t="shared" ca="1" si="42"/>
        <v>134.45112968069134</v>
      </c>
      <c r="J78" s="306">
        <f t="shared" ca="1" si="43"/>
        <v>159.48933670165829</v>
      </c>
      <c r="K78" s="307">
        <f t="shared" ca="1" si="44"/>
        <v>673.39665186986304</v>
      </c>
      <c r="L78" s="304">
        <f t="shared" ca="1" si="29"/>
        <v>692.0259382935559</v>
      </c>
      <c r="M78" s="306">
        <f t="shared" ca="1" si="45"/>
        <v>1.304303575403843</v>
      </c>
      <c r="N78" s="304">
        <f t="shared" ca="1" si="46"/>
        <v>74.731090074463538</v>
      </c>
      <c r="P78" s="310">
        <f t="shared" ca="1" si="47"/>
        <v>3</v>
      </c>
      <c r="Q78" s="304">
        <f t="shared" ca="1" si="48"/>
        <v>0</v>
      </c>
      <c r="R78" s="306">
        <f t="shared" ca="1" si="49"/>
        <v>0</v>
      </c>
      <c r="S78" s="307">
        <f t="shared" ca="1" si="50"/>
        <v>4.341000000000002</v>
      </c>
      <c r="T78" s="304">
        <f t="shared" ca="1" si="30"/>
        <v>42.585210000000025</v>
      </c>
      <c r="U78" s="311">
        <f t="shared" ca="1" si="31"/>
        <v>0</v>
      </c>
      <c r="V78" s="306">
        <f t="shared" ca="1" si="32"/>
        <v>1.1451959008060759</v>
      </c>
      <c r="W78" s="304">
        <f t="shared" ca="1" si="33"/>
        <v>67.166252062268626</v>
      </c>
      <c r="Y78" s="314" t="str">
        <f t="shared" ca="1" si="51"/>
        <v/>
      </c>
      <c r="Z78" s="315" t="str">
        <f t="shared" ca="1" si="52"/>
        <v/>
      </c>
      <c r="AA78" s="316" t="str">
        <f t="shared" ca="1" si="53"/>
        <v/>
      </c>
      <c r="AC78" s="310" t="e">
        <f t="shared" ca="1" si="54"/>
        <v>#N/A</v>
      </c>
      <c r="AD78" s="323" t="e">
        <f t="shared" ca="1" si="55"/>
        <v>#N/A</v>
      </c>
      <c r="AE78" s="324">
        <f t="shared" ca="1" si="34"/>
        <v>673.39665186986304</v>
      </c>
      <c r="AG78" s="306">
        <f t="shared" ca="1" si="56"/>
        <v>-24.996340010763959</v>
      </c>
      <c r="AH78" s="304">
        <f t="shared" ca="1" si="57"/>
        <v>-15.532132610247942</v>
      </c>
    </row>
    <row r="79" spans="1:34" x14ac:dyDescent="0.2">
      <c r="A79" s="347">
        <f t="shared" ca="1" si="35"/>
        <v>0.01</v>
      </c>
      <c r="B79" s="304">
        <f t="shared" ca="1" si="36"/>
        <v>0.75000000000000044</v>
      </c>
      <c r="D79" s="306">
        <f t="shared" ca="1" si="37"/>
        <v>-4.0746848396581834</v>
      </c>
      <c r="E79" s="307">
        <f t="shared" ca="1" si="38"/>
        <v>-24.736356665254895</v>
      </c>
      <c r="F79" s="304">
        <f t="shared" ca="1" si="39"/>
        <v>25.069710760462325</v>
      </c>
      <c r="G79" s="306">
        <f t="shared" ca="1" si="40"/>
        <v>35.366906924530333</v>
      </c>
      <c r="H79" s="307">
        <f t="shared" ca="1" si="41"/>
        <v>129.45770312972061</v>
      </c>
      <c r="I79" s="304">
        <f t="shared" ca="1" si="42"/>
        <v>134.20176975372294</v>
      </c>
      <c r="J79" s="306">
        <f t="shared" ca="1" si="43"/>
        <v>159.84320950514558</v>
      </c>
      <c r="K79" s="307">
        <f t="shared" ca="1" si="44"/>
        <v>674.6924657189935</v>
      </c>
      <c r="L79" s="304">
        <f t="shared" ca="1" si="29"/>
        <v>693.36842654023485</v>
      </c>
      <c r="M79" s="306">
        <f t="shared" ca="1" si="45"/>
        <v>1.304111069762308</v>
      </c>
      <c r="N79" s="304">
        <f t="shared" ca="1" si="46"/>
        <v>74.720060313671112</v>
      </c>
      <c r="P79" s="310">
        <f t="shared" ca="1" si="47"/>
        <v>3</v>
      </c>
      <c r="Q79" s="304">
        <f t="shared" ca="1" si="48"/>
        <v>0</v>
      </c>
      <c r="R79" s="306">
        <f t="shared" ca="1" si="49"/>
        <v>0</v>
      </c>
      <c r="S79" s="307">
        <f t="shared" ca="1" si="50"/>
        <v>4.341000000000002</v>
      </c>
      <c r="T79" s="304">
        <f t="shared" ca="1" si="30"/>
        <v>42.585210000000025</v>
      </c>
      <c r="U79" s="311">
        <f t="shared" ca="1" si="31"/>
        <v>0</v>
      </c>
      <c r="V79" s="306">
        <f t="shared" ca="1" si="32"/>
        <v>1.1450473456254604</v>
      </c>
      <c r="W79" s="304">
        <f t="shared" ca="1" si="33"/>
        <v>66.908662638832695</v>
      </c>
      <c r="Y79" s="314" t="str">
        <f t="shared" ca="1" si="51"/>
        <v/>
      </c>
      <c r="Z79" s="315" t="str">
        <f t="shared" ca="1" si="52"/>
        <v/>
      </c>
      <c r="AA79" s="316" t="str">
        <f t="shared" ca="1" si="53"/>
        <v/>
      </c>
      <c r="AC79" s="310" t="e">
        <f t="shared" ca="1" si="54"/>
        <v>#N/A</v>
      </c>
      <c r="AD79" s="323" t="e">
        <f t="shared" ca="1" si="55"/>
        <v>#N/A</v>
      </c>
      <c r="AE79" s="324">
        <f t="shared" ca="1" si="34"/>
        <v>674.6924657189935</v>
      </c>
      <c r="AG79" s="306">
        <f t="shared" ca="1" si="56"/>
        <v>-24.936241362128609</v>
      </c>
      <c r="AH79" s="304">
        <f t="shared" ca="1" si="57"/>
        <v>-15.472529846180279</v>
      </c>
    </row>
    <row r="80" spans="1:34" x14ac:dyDescent="0.2">
      <c r="A80" s="347">
        <f t="shared" ca="1" si="35"/>
        <v>0.01</v>
      </c>
      <c r="B80" s="304">
        <f t="shared" ca="1" si="36"/>
        <v>0.76000000000000045</v>
      </c>
      <c r="D80" s="306">
        <f t="shared" ca="1" si="37"/>
        <v>-4.0619203207585892</v>
      </c>
      <c r="E80" s="307">
        <f t="shared" ca="1" si="38"/>
        <v>-24.678330898810373</v>
      </c>
      <c r="F80" s="304">
        <f t="shared" ca="1" si="39"/>
        <v>25.0103820971086</v>
      </c>
      <c r="G80" s="306">
        <f t="shared" ca="1" si="40"/>
        <v>35.32628772132275</v>
      </c>
      <c r="H80" s="307">
        <f t="shared" ca="1" si="41"/>
        <v>129.2109198207325</v>
      </c>
      <c r="I80" s="304">
        <f t="shared" ca="1" si="42"/>
        <v>133.95300819723849</v>
      </c>
      <c r="J80" s="306">
        <f t="shared" ca="1" si="43"/>
        <v>160.19667547837486</v>
      </c>
      <c r="K80" s="307">
        <f t="shared" ca="1" si="44"/>
        <v>675.98580883374575</v>
      </c>
      <c r="L80" s="304">
        <f t="shared" ca="1" si="29"/>
        <v>694.70841982729496</v>
      </c>
      <c r="M80" s="306">
        <f t="shared" ca="1" si="45"/>
        <v>1.3039180706215632</v>
      </c>
      <c r="N80" s="304">
        <f t="shared" ca="1" si="46"/>
        <v>74.70900227745679</v>
      </c>
      <c r="P80" s="310">
        <f t="shared" ca="1" si="47"/>
        <v>3</v>
      </c>
      <c r="Q80" s="304">
        <f t="shared" ca="1" si="48"/>
        <v>0</v>
      </c>
      <c r="R80" s="306">
        <f t="shared" ca="1" si="49"/>
        <v>0</v>
      </c>
      <c r="S80" s="307">
        <f t="shared" ca="1" si="50"/>
        <v>4.341000000000002</v>
      </c>
      <c r="T80" s="304">
        <f t="shared" ca="1" si="30"/>
        <v>42.585210000000025</v>
      </c>
      <c r="U80" s="311">
        <f t="shared" ca="1" si="31"/>
        <v>0</v>
      </c>
      <c r="V80" s="306">
        <f t="shared" ca="1" si="32"/>
        <v>1.1448990922631082</v>
      </c>
      <c r="W80" s="304">
        <f t="shared" ca="1" si="33"/>
        <v>66.65221278282668</v>
      </c>
      <c r="Y80" s="314" t="str">
        <f t="shared" ca="1" si="51"/>
        <v/>
      </c>
      <c r="Z80" s="315" t="str">
        <f t="shared" ca="1" si="52"/>
        <v/>
      </c>
      <c r="AA80" s="316" t="str">
        <f t="shared" ca="1" si="53"/>
        <v/>
      </c>
      <c r="AC80" s="310" t="e">
        <f t="shared" ca="1" si="54"/>
        <v>#N/A</v>
      </c>
      <c r="AD80" s="323" t="e">
        <f t="shared" ca="1" si="55"/>
        <v>#N/A</v>
      </c>
      <c r="AE80" s="324">
        <f t="shared" ca="1" si="34"/>
        <v>675.98580883374575</v>
      </c>
      <c r="AG80" s="306">
        <f t="shared" ca="1" si="56"/>
        <v>-24.876405127002574</v>
      </c>
      <c r="AH80" s="304">
        <f t="shared" ca="1" si="57"/>
        <v>-15.41319111698518</v>
      </c>
    </row>
    <row r="81" spans="1:34" x14ac:dyDescent="0.2">
      <c r="A81" s="347">
        <f t="shared" ca="1" si="35"/>
        <v>0.01</v>
      </c>
      <c r="B81" s="304">
        <f t="shared" ca="1" si="36"/>
        <v>0.77000000000000046</v>
      </c>
      <c r="D81" s="306">
        <f t="shared" ca="1" si="37"/>
        <v>-4.049210151971109</v>
      </c>
      <c r="E81" s="307">
        <f t="shared" ca="1" si="38"/>
        <v>-24.620561823280212</v>
      </c>
      <c r="F81" s="304">
        <f t="shared" ca="1" si="39"/>
        <v>24.951315944230053</v>
      </c>
      <c r="G81" s="306">
        <f t="shared" ca="1" si="40"/>
        <v>35.285795619803039</v>
      </c>
      <c r="H81" s="307">
        <f t="shared" ca="1" si="41"/>
        <v>128.96471420249969</v>
      </c>
      <c r="I81" s="304">
        <f t="shared" ca="1" si="42"/>
        <v>133.70484240241615</v>
      </c>
      <c r="J81" s="306">
        <f t="shared" ca="1" si="43"/>
        <v>160.54973589508049</v>
      </c>
      <c r="K81" s="307">
        <f t="shared" ca="1" si="44"/>
        <v>677.27668700386187</v>
      </c>
      <c r="L81" s="304">
        <f t="shared" ca="1" si="29"/>
        <v>696.04592409905479</v>
      </c>
      <c r="M81" s="306">
        <f t="shared" ca="1" si="45"/>
        <v>1.3037245766653347</v>
      </c>
      <c r="N81" s="304">
        <f t="shared" ca="1" si="46"/>
        <v>74.697915890403607</v>
      </c>
      <c r="P81" s="310">
        <f t="shared" ca="1" si="47"/>
        <v>3</v>
      </c>
      <c r="Q81" s="304">
        <f t="shared" ca="1" si="48"/>
        <v>0</v>
      </c>
      <c r="R81" s="306">
        <f t="shared" ca="1" si="49"/>
        <v>0</v>
      </c>
      <c r="S81" s="307">
        <f t="shared" ca="1" si="50"/>
        <v>4.341000000000002</v>
      </c>
      <c r="T81" s="304">
        <f t="shared" ca="1" si="30"/>
        <v>42.585210000000025</v>
      </c>
      <c r="U81" s="311">
        <f t="shared" ca="1" si="31"/>
        <v>0</v>
      </c>
      <c r="V81" s="306">
        <f t="shared" ca="1" si="32"/>
        <v>1.1447511399456978</v>
      </c>
      <c r="W81" s="304">
        <f t="shared" ca="1" si="33"/>
        <v>66.396895934512656</v>
      </c>
      <c r="Y81" s="314" t="str">
        <f t="shared" ca="1" si="51"/>
        <v/>
      </c>
      <c r="Z81" s="315" t="str">
        <f t="shared" ca="1" si="52"/>
        <v/>
      </c>
      <c r="AA81" s="316" t="str">
        <f t="shared" ca="1" si="53"/>
        <v/>
      </c>
      <c r="AC81" s="310" t="e">
        <f t="shared" ca="1" si="54"/>
        <v>#N/A</v>
      </c>
      <c r="AD81" s="323" t="e">
        <f t="shared" ca="1" si="55"/>
        <v>#N/A</v>
      </c>
      <c r="AE81" s="324">
        <f t="shared" ca="1" si="34"/>
        <v>677.27668700386187</v>
      </c>
      <c r="AG81" s="306">
        <f t="shared" ca="1" si="56"/>
        <v>-24.816829777103965</v>
      </c>
      <c r="AH81" s="304">
        <f t="shared" ca="1" si="57"/>
        <v>-15.354114900443827</v>
      </c>
    </row>
    <row r="82" spans="1:34" x14ac:dyDescent="0.2">
      <c r="A82" s="347">
        <f t="shared" ca="1" si="35"/>
        <v>0.01</v>
      </c>
      <c r="B82" s="304">
        <f t="shared" ca="1" si="36"/>
        <v>0.78000000000000047</v>
      </c>
      <c r="D82" s="306">
        <f t="shared" ca="1" si="37"/>
        <v>-4.0365540166439313</v>
      </c>
      <c r="E82" s="307">
        <f t="shared" ca="1" si="38"/>
        <v>-24.563047960955753</v>
      </c>
      <c r="F82" s="304">
        <f t="shared" ca="1" si="39"/>
        <v>24.892510790627306</v>
      </c>
      <c r="G82" s="306">
        <f t="shared" ca="1" si="40"/>
        <v>35.245430079636598</v>
      </c>
      <c r="H82" s="307">
        <f t="shared" ca="1" si="41"/>
        <v>128.71908372289013</v>
      </c>
      <c r="I82" s="304">
        <f t="shared" ca="1" si="42"/>
        <v>133.45726977560628</v>
      </c>
      <c r="J82" s="306">
        <f t="shared" ca="1" si="43"/>
        <v>160.90239202357768</v>
      </c>
      <c r="K82" s="307">
        <f t="shared" ca="1" si="44"/>
        <v>678.56510599348883</v>
      </c>
      <c r="L82" s="304">
        <f t="shared" ca="1" si="29"/>
        <v>697.38094527371754</v>
      </c>
      <c r="M82" s="306">
        <f t="shared" ca="1" si="45"/>
        <v>1.3035305865719906</v>
      </c>
      <c r="N82" s="304">
        <f t="shared" ca="1" si="46"/>
        <v>74.686801076787646</v>
      </c>
      <c r="P82" s="310">
        <f t="shared" ca="1" si="47"/>
        <v>3</v>
      </c>
      <c r="Q82" s="304">
        <f t="shared" ca="1" si="48"/>
        <v>0</v>
      </c>
      <c r="R82" s="306">
        <f t="shared" ca="1" si="49"/>
        <v>0</v>
      </c>
      <c r="S82" s="307">
        <f t="shared" ca="1" si="50"/>
        <v>4.341000000000002</v>
      </c>
      <c r="T82" s="304">
        <f t="shared" ca="1" si="30"/>
        <v>42.585210000000025</v>
      </c>
      <c r="U82" s="311">
        <f t="shared" ca="1" si="31"/>
        <v>0</v>
      </c>
      <c r="V82" s="306">
        <f t="shared" ca="1" si="32"/>
        <v>1.1446034879034139</v>
      </c>
      <c r="W82" s="304">
        <f t="shared" ca="1" si="33"/>
        <v>66.142705581944554</v>
      </c>
      <c r="Y82" s="314" t="str">
        <f t="shared" ca="1" si="51"/>
        <v/>
      </c>
      <c r="Z82" s="315" t="str">
        <f t="shared" ca="1" si="52"/>
        <v/>
      </c>
      <c r="AA82" s="316" t="str">
        <f t="shared" ca="1" si="53"/>
        <v/>
      </c>
      <c r="AC82" s="310" t="e">
        <f t="shared" ca="1" si="54"/>
        <v>#N/A</v>
      </c>
      <c r="AD82" s="323" t="e">
        <f t="shared" ca="1" si="55"/>
        <v>#N/A</v>
      </c>
      <c r="AE82" s="324">
        <f t="shared" ca="1" si="34"/>
        <v>678.56510599348883</v>
      </c>
      <c r="AG82" s="306">
        <f t="shared" ca="1" si="56"/>
        <v>-24.75751379522756</v>
      </c>
      <c r="AH82" s="304">
        <f t="shared" ca="1" si="57"/>
        <v>-15.295299685444052</v>
      </c>
    </row>
    <row r="83" spans="1:34" x14ac:dyDescent="0.2">
      <c r="A83" s="347">
        <f t="shared" ca="1" si="35"/>
        <v>0.01</v>
      </c>
      <c r="B83" s="304">
        <f t="shared" ca="1" si="36"/>
        <v>0.79000000000000048</v>
      </c>
      <c r="D83" s="306">
        <f t="shared" ca="1" si="37"/>
        <v>-4.0239516004282105</v>
      </c>
      <c r="E83" s="307">
        <f t="shared" ca="1" si="38"/>
        <v>-24.50578784489376</v>
      </c>
      <c r="F83" s="304">
        <f t="shared" ca="1" si="39"/>
        <v>24.833965136110091</v>
      </c>
      <c r="G83" s="306">
        <f t="shared" ca="1" si="40"/>
        <v>35.205190563632314</v>
      </c>
      <c r="H83" s="307">
        <f t="shared" ca="1" si="41"/>
        <v>128.4740258444412</v>
      </c>
      <c r="I83" s="304">
        <f t="shared" ca="1" si="42"/>
        <v>133.21028773822167</v>
      </c>
      <c r="J83" s="306">
        <f t="shared" ca="1" si="43"/>
        <v>161.25464512679403</v>
      </c>
      <c r="K83" s="307">
        <f t="shared" ca="1" si="44"/>
        <v>679.8510715413255</v>
      </c>
      <c r="L83" s="304">
        <f t="shared" ca="1" si="29"/>
        <v>698.71348924352162</v>
      </c>
      <c r="M83" s="306">
        <f t="shared" ca="1" si="45"/>
        <v>1.3033360990145146</v>
      </c>
      <c r="N83" s="304">
        <f t="shared" ca="1" si="46"/>
        <v>74.675657760576456</v>
      </c>
      <c r="P83" s="310">
        <f t="shared" ca="1" si="47"/>
        <v>3</v>
      </c>
      <c r="Q83" s="304">
        <f t="shared" ca="1" si="48"/>
        <v>0</v>
      </c>
      <c r="R83" s="306">
        <f t="shared" ca="1" si="49"/>
        <v>0</v>
      </c>
      <c r="S83" s="307">
        <f t="shared" ca="1" si="50"/>
        <v>4.341000000000002</v>
      </c>
      <c r="T83" s="304">
        <f t="shared" ca="1" si="30"/>
        <v>42.585210000000025</v>
      </c>
      <c r="U83" s="311">
        <f t="shared" ca="1" si="31"/>
        <v>0</v>
      </c>
      <c r="V83" s="306">
        <f t="shared" ca="1" si="32"/>
        <v>1.1444561353699294</v>
      </c>
      <c r="W83" s="304">
        <f t="shared" ca="1" si="33"/>
        <v>65.889635260550747</v>
      </c>
      <c r="Y83" s="314" t="str">
        <f t="shared" ca="1" si="51"/>
        <v/>
      </c>
      <c r="Z83" s="315" t="str">
        <f t="shared" ca="1" si="52"/>
        <v/>
      </c>
      <c r="AA83" s="316" t="str">
        <f t="shared" ca="1" si="53"/>
        <v/>
      </c>
      <c r="AC83" s="310" t="e">
        <f t="shared" ca="1" si="54"/>
        <v>#N/A</v>
      </c>
      <c r="AD83" s="323" t="e">
        <f t="shared" ca="1" si="55"/>
        <v>#N/A</v>
      </c>
      <c r="AE83" s="324">
        <f t="shared" ca="1" si="34"/>
        <v>679.8510715413255</v>
      </c>
      <c r="AG83" s="306">
        <f t="shared" ca="1" si="56"/>
        <v>-24.698455675147379</v>
      </c>
      <c r="AH83" s="304">
        <f t="shared" ca="1" si="57"/>
        <v>-15.236743971883097</v>
      </c>
    </row>
    <row r="84" spans="1:34" x14ac:dyDescent="0.2">
      <c r="A84" s="347">
        <f t="shared" ca="1" si="35"/>
        <v>0.01</v>
      </c>
      <c r="B84" s="304">
        <f t="shared" ca="1" si="36"/>
        <v>0.80000000000000049</v>
      </c>
      <c r="D84" s="306">
        <f t="shared" ca="1" si="37"/>
        <v>-4.0114025912579709</v>
      </c>
      <c r="E84" s="307">
        <f t="shared" ca="1" si="38"/>
        <v>-24.44878001882239</v>
      </c>
      <c r="F84" s="304">
        <f t="shared" ca="1" si="39"/>
        <v>24.775677491401122</v>
      </c>
      <c r="G84" s="306">
        <f t="shared" ca="1" si="40"/>
        <v>35.165076537719735</v>
      </c>
      <c r="H84" s="307">
        <f t="shared" ca="1" si="41"/>
        <v>128.22953804425299</v>
      </c>
      <c r="I84" s="304">
        <f t="shared" ca="1" si="42"/>
        <v>132.9638937266287</v>
      </c>
      <c r="J84" s="306">
        <f t="shared" ca="1" si="43"/>
        <v>161.60649646230078</v>
      </c>
      <c r="K84" s="307">
        <f t="shared" ca="1" si="44"/>
        <v>681.13458936076893</v>
      </c>
      <c r="L84" s="304">
        <f t="shared" ca="1" si="29"/>
        <v>700.04356187488997</v>
      </c>
      <c r="M84" s="306">
        <f t="shared" ca="1" si="45"/>
        <v>1.3031411126604819</v>
      </c>
      <c r="N84" s="304">
        <f t="shared" ca="1" si="46"/>
        <v>74.66448586542775</v>
      </c>
      <c r="P84" s="310">
        <f t="shared" ca="1" si="47"/>
        <v>3</v>
      </c>
      <c r="Q84" s="304">
        <f t="shared" ca="1" si="48"/>
        <v>0</v>
      </c>
      <c r="R84" s="306">
        <f t="shared" ca="1" si="49"/>
        <v>0</v>
      </c>
      <c r="S84" s="307">
        <f t="shared" ca="1" si="50"/>
        <v>4.341000000000002</v>
      </c>
      <c r="T84" s="304">
        <f t="shared" ca="1" si="30"/>
        <v>42.585210000000025</v>
      </c>
      <c r="U84" s="311">
        <f t="shared" ca="1" si="31"/>
        <v>0</v>
      </c>
      <c r="V84" s="306">
        <f t="shared" ca="1" si="32"/>
        <v>1.1443090815823822</v>
      </c>
      <c r="W84" s="304">
        <f t="shared" ca="1" si="33"/>
        <v>65.637678552720473</v>
      </c>
      <c r="Y84" s="314" t="str">
        <f t="shared" ca="1" si="51"/>
        <v/>
      </c>
      <c r="Z84" s="315" t="str">
        <f t="shared" ca="1" si="52"/>
        <v/>
      </c>
      <c r="AA84" s="316" t="str">
        <f t="shared" ca="1" si="53"/>
        <v/>
      </c>
      <c r="AC84" s="310" t="e">
        <f t="shared" ca="1" si="54"/>
        <v>#N/A</v>
      </c>
      <c r="AD84" s="323" t="e">
        <f t="shared" ca="1" si="55"/>
        <v>#N/A</v>
      </c>
      <c r="AE84" s="324">
        <f t="shared" ca="1" si="34"/>
        <v>681.13458936076893</v>
      </c>
      <c r="AG84" s="306">
        <f t="shared" ca="1" si="56"/>
        <v>-24.63965392152037</v>
      </c>
      <c r="AH84" s="304">
        <f t="shared" ca="1" si="57"/>
        <v>-15.178446270571461</v>
      </c>
    </row>
    <row r="85" spans="1:34" x14ac:dyDescent="0.2">
      <c r="A85" s="347">
        <f t="shared" ca="1" si="35"/>
        <v>0.01</v>
      </c>
      <c r="B85" s="304">
        <f t="shared" ca="1" si="36"/>
        <v>0.8100000000000005</v>
      </c>
      <c r="D85" s="306">
        <f t="shared" ca="1" si="37"/>
        <v>-3.998906679330172</v>
      </c>
      <c r="E85" s="307">
        <f t="shared" ca="1" si="38"/>
        <v>-24.392023037048013</v>
      </c>
      <c r="F85" s="304">
        <f t="shared" ca="1" si="39"/>
        <v>24.717646378040776</v>
      </c>
      <c r="G85" s="306">
        <f t="shared" ca="1" si="40"/>
        <v>35.125087470926431</v>
      </c>
      <c r="H85" s="307">
        <f t="shared" ca="1" si="41"/>
        <v>127.98561781388251</v>
      </c>
      <c r="I85" s="304">
        <f t="shared" ca="1" si="42"/>
        <v>132.71808519203941</v>
      </c>
      <c r="J85" s="306">
        <f t="shared" ca="1" si="43"/>
        <v>161.95794728234401</v>
      </c>
      <c r="K85" s="307">
        <f t="shared" ca="1" si="44"/>
        <v>682.41566514005956</v>
      </c>
      <c r="L85" s="304">
        <f t="shared" ca="1" si="29"/>
        <v>701.37116900857882</v>
      </c>
      <c r="M85" s="306">
        <f t="shared" ca="1" si="45"/>
        <v>1.3029456261720351</v>
      </c>
      <c r="N85" s="304">
        <f t="shared" ca="1" si="46"/>
        <v>74.653285314687906</v>
      </c>
      <c r="P85" s="310">
        <f t="shared" ca="1" si="47"/>
        <v>3</v>
      </c>
      <c r="Q85" s="304">
        <f t="shared" ca="1" si="48"/>
        <v>0</v>
      </c>
      <c r="R85" s="306">
        <f t="shared" ca="1" si="49"/>
        <v>0</v>
      </c>
      <c r="S85" s="307">
        <f t="shared" ca="1" si="50"/>
        <v>4.341000000000002</v>
      </c>
      <c r="T85" s="304">
        <f t="shared" ca="1" si="30"/>
        <v>42.585210000000025</v>
      </c>
      <c r="U85" s="311">
        <f t="shared" ca="1" si="31"/>
        <v>0</v>
      </c>
      <c r="V85" s="306">
        <f t="shared" ca="1" si="32"/>
        <v>1.1441623257813573</v>
      </c>
      <c r="W85" s="304">
        <f t="shared" ca="1" si="33"/>
        <v>65.38682908739483</v>
      </c>
      <c r="Y85" s="314" t="str">
        <f t="shared" ca="1" si="51"/>
        <v/>
      </c>
      <c r="Z85" s="315" t="str">
        <f t="shared" ca="1" si="52"/>
        <v/>
      </c>
      <c r="AA85" s="316" t="str">
        <f t="shared" ca="1" si="53"/>
        <v/>
      </c>
      <c r="AC85" s="310" t="e">
        <f t="shared" ca="1" si="54"/>
        <v>#N/A</v>
      </c>
      <c r="AD85" s="323" t="e">
        <f t="shared" ca="1" si="55"/>
        <v>#N/A</v>
      </c>
      <c r="AE85" s="324">
        <f t="shared" ca="1" si="34"/>
        <v>682.41566514005956</v>
      </c>
      <c r="AG85" s="306">
        <f t="shared" ca="1" si="56"/>
        <v>-24.581107049790951</v>
      </c>
      <c r="AH85" s="304">
        <f t="shared" ca="1" si="57"/>
        <v>-15.120405103137628</v>
      </c>
    </row>
    <row r="86" spans="1:34" x14ac:dyDescent="0.2">
      <c r="A86" s="347">
        <f t="shared" ca="1" si="35"/>
        <v>0.01</v>
      </c>
      <c r="B86" s="304">
        <f t="shared" ca="1" si="36"/>
        <v>0.82000000000000051</v>
      </c>
      <c r="D86" s="306">
        <f t="shared" ca="1" si="37"/>
        <v>-3.9864635570849773</v>
      </c>
      <c r="E86" s="307">
        <f t="shared" ca="1" si="38"/>
        <v>-24.335515464363105</v>
      </c>
      <c r="F86" s="304">
        <f t="shared" ca="1" si="39"/>
        <v>24.659870328292939</v>
      </c>
      <c r="G86" s="306">
        <f t="shared" ca="1" si="40"/>
        <v>35.08522283535558</v>
      </c>
      <c r="H86" s="307">
        <f t="shared" ca="1" si="41"/>
        <v>127.74226265923888</v>
      </c>
      <c r="I86" s="304">
        <f t="shared" ca="1" si="42"/>
        <v>132.47285960040469</v>
      </c>
      <c r="J86" s="306">
        <f t="shared" ca="1" si="43"/>
        <v>162.30899883387542</v>
      </c>
      <c r="K86" s="307">
        <f t="shared" ca="1" si="44"/>
        <v>683.69430454242513</v>
      </c>
      <c r="L86" s="304">
        <f t="shared" ca="1" si="29"/>
        <v>702.69631645982417</v>
      </c>
      <c r="M86" s="306">
        <f t="shared" ca="1" si="45"/>
        <v>1.3027496382058581</v>
      </c>
      <c r="N86" s="304">
        <f t="shared" ca="1" si="46"/>
        <v>74.642056031390609</v>
      </c>
      <c r="P86" s="310">
        <f t="shared" ca="1" si="47"/>
        <v>3</v>
      </c>
      <c r="Q86" s="304">
        <f t="shared" ca="1" si="48"/>
        <v>0</v>
      </c>
      <c r="R86" s="306">
        <f t="shared" ca="1" si="49"/>
        <v>0</v>
      </c>
      <c r="S86" s="307">
        <f t="shared" ca="1" si="50"/>
        <v>4.341000000000002</v>
      </c>
      <c r="T86" s="304">
        <f t="shared" ca="1" si="30"/>
        <v>42.585210000000025</v>
      </c>
      <c r="U86" s="311">
        <f t="shared" ca="1" si="31"/>
        <v>0</v>
      </c>
      <c r="V86" s="306">
        <f t="shared" ca="1" si="32"/>
        <v>1.1440158672108647</v>
      </c>
      <c r="W86" s="304">
        <f t="shared" ca="1" si="33"/>
        <v>65.137080539661767</v>
      </c>
      <c r="Y86" s="314" t="str">
        <f t="shared" ca="1" si="51"/>
        <v/>
      </c>
      <c r="Z86" s="315" t="str">
        <f t="shared" ca="1" si="52"/>
        <v/>
      </c>
      <c r="AA86" s="316" t="str">
        <f t="shared" ca="1" si="53"/>
        <v/>
      </c>
      <c r="AC86" s="310" t="e">
        <f t="shared" ca="1" si="54"/>
        <v>#N/A</v>
      </c>
      <c r="AD86" s="323" t="e">
        <f t="shared" ca="1" si="55"/>
        <v>#N/A</v>
      </c>
      <c r="AE86" s="324">
        <f t="shared" ca="1" si="34"/>
        <v>683.69430454242513</v>
      </c>
      <c r="AG86" s="306">
        <f t="shared" ca="1" si="56"/>
        <v>-24.522813586096632</v>
      </c>
      <c r="AH86" s="304">
        <f t="shared" ca="1" si="57"/>
        <v>-15.06261900193384</v>
      </c>
    </row>
    <row r="87" spans="1:34" x14ac:dyDescent="0.2">
      <c r="A87" s="347">
        <f t="shared" ca="1" si="35"/>
        <v>0.01</v>
      </c>
      <c r="B87" s="304">
        <f t="shared" ca="1" si="36"/>
        <v>0.83000000000000052</v>
      </c>
      <c r="D87" s="306">
        <f t="shared" ca="1" si="37"/>
        <v>-3.9740729191862583</v>
      </c>
      <c r="E87" s="307">
        <f t="shared" ca="1" si="38"/>
        <v>-24.279255875954995</v>
      </c>
      <c r="F87" s="304">
        <f t="shared" ca="1" si="39"/>
        <v>24.602347885051639</v>
      </c>
      <c r="G87" s="306">
        <f t="shared" ca="1" si="40"/>
        <v>35.045482106163718</v>
      </c>
      <c r="H87" s="307">
        <f t="shared" ca="1" si="41"/>
        <v>127.49947010047933</v>
      </c>
      <c r="I87" s="304">
        <f t="shared" ca="1" si="42"/>
        <v>132.22821443230814</v>
      </c>
      <c r="J87" s="306">
        <f t="shared" ca="1" si="43"/>
        <v>162.65965235858303</v>
      </c>
      <c r="K87" s="307">
        <f t="shared" ca="1" si="44"/>
        <v>684.9705132062237</v>
      </c>
      <c r="L87" s="304">
        <f t="shared" ca="1" si="29"/>
        <v>704.01901001848853</v>
      </c>
      <c r="M87" s="306">
        <f t="shared" ca="1" si="45"/>
        <v>1.3025531474131522</v>
      </c>
      <c r="N87" s="304">
        <f t="shared" ca="1" si="46"/>
        <v>74.630797938255384</v>
      </c>
      <c r="P87" s="310">
        <f t="shared" ca="1" si="47"/>
        <v>3</v>
      </c>
      <c r="Q87" s="304">
        <f t="shared" ca="1" si="48"/>
        <v>0</v>
      </c>
      <c r="R87" s="306">
        <f t="shared" ca="1" si="49"/>
        <v>0</v>
      </c>
      <c r="S87" s="307">
        <f t="shared" ca="1" si="50"/>
        <v>4.341000000000002</v>
      </c>
      <c r="T87" s="304">
        <f t="shared" ca="1" si="30"/>
        <v>42.585210000000025</v>
      </c>
      <c r="U87" s="311">
        <f t="shared" ca="1" si="31"/>
        <v>0</v>
      </c>
      <c r="V87" s="306">
        <f t="shared" ca="1" si="32"/>
        <v>1.1438697051183218</v>
      </c>
      <c r="W87" s="304">
        <f t="shared" ca="1" si="33"/>
        <v>64.888426630355212</v>
      </c>
      <c r="Y87" s="314" t="str">
        <f t="shared" ca="1" si="51"/>
        <v/>
      </c>
      <c r="Z87" s="315" t="str">
        <f t="shared" ca="1" si="52"/>
        <v/>
      </c>
      <c r="AA87" s="316" t="str">
        <f t="shared" ca="1" si="53"/>
        <v/>
      </c>
      <c r="AC87" s="310" t="e">
        <f t="shared" ca="1" si="54"/>
        <v>#N/A</v>
      </c>
      <c r="AD87" s="323" t="e">
        <f t="shared" ca="1" si="55"/>
        <v>#N/A</v>
      </c>
      <c r="AE87" s="324">
        <f t="shared" ca="1" si="34"/>
        <v>684.9705132062237</v>
      </c>
      <c r="AG87" s="306">
        <f t="shared" ca="1" si="56"/>
        <v>-24.464772067174529</v>
      </c>
      <c r="AH87" s="304">
        <f t="shared" ca="1" si="57"/>
        <v>-15.00508650994281</v>
      </c>
    </row>
    <row r="88" spans="1:34" x14ac:dyDescent="0.2">
      <c r="A88" s="347">
        <f t="shared" ca="1" si="35"/>
        <v>0.01</v>
      </c>
      <c r="B88" s="304">
        <f t="shared" ca="1" si="36"/>
        <v>0.84000000000000052</v>
      </c>
      <c r="D88" s="306">
        <f t="shared" ca="1" si="37"/>
        <v>-3.961734462502251</v>
      </c>
      <c r="E88" s="307">
        <f t="shared" ca="1" si="38"/>
        <v>-24.223242857315551</v>
      </c>
      <c r="F88" s="304">
        <f t="shared" ca="1" si="39"/>
        <v>24.545077601748723</v>
      </c>
      <c r="G88" s="306">
        <f t="shared" ca="1" si="40"/>
        <v>35.005864761538696</v>
      </c>
      <c r="H88" s="307">
        <f t="shared" ca="1" si="41"/>
        <v>127.25723767190617</v>
      </c>
      <c r="I88" s="304">
        <f t="shared" ca="1" si="42"/>
        <v>131.98414718286114</v>
      </c>
      <c r="J88" s="306">
        <f t="shared" ca="1" si="43"/>
        <v>163.00990909292153</v>
      </c>
      <c r="K88" s="307">
        <f t="shared" ca="1" si="44"/>
        <v>686.24429674508565</v>
      </c>
      <c r="L88" s="304">
        <f t="shared" ca="1" si="29"/>
        <v>705.33925544920567</v>
      </c>
      <c r="M88" s="306">
        <f t="shared" ca="1" si="45"/>
        <v>1.3023561524396097</v>
      </c>
      <c r="N88" s="304">
        <f t="shared" ca="1" si="46"/>
        <v>74.619510957686103</v>
      </c>
      <c r="P88" s="310">
        <f t="shared" ca="1" si="47"/>
        <v>3</v>
      </c>
      <c r="Q88" s="304">
        <f t="shared" ca="1" si="48"/>
        <v>0</v>
      </c>
      <c r="R88" s="306">
        <f t="shared" ca="1" si="49"/>
        <v>0</v>
      </c>
      <c r="S88" s="307">
        <f t="shared" ca="1" si="50"/>
        <v>4.341000000000002</v>
      </c>
      <c r="T88" s="304">
        <f t="shared" ca="1" si="30"/>
        <v>42.585210000000025</v>
      </c>
      <c r="U88" s="311">
        <f t="shared" ca="1" si="31"/>
        <v>0</v>
      </c>
      <c r="V88" s="306">
        <f t="shared" ca="1" si="32"/>
        <v>1.1437238387545292</v>
      </c>
      <c r="W88" s="304">
        <f t="shared" ca="1" si="33"/>
        <v>64.640861125658205</v>
      </c>
      <c r="Y88" s="314" t="str">
        <f t="shared" ca="1" si="51"/>
        <v/>
      </c>
      <c r="Z88" s="315" t="str">
        <f t="shared" ca="1" si="52"/>
        <v/>
      </c>
      <c r="AA88" s="316" t="str">
        <f t="shared" ca="1" si="53"/>
        <v/>
      </c>
      <c r="AC88" s="310" t="e">
        <f t="shared" ca="1" si="54"/>
        <v>#N/A</v>
      </c>
      <c r="AD88" s="323" t="e">
        <f t="shared" ca="1" si="55"/>
        <v>#N/A</v>
      </c>
      <c r="AE88" s="324">
        <f t="shared" ca="1" si="34"/>
        <v>686.24429674508565</v>
      </c>
      <c r="AG88" s="306">
        <f t="shared" ca="1" si="56"/>
        <v>-24.406981040268846</v>
      </c>
      <c r="AH88" s="304">
        <f t="shared" ca="1" si="57"/>
        <v>-14.947806180685369</v>
      </c>
    </row>
    <row r="89" spans="1:34" x14ac:dyDescent="0.2">
      <c r="A89" s="347">
        <f t="shared" ca="1" si="35"/>
        <v>0.01</v>
      </c>
      <c r="B89" s="304">
        <f t="shared" ca="1" si="36"/>
        <v>0.85000000000000053</v>
      </c>
      <c r="D89" s="306">
        <f t="shared" ca="1" si="37"/>
        <v>-3.9494478860864439</v>
      </c>
      <c r="E89" s="307">
        <f t="shared" ca="1" si="38"/>
        <v>-24.167475004151804</v>
      </c>
      <c r="F89" s="304">
        <f t="shared" ca="1" si="39"/>
        <v>24.488058042262455</v>
      </c>
      <c r="G89" s="306">
        <f t="shared" ca="1" si="40"/>
        <v>34.966370282677829</v>
      </c>
      <c r="H89" s="307">
        <f t="shared" ca="1" si="41"/>
        <v>127.01556292186466</v>
      </c>
      <c r="I89" s="304">
        <f t="shared" ca="1" si="42"/>
        <v>131.74065536159858</v>
      </c>
      <c r="J89" s="306">
        <f t="shared" ca="1" si="43"/>
        <v>163.35977026814263</v>
      </c>
      <c r="K89" s="307">
        <f t="shared" ca="1" si="44"/>
        <v>687.51566074805453</v>
      </c>
      <c r="L89" s="304">
        <f t="shared" ca="1" si="29"/>
        <v>706.65705849152482</v>
      </c>
      <c r="M89" s="306">
        <f t="shared" ca="1" si="45"/>
        <v>1.3021586519253887</v>
      </c>
      <c r="N89" s="304">
        <f t="shared" ca="1" si="46"/>
        <v>74.608195011769581</v>
      </c>
      <c r="P89" s="310">
        <f t="shared" ca="1" si="47"/>
        <v>3</v>
      </c>
      <c r="Q89" s="304">
        <f t="shared" ca="1" si="48"/>
        <v>0</v>
      </c>
      <c r="R89" s="306">
        <f t="shared" ca="1" si="49"/>
        <v>0</v>
      </c>
      <c r="S89" s="307">
        <f t="shared" ca="1" si="50"/>
        <v>4.341000000000002</v>
      </c>
      <c r="T89" s="304">
        <f t="shared" ca="1" si="30"/>
        <v>42.585210000000025</v>
      </c>
      <c r="U89" s="311">
        <f t="shared" ca="1" si="31"/>
        <v>0</v>
      </c>
      <c r="V89" s="306">
        <f t="shared" ca="1" si="32"/>
        <v>1.1435782673736561</v>
      </c>
      <c r="W89" s="304">
        <f t="shared" ca="1" si="33"/>
        <v>64.394377836710234</v>
      </c>
      <c r="Y89" s="314" t="str">
        <f t="shared" ca="1" si="51"/>
        <v/>
      </c>
      <c r="Z89" s="315" t="str">
        <f t="shared" ca="1" si="52"/>
        <v/>
      </c>
      <c r="AA89" s="316" t="str">
        <f t="shared" ca="1" si="53"/>
        <v/>
      </c>
      <c r="AC89" s="310" t="e">
        <f t="shared" ca="1" si="54"/>
        <v>#N/A</v>
      </c>
      <c r="AD89" s="323" t="e">
        <f t="shared" ca="1" si="55"/>
        <v>#N/A</v>
      </c>
      <c r="AE89" s="324">
        <f t="shared" ca="1" si="34"/>
        <v>687.51566074805453</v>
      </c>
      <c r="AG89" s="306">
        <f t="shared" ca="1" si="56"/>
        <v>-24.349439063039277</v>
      </c>
      <c r="AH89" s="304">
        <f t="shared" ca="1" si="57"/>
        <v>-14.890776578129042</v>
      </c>
    </row>
    <row r="90" spans="1:34" x14ac:dyDescent="0.2">
      <c r="A90" s="347">
        <f t="shared" ca="1" si="35"/>
        <v>0.01</v>
      </c>
      <c r="B90" s="304">
        <f t="shared" ca="1" si="36"/>
        <v>0.86000000000000054</v>
      </c>
      <c r="D90" s="306">
        <f t="shared" ca="1" si="37"/>
        <v>-3.9372128911586595</v>
      </c>
      <c r="E90" s="307">
        <f t="shared" ca="1" si="38"/>
        <v>-24.111950922297481</v>
      </c>
      <c r="F90" s="304">
        <f t="shared" ca="1" si="39"/>
        <v>24.431287780827034</v>
      </c>
      <c r="G90" s="306">
        <f t="shared" ca="1" si="40"/>
        <v>34.926998153766242</v>
      </c>
      <c r="H90" s="307">
        <f t="shared" ca="1" si="41"/>
        <v>126.77444341264169</v>
      </c>
      <c r="I90" s="304">
        <f t="shared" ca="1" si="42"/>
        <v>131.49773649237571</v>
      </c>
      <c r="J90" s="306">
        <f t="shared" ca="1" si="43"/>
        <v>163.70923711032484</v>
      </c>
      <c r="K90" s="307">
        <f t="shared" ca="1" si="44"/>
        <v>688.78461077972702</v>
      </c>
      <c r="L90" s="304">
        <f t="shared" ca="1" si="29"/>
        <v>707.97242486005382</v>
      </c>
      <c r="M90" s="306">
        <f t="shared" ca="1" si="45"/>
        <v>1.3019606445050884</v>
      </c>
      <c r="N90" s="304">
        <f t="shared" ca="1" si="46"/>
        <v>74.596850022274097</v>
      </c>
      <c r="P90" s="310">
        <f t="shared" ca="1" si="47"/>
        <v>3</v>
      </c>
      <c r="Q90" s="304">
        <f t="shared" ca="1" si="48"/>
        <v>0</v>
      </c>
      <c r="R90" s="306">
        <f t="shared" ca="1" si="49"/>
        <v>0</v>
      </c>
      <c r="S90" s="307">
        <f t="shared" ca="1" si="50"/>
        <v>4.341000000000002</v>
      </c>
      <c r="T90" s="304">
        <f t="shared" ca="1" si="30"/>
        <v>42.585210000000025</v>
      </c>
      <c r="U90" s="311">
        <f t="shared" ca="1" si="31"/>
        <v>0</v>
      </c>
      <c r="V90" s="306">
        <f t="shared" ca="1" si="32"/>
        <v>1.1434329902332174</v>
      </c>
      <c r="W90" s="304">
        <f t="shared" ca="1" si="33"/>
        <v>64.148970619218318</v>
      </c>
      <c r="Y90" s="314" t="str">
        <f t="shared" ca="1" si="51"/>
        <v/>
      </c>
      <c r="Z90" s="315" t="str">
        <f t="shared" ca="1" si="52"/>
        <v/>
      </c>
      <c r="AA90" s="316" t="str">
        <f t="shared" ca="1" si="53"/>
        <v/>
      </c>
      <c r="AC90" s="310" t="e">
        <f t="shared" ca="1" si="54"/>
        <v>#N/A</v>
      </c>
      <c r="AD90" s="323" t="e">
        <f t="shared" ca="1" si="55"/>
        <v>#N/A</v>
      </c>
      <c r="AE90" s="324">
        <f t="shared" ca="1" si="34"/>
        <v>688.78461077972702</v>
      </c>
      <c r="AG90" s="306">
        <f t="shared" ca="1" si="56"/>
        <v>-24.292144703470385</v>
      </c>
      <c r="AH90" s="304">
        <f t="shared" ca="1" si="57"/>
        <v>-14.833996276597606</v>
      </c>
    </row>
    <row r="91" spans="1:34" x14ac:dyDescent="0.2">
      <c r="A91" s="347">
        <f t="shared" ca="1" si="35"/>
        <v>0.01</v>
      </c>
      <c r="B91" s="304">
        <f t="shared" ca="1" si="36"/>
        <v>0.87000000000000055</v>
      </c>
      <c r="D91" s="306">
        <f t="shared" ca="1" si="37"/>
        <v>-3.9250291810862836</v>
      </c>
      <c r="E91" s="307">
        <f t="shared" ca="1" si="38"/>
        <v>-24.056669227625388</v>
      </c>
      <c r="F91" s="304">
        <f t="shared" ca="1" si="39"/>
        <v>24.374765401942991</v>
      </c>
      <c r="G91" s="306">
        <f t="shared" ca="1" si="40"/>
        <v>34.887747861955376</v>
      </c>
      <c r="H91" s="307">
        <f t="shared" ca="1" si="41"/>
        <v>126.53387672036543</v>
      </c>
      <c r="I91" s="304">
        <f t="shared" ca="1" si="42"/>
        <v>131.2553881132657</v>
      </c>
      <c r="J91" s="306">
        <f t="shared" ca="1" si="43"/>
        <v>164.05831084040344</v>
      </c>
      <c r="K91" s="307">
        <f t="shared" ca="1" si="44"/>
        <v>690.05115238039207</v>
      </c>
      <c r="L91" s="304">
        <f t="shared" ca="1" si="29"/>
        <v>709.28536024460107</v>
      </c>
      <c r="M91" s="306">
        <f t="shared" ca="1" si="45"/>
        <v>1.3017621288077226</v>
      </c>
      <c r="N91" s="304">
        <f t="shared" ca="1" si="46"/>
        <v>74.585475910647943</v>
      </c>
      <c r="P91" s="310">
        <f t="shared" ca="1" si="47"/>
        <v>3</v>
      </c>
      <c r="Q91" s="304">
        <f t="shared" ca="1" si="48"/>
        <v>0</v>
      </c>
      <c r="R91" s="306">
        <f t="shared" ca="1" si="49"/>
        <v>0</v>
      </c>
      <c r="S91" s="307">
        <f t="shared" ca="1" si="50"/>
        <v>4.341000000000002</v>
      </c>
      <c r="T91" s="304">
        <f t="shared" ca="1" si="30"/>
        <v>42.585210000000025</v>
      </c>
      <c r="U91" s="311">
        <f t="shared" ca="1" si="31"/>
        <v>0</v>
      </c>
      <c r="V91" s="306">
        <f t="shared" ca="1" si="32"/>
        <v>1.1432880065940558</v>
      </c>
      <c r="W91" s="304">
        <f t="shared" ca="1" si="33"/>
        <v>63.904633373072279</v>
      </c>
      <c r="Y91" s="314" t="str">
        <f t="shared" ca="1" si="51"/>
        <v/>
      </c>
      <c r="Z91" s="315" t="str">
        <f t="shared" ca="1" si="52"/>
        <v/>
      </c>
      <c r="AA91" s="316" t="str">
        <f t="shared" ca="1" si="53"/>
        <v/>
      </c>
      <c r="AC91" s="310" t="e">
        <f t="shared" ca="1" si="54"/>
        <v>#N/A</v>
      </c>
      <c r="AD91" s="323" t="e">
        <f t="shared" ca="1" si="55"/>
        <v>#N/A</v>
      </c>
      <c r="AE91" s="324">
        <f t="shared" ca="1" si="34"/>
        <v>690.05115238039207</v>
      </c>
      <c r="AG91" s="306">
        <f t="shared" ca="1" si="56"/>
        <v>-24.235096539781793</v>
      </c>
      <c r="AH91" s="304">
        <f t="shared" ca="1" si="57"/>
        <v>-14.777463860681475</v>
      </c>
    </row>
    <row r="92" spans="1:34" x14ac:dyDescent="0.2">
      <c r="A92" s="347">
        <f t="shared" ca="1" si="35"/>
        <v>0.01</v>
      </c>
      <c r="B92" s="304">
        <f t="shared" ca="1" si="36"/>
        <v>0.88000000000000056</v>
      </c>
      <c r="D92" s="306">
        <f t="shared" ca="1" si="37"/>
        <v>-3.9128964613657482</v>
      </c>
      <c r="E92" s="307">
        <f t="shared" ca="1" si="38"/>
        <v>-24.00162854596077</v>
      </c>
      <c r="F92" s="304">
        <f t="shared" ca="1" si="39"/>
        <v>24.318489500288614</v>
      </c>
      <c r="G92" s="306">
        <f t="shared" ca="1" si="40"/>
        <v>34.848618897341716</v>
      </c>
      <c r="H92" s="307">
        <f t="shared" ca="1" si="41"/>
        <v>126.29386043490582</v>
      </c>
      <c r="I92" s="304">
        <f t="shared" ca="1" si="42"/>
        <v>131.01360777645823</v>
      </c>
      <c r="J92" s="306">
        <f t="shared" ca="1" si="43"/>
        <v>164.40699267419993</v>
      </c>
      <c r="K92" s="307">
        <f t="shared" ca="1" si="44"/>
        <v>691.31529106616847</v>
      </c>
      <c r="L92" s="304">
        <f t="shared" ca="1" si="29"/>
        <v>710.59587031031617</v>
      </c>
      <c r="M92" s="306">
        <f t="shared" ca="1" si="45"/>
        <v>1.3015631034566937</v>
      </c>
      <c r="N92" s="304">
        <f t="shared" ca="1" si="46"/>
        <v>74.574072598017878</v>
      </c>
      <c r="P92" s="310">
        <f t="shared" ca="1" si="47"/>
        <v>3</v>
      </c>
      <c r="Q92" s="304">
        <f t="shared" ca="1" si="48"/>
        <v>0</v>
      </c>
      <c r="R92" s="306">
        <f t="shared" ca="1" si="49"/>
        <v>0</v>
      </c>
      <c r="S92" s="307">
        <f t="shared" ca="1" si="50"/>
        <v>4.341000000000002</v>
      </c>
      <c r="T92" s="304">
        <f t="shared" ca="1" si="30"/>
        <v>42.585210000000025</v>
      </c>
      <c r="U92" s="311">
        <f t="shared" ca="1" si="31"/>
        <v>0</v>
      </c>
      <c r="V92" s="306">
        <f t="shared" ca="1" si="32"/>
        <v>1.1431433157203201</v>
      </c>
      <c r="W92" s="304">
        <f t="shared" ca="1" si="33"/>
        <v>63.661360041963512</v>
      </c>
      <c r="Y92" s="314" t="str">
        <f t="shared" ca="1" si="51"/>
        <v/>
      </c>
      <c r="Z92" s="315" t="str">
        <f t="shared" ca="1" si="52"/>
        <v/>
      </c>
      <c r="AA92" s="316" t="str">
        <f t="shared" ca="1" si="53"/>
        <v/>
      </c>
      <c r="AC92" s="310" t="e">
        <f t="shared" ca="1" si="54"/>
        <v>#N/A</v>
      </c>
      <c r="AD92" s="323" t="e">
        <f t="shared" ca="1" si="55"/>
        <v>#N/A</v>
      </c>
      <c r="AE92" s="324">
        <f t="shared" ca="1" si="34"/>
        <v>691.31529106616847</v>
      </c>
      <c r="AG92" s="306">
        <f t="shared" ca="1" si="56"/>
        <v>-24.178293160339436</v>
      </c>
      <c r="AH92" s="304">
        <f t="shared" ca="1" si="57"/>
        <v>-14.721177925149101</v>
      </c>
    </row>
    <row r="93" spans="1:34" x14ac:dyDescent="0.2">
      <c r="A93" s="347">
        <f t="shared" ca="1" si="35"/>
        <v>0.01</v>
      </c>
      <c r="B93" s="304">
        <f t="shared" ca="1" si="36"/>
        <v>0.89000000000000057</v>
      </c>
      <c r="D93" s="306">
        <f t="shared" ca="1" si="37"/>
        <v>-3.9008144396041486</v>
      </c>
      <c r="E93" s="307">
        <f t="shared" ca="1" si="38"/>
        <v>-23.946827512995398</v>
      </c>
      <c r="F93" s="304">
        <f t="shared" ca="1" si="39"/>
        <v>24.262458680632051</v>
      </c>
      <c r="G93" s="306">
        <f t="shared" ca="1" si="40"/>
        <v>34.809610752945673</v>
      </c>
      <c r="H93" s="307">
        <f t="shared" ca="1" si="41"/>
        <v>126.05439215977587</v>
      </c>
      <c r="I93" s="304">
        <f t="shared" ca="1" si="42"/>
        <v>130.7723930481589</v>
      </c>
      <c r="J93" s="306">
        <f t="shared" ca="1" si="43"/>
        <v>164.75528382245136</v>
      </c>
      <c r="K93" s="307">
        <f t="shared" ca="1" si="44"/>
        <v>692.57703232914184</v>
      </c>
      <c r="L93" s="304">
        <f t="shared" ca="1" si="29"/>
        <v>711.90396069783014</v>
      </c>
      <c r="M93" s="306">
        <f t="shared" ca="1" si="45"/>
        <v>1.3013635670697676</v>
      </c>
      <c r="N93" s="304">
        <f t="shared" ca="1" si="46"/>
        <v>74.562640005187731</v>
      </c>
      <c r="P93" s="310">
        <f t="shared" ca="1" si="47"/>
        <v>3</v>
      </c>
      <c r="Q93" s="304">
        <f t="shared" ca="1" si="48"/>
        <v>0</v>
      </c>
      <c r="R93" s="306">
        <f t="shared" ca="1" si="49"/>
        <v>0</v>
      </c>
      <c r="S93" s="307">
        <f t="shared" ca="1" si="50"/>
        <v>4.341000000000002</v>
      </c>
      <c r="T93" s="304">
        <f t="shared" ca="1" si="30"/>
        <v>42.585210000000025</v>
      </c>
      <c r="U93" s="311">
        <f t="shared" ca="1" si="31"/>
        <v>0</v>
      </c>
      <c r="V93" s="306">
        <f t="shared" ca="1" si="32"/>
        <v>1.1429989168794503</v>
      </c>
      <c r="W93" s="304">
        <f t="shared" ca="1" si="33"/>
        <v>63.419144613008129</v>
      </c>
      <c r="Y93" s="314" t="str">
        <f t="shared" ca="1" si="51"/>
        <v/>
      </c>
      <c r="Z93" s="315" t="str">
        <f t="shared" ca="1" si="52"/>
        <v/>
      </c>
      <c r="AA93" s="316" t="str">
        <f t="shared" ca="1" si="53"/>
        <v/>
      </c>
      <c r="AC93" s="310" t="e">
        <f t="shared" ca="1" si="54"/>
        <v>#N/A</v>
      </c>
      <c r="AD93" s="323" t="e">
        <f t="shared" ca="1" si="55"/>
        <v>#N/A</v>
      </c>
      <c r="AE93" s="324">
        <f t="shared" ca="1" si="34"/>
        <v>692.57703232914184</v>
      </c>
      <c r="AG93" s="306">
        <f t="shared" ca="1" si="56"/>
        <v>-24.121733163567491</v>
      </c>
      <c r="AH93" s="304">
        <f t="shared" ca="1" si="57"/>
        <v>-14.66513707485913</v>
      </c>
    </row>
    <row r="94" spans="1:34" x14ac:dyDescent="0.2">
      <c r="A94" s="347">
        <f t="shared" ca="1" si="35"/>
        <v>0.01</v>
      </c>
      <c r="B94" s="304">
        <f t="shared" ca="1" si="36"/>
        <v>0.90000000000000058</v>
      </c>
      <c r="D94" s="306">
        <f t="shared" ca="1" si="37"/>
        <v>-3.8887828255010759</v>
      </c>
      <c r="E94" s="307">
        <f t="shared" ca="1" si="38"/>
        <v>-23.89226477420269</v>
      </c>
      <c r="F94" s="304">
        <f t="shared" ca="1" si="39"/>
        <v>24.206671557744549</v>
      </c>
      <c r="G94" s="306">
        <f t="shared" ca="1" si="40"/>
        <v>34.770722924690659</v>
      </c>
      <c r="H94" s="307">
        <f t="shared" ca="1" si="41"/>
        <v>125.81546951203384</v>
      </c>
      <c r="I94" s="304">
        <f t="shared" ca="1" si="42"/>
        <v>130.53174150848952</v>
      </c>
      <c r="J94" s="306">
        <f t="shared" ca="1" si="43"/>
        <v>165.10318549083954</v>
      </c>
      <c r="K94" s="307">
        <f t="shared" ca="1" si="44"/>
        <v>693.83638163750084</v>
      </c>
      <c r="L94" s="304">
        <f t="shared" ca="1" si="29"/>
        <v>713.20963702339452</v>
      </c>
      <c r="M94" s="306">
        <f t="shared" ca="1" si="45"/>
        <v>1.3011635182590466</v>
      </c>
      <c r="N94" s="304">
        <f t="shared" ca="1" si="46"/>
        <v>74.5511780526368</v>
      </c>
      <c r="P94" s="310">
        <f t="shared" ca="1" si="47"/>
        <v>3</v>
      </c>
      <c r="Q94" s="304">
        <f t="shared" ca="1" si="48"/>
        <v>0</v>
      </c>
      <c r="R94" s="306">
        <f t="shared" ca="1" si="49"/>
        <v>0</v>
      </c>
      <c r="S94" s="307">
        <f t="shared" ca="1" si="50"/>
        <v>4.341000000000002</v>
      </c>
      <c r="T94" s="304">
        <f t="shared" ca="1" si="30"/>
        <v>42.585210000000025</v>
      </c>
      <c r="U94" s="311">
        <f t="shared" ca="1" si="31"/>
        <v>0</v>
      </c>
      <c r="V94" s="306">
        <f t="shared" ca="1" si="32"/>
        <v>1.1428548093421542</v>
      </c>
      <c r="W94" s="304">
        <f t="shared" ca="1" si="33"/>
        <v>63.177981116373331</v>
      </c>
      <c r="Y94" s="314" t="str">
        <f t="shared" ca="1" si="51"/>
        <v/>
      </c>
      <c r="Z94" s="315" t="str">
        <f t="shared" ca="1" si="52"/>
        <v/>
      </c>
      <c r="AA94" s="316" t="str">
        <f t="shared" ca="1" si="53"/>
        <v/>
      </c>
      <c r="AC94" s="310" t="e">
        <f t="shared" ca="1" si="54"/>
        <v>#N/A</v>
      </c>
      <c r="AD94" s="323" t="e">
        <f t="shared" ca="1" si="55"/>
        <v>#N/A</v>
      </c>
      <c r="AE94" s="324">
        <f t="shared" ca="1" si="34"/>
        <v>693.83638163750084</v>
      </c>
      <c r="AG94" s="306">
        <f t="shared" ca="1" si="56"/>
        <v>-24.065415157861445</v>
      </c>
      <c r="AH94" s="304">
        <f t="shared" ca="1" si="57"/>
        <v>-14.6093399246736</v>
      </c>
    </row>
    <row r="95" spans="1:34" x14ac:dyDescent="0.2">
      <c r="A95" s="347">
        <f t="shared" ca="1" si="35"/>
        <v>0.01</v>
      </c>
      <c r="B95" s="304">
        <f t="shared" ca="1" si="36"/>
        <v>0.91000000000000059</v>
      </c>
      <c r="D95" s="306">
        <f t="shared" ca="1" si="37"/>
        <v>-3.8768013308306219</v>
      </c>
      <c r="E95" s="307">
        <f t="shared" ca="1" si="38"/>
        <v>-23.837938984753556</v>
      </c>
      <c r="F95" s="304">
        <f t="shared" ca="1" si="39"/>
        <v>24.151126756314362</v>
      </c>
      <c r="G95" s="306">
        <f t="shared" ca="1" si="40"/>
        <v>34.731954911382353</v>
      </c>
      <c r="H95" s="307">
        <f t="shared" ca="1" si="41"/>
        <v>125.57709012218631</v>
      </c>
      <c r="I95" s="304">
        <f t="shared" ca="1" si="42"/>
        <v>130.29165075138928</v>
      </c>
      <c r="J95" s="306">
        <f t="shared" ca="1" si="43"/>
        <v>165.4506988800199</v>
      </c>
      <c r="K95" s="307">
        <f t="shared" ca="1" si="44"/>
        <v>695.09334443567195</v>
      </c>
      <c r="L95" s="304">
        <f t="shared" ca="1" si="29"/>
        <v>714.5129048790194</v>
      </c>
      <c r="M95" s="306">
        <f t="shared" ca="1" si="45"/>
        <v>1.3009629556309439</v>
      </c>
      <c r="N95" s="304">
        <f t="shared" ca="1" si="46"/>
        <v>74.539686660518456</v>
      </c>
      <c r="P95" s="310">
        <f t="shared" ca="1" si="47"/>
        <v>3</v>
      </c>
      <c r="Q95" s="304">
        <f t="shared" ca="1" si="48"/>
        <v>0</v>
      </c>
      <c r="R95" s="306">
        <f t="shared" ca="1" si="49"/>
        <v>0</v>
      </c>
      <c r="S95" s="307">
        <f t="shared" ca="1" si="50"/>
        <v>4.341000000000002</v>
      </c>
      <c r="T95" s="304">
        <f t="shared" ca="1" si="30"/>
        <v>42.585210000000025</v>
      </c>
      <c r="U95" s="311">
        <f t="shared" ca="1" si="31"/>
        <v>0</v>
      </c>
      <c r="V95" s="306">
        <f t="shared" ca="1" si="32"/>
        <v>1.1427109923823913</v>
      </c>
      <c r="W95" s="304">
        <f t="shared" ca="1" si="33"/>
        <v>62.937863624908033</v>
      </c>
      <c r="Y95" s="314" t="str">
        <f t="shared" ca="1" si="51"/>
        <v/>
      </c>
      <c r="Z95" s="315" t="str">
        <f t="shared" ca="1" si="52"/>
        <v/>
      </c>
      <c r="AA95" s="316" t="str">
        <f t="shared" ca="1" si="53"/>
        <v/>
      </c>
      <c r="AC95" s="310" t="e">
        <f t="shared" ca="1" si="54"/>
        <v>#N/A</v>
      </c>
      <c r="AD95" s="323" t="e">
        <f t="shared" ca="1" si="55"/>
        <v>#N/A</v>
      </c>
      <c r="AE95" s="324">
        <f t="shared" ca="1" si="34"/>
        <v>695.09334443567195</v>
      </c>
      <c r="AG95" s="306">
        <f t="shared" ca="1" si="56"/>
        <v>-24.00933776150179</v>
      </c>
      <c r="AH95" s="304">
        <f t="shared" ca="1" si="57"/>
        <v>-14.553785099371874</v>
      </c>
    </row>
    <row r="96" spans="1:34" x14ac:dyDescent="0.2">
      <c r="A96" s="347">
        <f t="shared" ca="1" si="35"/>
        <v>0.01</v>
      </c>
      <c r="B96" s="304">
        <f t="shared" ca="1" si="36"/>
        <v>0.9200000000000006</v>
      </c>
      <c r="D96" s="306">
        <f t="shared" ca="1" si="37"/>
        <v>-3.8648696694235638</v>
      </c>
      <c r="E96" s="307">
        <f t="shared" ca="1" si="38"/>
        <v>-23.783848809433188</v>
      </c>
      <c r="F96" s="304">
        <f t="shared" ca="1" si="39"/>
        <v>24.095822910861681</v>
      </c>
      <c r="G96" s="306">
        <f t="shared" ca="1" si="40"/>
        <v>34.693306214688114</v>
      </c>
      <c r="H96" s="307">
        <f t="shared" ca="1" si="41"/>
        <v>125.33925163409198</v>
      </c>
      <c r="I96" s="304">
        <f t="shared" ca="1" si="42"/>
        <v>130.05211838451672</v>
      </c>
      <c r="J96" s="306">
        <f t="shared" ca="1" si="43"/>
        <v>165.79782518565025</v>
      </c>
      <c r="K96" s="307">
        <f t="shared" ca="1" si="44"/>
        <v>696.34792614445337</v>
      </c>
      <c r="L96" s="304">
        <f t="shared" ca="1" si="29"/>
        <v>715.81376983260986</v>
      </c>
      <c r="M96" s="306">
        <f t="shared" ca="1" si="45"/>
        <v>1.3007618777861565</v>
      </c>
      <c r="N96" s="304">
        <f t="shared" ca="1" si="46"/>
        <v>74.528165748658552</v>
      </c>
      <c r="P96" s="310">
        <f t="shared" ca="1" si="47"/>
        <v>3</v>
      </c>
      <c r="Q96" s="304">
        <f t="shared" ca="1" si="48"/>
        <v>0</v>
      </c>
      <c r="R96" s="306">
        <f t="shared" ca="1" si="49"/>
        <v>0</v>
      </c>
      <c r="S96" s="307">
        <f t="shared" ca="1" si="50"/>
        <v>4.341000000000002</v>
      </c>
      <c r="T96" s="304">
        <f t="shared" ca="1" si="30"/>
        <v>42.585210000000025</v>
      </c>
      <c r="U96" s="311">
        <f t="shared" ca="1" si="31"/>
        <v>0</v>
      </c>
      <c r="V96" s="306">
        <f t="shared" ca="1" si="32"/>
        <v>1.1425674652773521</v>
      </c>
      <c r="W96" s="304">
        <f t="shared" ca="1" si="33"/>
        <v>62.698786253776696</v>
      </c>
      <c r="Y96" s="314" t="str">
        <f t="shared" ca="1" si="51"/>
        <v/>
      </c>
      <c r="Z96" s="315" t="str">
        <f t="shared" ca="1" si="52"/>
        <v/>
      </c>
      <c r="AA96" s="316" t="str">
        <f t="shared" ca="1" si="53"/>
        <v/>
      </c>
      <c r="AC96" s="310" t="e">
        <f t="shared" ca="1" si="54"/>
        <v>#N/A</v>
      </c>
      <c r="AD96" s="323" t="e">
        <f t="shared" ca="1" si="55"/>
        <v>#N/A</v>
      </c>
      <c r="AE96" s="324">
        <f t="shared" ca="1" si="34"/>
        <v>696.34792614445337</v>
      </c>
      <c r="AG96" s="306">
        <f t="shared" ca="1" si="56"/>
        <v>-23.953499602568776</v>
      </c>
      <c r="AH96" s="304">
        <f t="shared" ca="1" si="57"/>
        <v>-14.498471233565539</v>
      </c>
    </row>
    <row r="97" spans="1:34" x14ac:dyDescent="0.2">
      <c r="A97" s="347">
        <f t="shared" ca="1" si="35"/>
        <v>0.01</v>
      </c>
      <c r="B97" s="304">
        <f t="shared" ca="1" si="36"/>
        <v>0.9300000000000006</v>
      </c>
      <c r="D97" s="306">
        <f t="shared" ca="1" si="37"/>
        <v>-3.8529875571497256</v>
      </c>
      <c r="E97" s="307">
        <f t="shared" ca="1" si="38"/>
        <v>-23.729992922558537</v>
      </c>
      <c r="F97" s="304">
        <f t="shared" ca="1" si="39"/>
        <v>24.040758665654231</v>
      </c>
      <c r="G97" s="306">
        <f t="shared" ca="1" si="40"/>
        <v>34.654776339116616</v>
      </c>
      <c r="H97" s="307">
        <f t="shared" ca="1" si="41"/>
        <v>125.10195170486639</v>
      </c>
      <c r="I97" s="304">
        <f t="shared" ca="1" si="42"/>
        <v>129.81314202915252</v>
      </c>
      <c r="J97" s="306">
        <f t="shared" ca="1" si="43"/>
        <v>166.14456559841929</v>
      </c>
      <c r="K97" s="307">
        <f t="shared" ca="1" si="44"/>
        <v>697.60013216114817</v>
      </c>
      <c r="L97" s="304">
        <f t="shared" ca="1" si="29"/>
        <v>717.11223742810216</v>
      </c>
      <c r="M97" s="306">
        <f t="shared" ca="1" si="45"/>
        <v>1.3005602833196392</v>
      </c>
      <c r="N97" s="304">
        <f t="shared" ca="1" si="46"/>
        <v>74.516615236553932</v>
      </c>
      <c r="P97" s="310">
        <f t="shared" ca="1" si="47"/>
        <v>3</v>
      </c>
      <c r="Q97" s="304">
        <f t="shared" ca="1" si="48"/>
        <v>0</v>
      </c>
      <c r="R97" s="306">
        <f t="shared" ca="1" si="49"/>
        <v>0</v>
      </c>
      <c r="S97" s="307">
        <f t="shared" ca="1" si="50"/>
        <v>4.341000000000002</v>
      </c>
      <c r="T97" s="304">
        <f t="shared" ca="1" si="30"/>
        <v>42.585210000000025</v>
      </c>
      <c r="U97" s="311">
        <f t="shared" ca="1" si="31"/>
        <v>0</v>
      </c>
      <c r="V97" s="306">
        <f t="shared" ca="1" si="32"/>
        <v>1.1424242273074414</v>
      </c>
      <c r="W97" s="304">
        <f t="shared" ca="1" si="33"/>
        <v>62.460743160097287</v>
      </c>
      <c r="Y97" s="314" t="str">
        <f t="shared" ca="1" si="51"/>
        <v/>
      </c>
      <c r="Z97" s="315" t="str">
        <f t="shared" ca="1" si="52"/>
        <v/>
      </c>
      <c r="AA97" s="316" t="str">
        <f t="shared" ca="1" si="53"/>
        <v/>
      </c>
      <c r="AC97" s="310" t="e">
        <f t="shared" ca="1" si="54"/>
        <v>#N/A</v>
      </c>
      <c r="AD97" s="323" t="e">
        <f t="shared" ca="1" si="55"/>
        <v>#N/A</v>
      </c>
      <c r="AE97" s="324">
        <f t="shared" ca="1" si="34"/>
        <v>697.60013216114817</v>
      </c>
      <c r="AG97" s="306">
        <f t="shared" ca="1" si="56"/>
        <v>-23.897899318857874</v>
      </c>
      <c r="AH97" s="304">
        <f t="shared" ca="1" si="57"/>
        <v>-14.443396971614067</v>
      </c>
    </row>
    <row r="98" spans="1:34" x14ac:dyDescent="0.2">
      <c r="A98" s="347">
        <f t="shared" ca="1" si="35"/>
        <v>0.01</v>
      </c>
      <c r="B98" s="304">
        <f t="shared" ca="1" si="36"/>
        <v>0.94000000000000061</v>
      </c>
      <c r="D98" s="306">
        <f t="shared" ca="1" si="37"/>
        <v>-3.8411547119005229</v>
      </c>
      <c r="E98" s="307">
        <f t="shared" ca="1" si="38"/>
        <v>-23.676370007896825</v>
      </c>
      <c r="F98" s="304">
        <f t="shared" ca="1" si="39"/>
        <v>23.985932674623928</v>
      </c>
      <c r="G98" s="306">
        <f t="shared" ca="1" si="40"/>
        <v>34.616364791997611</v>
      </c>
      <c r="H98" s="307">
        <f t="shared" ca="1" si="41"/>
        <v>124.86518800478743</v>
      </c>
      <c r="I98" s="304">
        <f t="shared" ca="1" si="42"/>
        <v>129.57471932010333</v>
      </c>
      <c r="J98" s="306">
        <f t="shared" ca="1" si="43"/>
        <v>166.49092130407487</v>
      </c>
      <c r="K98" s="307">
        <f t="shared" ca="1" si="44"/>
        <v>698.84996785969645</v>
      </c>
      <c r="L98" s="304">
        <f t="shared" ca="1" si="29"/>
        <v>718.40831318559947</v>
      </c>
      <c r="M98" s="306">
        <f t="shared" ca="1" si="45"/>
        <v>1.3003581708205776</v>
      </c>
      <c r="N98" s="304">
        <f t="shared" ca="1" si="46"/>
        <v>74.505035043370853</v>
      </c>
      <c r="P98" s="310">
        <f t="shared" ca="1" si="47"/>
        <v>3</v>
      </c>
      <c r="Q98" s="304">
        <f t="shared" ca="1" si="48"/>
        <v>0</v>
      </c>
      <c r="R98" s="306">
        <f t="shared" ca="1" si="49"/>
        <v>0</v>
      </c>
      <c r="S98" s="307">
        <f t="shared" ca="1" si="50"/>
        <v>4.341000000000002</v>
      </c>
      <c r="T98" s="304">
        <f t="shared" ca="1" si="30"/>
        <v>42.585210000000025</v>
      </c>
      <c r="U98" s="311">
        <f t="shared" ca="1" si="31"/>
        <v>0</v>
      </c>
      <c r="V98" s="306">
        <f t="shared" ca="1" si="32"/>
        <v>1.142281277756259</v>
      </c>
      <c r="W98" s="304">
        <f t="shared" ca="1" si="33"/>
        <v>62.223728542582641</v>
      </c>
      <c r="Y98" s="314" t="str">
        <f t="shared" ca="1" si="51"/>
        <v/>
      </c>
      <c r="Z98" s="315" t="str">
        <f t="shared" ca="1" si="52"/>
        <v/>
      </c>
      <c r="AA98" s="316" t="str">
        <f t="shared" ca="1" si="53"/>
        <v/>
      </c>
      <c r="AC98" s="310" t="e">
        <f t="shared" ca="1" si="54"/>
        <v>#N/A</v>
      </c>
      <c r="AD98" s="323" t="e">
        <f t="shared" ca="1" si="55"/>
        <v>#N/A</v>
      </c>
      <c r="AE98" s="324">
        <f t="shared" ca="1" si="34"/>
        <v>698.84996785969645</v>
      </c>
      <c r="AG98" s="306">
        <f t="shared" ca="1" si="56"/>
        <v>-23.842535557796165</v>
      </c>
      <c r="AH98" s="304">
        <f t="shared" ca="1" si="57"/>
        <v>-14.388560967541409</v>
      </c>
    </row>
    <row r="99" spans="1:34" x14ac:dyDescent="0.2">
      <c r="A99" s="347">
        <f t="shared" ca="1" si="35"/>
        <v>0.01</v>
      </c>
      <c r="B99" s="304">
        <f t="shared" ca="1" si="36"/>
        <v>0.95000000000000062</v>
      </c>
      <c r="D99" s="306">
        <f t="shared" ca="1" si="37"/>
        <v>-3.8293708535716862</v>
      </c>
      <c r="E99" s="307">
        <f t="shared" ca="1" si="38"/>
        <v>-23.622978758584694</v>
      </c>
      <c r="F99" s="304">
        <f t="shared" ca="1" si="39"/>
        <v>23.931343601284237</v>
      </c>
      <c r="G99" s="306">
        <f t="shared" ca="1" si="40"/>
        <v>34.578071083461893</v>
      </c>
      <c r="H99" s="307">
        <f t="shared" ca="1" si="41"/>
        <v>124.62895821720159</v>
      </c>
      <c r="I99" s="304">
        <f t="shared" ca="1" si="42"/>
        <v>129.33684790560625</v>
      </c>
      <c r="J99" s="306">
        <f t="shared" ca="1" si="43"/>
        <v>166.83689348345217</v>
      </c>
      <c r="K99" s="307">
        <f t="shared" ca="1" si="44"/>
        <v>700.09743859080641</v>
      </c>
      <c r="L99" s="304">
        <f t="shared" ca="1" si="29"/>
        <v>719.702002601505</v>
      </c>
      <c r="M99" s="306">
        <f t="shared" ca="1" si="45"/>
        <v>1.3001555388723607</v>
      </c>
      <c r="N99" s="304">
        <f t="shared" ca="1" si="46"/>
        <v>74.493425087943507</v>
      </c>
      <c r="P99" s="310">
        <f t="shared" ca="1" si="47"/>
        <v>3</v>
      </c>
      <c r="Q99" s="304">
        <f t="shared" ca="1" si="48"/>
        <v>0</v>
      </c>
      <c r="R99" s="306">
        <f t="shared" ca="1" si="49"/>
        <v>0</v>
      </c>
      <c r="S99" s="307">
        <f t="shared" ca="1" si="50"/>
        <v>4.341000000000002</v>
      </c>
      <c r="T99" s="304">
        <f t="shared" ca="1" si="30"/>
        <v>42.585210000000025</v>
      </c>
      <c r="U99" s="311">
        <f t="shared" ca="1" si="31"/>
        <v>0</v>
      </c>
      <c r="V99" s="306">
        <f t="shared" ca="1" si="32"/>
        <v>1.1421386159105811</v>
      </c>
      <c r="W99" s="304">
        <f t="shared" ca="1" si="33"/>
        <v>61.987736641185457</v>
      </c>
      <c r="Y99" s="314" t="str">
        <f t="shared" ca="1" si="51"/>
        <v/>
      </c>
      <c r="Z99" s="315" t="str">
        <f t="shared" ca="1" si="52"/>
        <v/>
      </c>
      <c r="AA99" s="316" t="str">
        <f t="shared" ca="1" si="53"/>
        <v/>
      </c>
      <c r="AC99" s="310" t="e">
        <f t="shared" ca="1" si="54"/>
        <v>#N/A</v>
      </c>
      <c r="AD99" s="323" t="e">
        <f t="shared" ca="1" si="55"/>
        <v>#N/A</v>
      </c>
      <c r="AE99" s="324">
        <f t="shared" ca="1" si="34"/>
        <v>700.09743859080641</v>
      </c>
      <c r="AG99" s="306">
        <f t="shared" ca="1" si="56"/>
        <v>-23.787406976359563</v>
      </c>
      <c r="AH99" s="304">
        <f t="shared" ca="1" si="57"/>
        <v>-14.333961884953379</v>
      </c>
    </row>
    <row r="100" spans="1:34" x14ac:dyDescent="0.2">
      <c r="A100" s="347">
        <f t="shared" ca="1" si="35"/>
        <v>0.01</v>
      </c>
      <c r="B100" s="304">
        <f t="shared" ca="1" si="36"/>
        <v>0.96000000000000063</v>
      </c>
      <c r="D100" s="306">
        <f t="shared" ca="1" si="37"/>
        <v>-3.8176357040461482</v>
      </c>
      <c r="E100" s="307">
        <f t="shared" ca="1" si="38"/>
        <v>-23.569817877048255</v>
      </c>
      <c r="F100" s="304">
        <f t="shared" ca="1" si="39"/>
        <v>23.876990118648362</v>
      </c>
      <c r="G100" s="306">
        <f t="shared" ca="1" si="40"/>
        <v>34.53989472642143</v>
      </c>
      <c r="H100" s="307">
        <f t="shared" ca="1" si="41"/>
        <v>124.39326003843111</v>
      </c>
      <c r="I100" s="304">
        <f t="shared" ca="1" si="42"/>
        <v>129.09952544723399</v>
      </c>
      <c r="J100" s="306">
        <f t="shared" ca="1" si="43"/>
        <v>167.1824833125016</v>
      </c>
      <c r="K100" s="307">
        <f t="shared" ca="1" si="44"/>
        <v>701.34254968208461</v>
      </c>
      <c r="L100" s="304">
        <f t="shared" ca="1" si="29"/>
        <v>720.99331114865572</v>
      </c>
      <c r="M100" s="306">
        <f t="shared" ca="1" si="45"/>
        <v>1.299952386052555</v>
      </c>
      <c r="N100" s="304">
        <f t="shared" ca="1" si="46"/>
        <v>74.481785288772471</v>
      </c>
      <c r="P100" s="310">
        <f t="shared" ca="1" si="47"/>
        <v>3</v>
      </c>
      <c r="Q100" s="304">
        <f t="shared" ca="1" si="48"/>
        <v>0</v>
      </c>
      <c r="R100" s="306">
        <f t="shared" ca="1" si="49"/>
        <v>0</v>
      </c>
      <c r="S100" s="307">
        <f t="shared" ca="1" si="50"/>
        <v>4.341000000000002</v>
      </c>
      <c r="T100" s="304">
        <f t="shared" ca="1" si="30"/>
        <v>42.585210000000025</v>
      </c>
      <c r="U100" s="311">
        <f t="shared" ca="1" si="31"/>
        <v>0</v>
      </c>
      <c r="V100" s="306">
        <f t="shared" ca="1" si="32"/>
        <v>1.1419962410603415</v>
      </c>
      <c r="W100" s="304">
        <f t="shared" ca="1" si="33"/>
        <v>61.752761736746599</v>
      </c>
      <c r="Y100" s="314" t="str">
        <f t="shared" ca="1" si="51"/>
        <v/>
      </c>
      <c r="Z100" s="315" t="str">
        <f t="shared" ca="1" si="52"/>
        <v/>
      </c>
      <c r="AA100" s="316" t="str">
        <f t="shared" ca="1" si="53"/>
        <v/>
      </c>
      <c r="AC100" s="310" t="e">
        <f t="shared" ca="1" si="54"/>
        <v>#N/A</v>
      </c>
      <c r="AD100" s="323" t="e">
        <f t="shared" ca="1" si="55"/>
        <v>#N/A</v>
      </c>
      <c r="AE100" s="324">
        <f t="shared" ca="1" si="34"/>
        <v>701.34254968208461</v>
      </c>
      <c r="AG100" s="306">
        <f t="shared" ca="1" si="56"/>
        <v>-23.732512240990818</v>
      </c>
      <c r="AH100" s="304">
        <f t="shared" ca="1" si="57"/>
        <v>-14.279598396955869</v>
      </c>
    </row>
    <row r="101" spans="1:34" x14ac:dyDescent="0.2">
      <c r="A101" s="347">
        <f t="shared" ca="1" si="35"/>
        <v>0.01</v>
      </c>
      <c r="B101" s="304">
        <f t="shared" ca="1" si="36"/>
        <v>0.97000000000000064</v>
      </c>
      <c r="D101" s="306">
        <f t="shared" ca="1" si="37"/>
        <v>-3.8059489871770862</v>
      </c>
      <c r="E101" s="307">
        <f t="shared" ca="1" si="38"/>
        <v>-23.516886074923882</v>
      </c>
      <c r="F101" s="304">
        <f t="shared" ca="1" si="39"/>
        <v>23.822870909148275</v>
      </c>
      <c r="G101" s="306">
        <f t="shared" ca="1" si="40"/>
        <v>34.50183523654966</v>
      </c>
      <c r="H101" s="307">
        <f t="shared" ca="1" si="41"/>
        <v>124.15809117768187</v>
      </c>
      <c r="I101" s="304">
        <f t="shared" ca="1" si="42"/>
        <v>128.86274961980124</v>
      </c>
      <c r="J101" s="306">
        <f t="shared" ca="1" si="43"/>
        <v>167.52769196231645</v>
      </c>
      <c r="K101" s="307">
        <f t="shared" ca="1" si="44"/>
        <v>702.58530643816516</v>
      </c>
      <c r="L101" s="304">
        <f t="shared" ca="1" si="29"/>
        <v>722.28224427645398</v>
      </c>
      <c r="M101" s="306">
        <f t="shared" ca="1" si="45"/>
        <v>1.2997487109328765</v>
      </c>
      <c r="N101" s="304">
        <f t="shared" ca="1" si="46"/>
        <v>74.470115564023061</v>
      </c>
      <c r="P101" s="310">
        <f t="shared" ca="1" si="47"/>
        <v>3</v>
      </c>
      <c r="Q101" s="304">
        <f t="shared" ca="1" si="48"/>
        <v>0</v>
      </c>
      <c r="R101" s="306">
        <f t="shared" ca="1" si="49"/>
        <v>0</v>
      </c>
      <c r="S101" s="307">
        <f t="shared" ca="1" si="50"/>
        <v>4.341000000000002</v>
      </c>
      <c r="T101" s="304">
        <f t="shared" ca="1" si="30"/>
        <v>42.585210000000025</v>
      </c>
      <c r="U101" s="311">
        <f t="shared" ca="1" si="31"/>
        <v>0</v>
      </c>
      <c r="V101" s="306">
        <f t="shared" ca="1" si="32"/>
        <v>1.1418541524986159</v>
      </c>
      <c r="W101" s="304">
        <f t="shared" ca="1" si="33"/>
        <v>61.518798150647356</v>
      </c>
      <c r="Y101" s="314" t="str">
        <f t="shared" ca="1" si="51"/>
        <v/>
      </c>
      <c r="Z101" s="315" t="str">
        <f t="shared" ca="1" si="52"/>
        <v/>
      </c>
      <c r="AA101" s="316" t="str">
        <f t="shared" ca="1" si="53"/>
        <v/>
      </c>
      <c r="AC101" s="310" t="e">
        <f t="shared" ca="1" si="54"/>
        <v>#N/A</v>
      </c>
      <c r="AD101" s="323" t="e">
        <f t="shared" ca="1" si="55"/>
        <v>#N/A</v>
      </c>
      <c r="AE101" s="324">
        <f t="shared" ca="1" si="34"/>
        <v>702.58530643816516</v>
      </c>
      <c r="AG101" s="306">
        <f t="shared" ca="1" si="56"/>
        <v>-23.677850027518332</v>
      </c>
      <c r="AH101" s="304">
        <f t="shared" ca="1" si="57"/>
        <v>-14.225469186073846</v>
      </c>
    </row>
    <row r="102" spans="1:34" x14ac:dyDescent="0.2">
      <c r="A102" s="347">
        <f t="shared" ca="1" si="35"/>
        <v>0.01</v>
      </c>
      <c r="B102" s="304">
        <f t="shared" ca="1" si="36"/>
        <v>0.98000000000000065</v>
      </c>
      <c r="D102" s="306">
        <f t="shared" ca="1" si="37"/>
        <v>-3.7943104287711766</v>
      </c>
      <c r="E102" s="307">
        <f t="shared" ca="1" si="38"/>
        <v>-23.464182072979856</v>
      </c>
      <c r="F102" s="304">
        <f t="shared" ca="1" si="39"/>
        <v>23.768984664554583</v>
      </c>
      <c r="G102" s="306">
        <f t="shared" ca="1" si="40"/>
        <v>34.463892132261947</v>
      </c>
      <c r="H102" s="307">
        <f t="shared" ca="1" si="41"/>
        <v>123.92344935695208</v>
      </c>
      <c r="I102" s="304">
        <f t="shared" ca="1" si="42"/>
        <v>128.62651811127148</v>
      </c>
      <c r="J102" s="306">
        <f t="shared" ca="1" si="43"/>
        <v>167.87252059916051</v>
      </c>
      <c r="K102" s="307">
        <f t="shared" ca="1" si="44"/>
        <v>703.82571414083839</v>
      </c>
      <c r="L102" s="304">
        <f t="shared" ca="1" si="29"/>
        <v>723.56880741099997</v>
      </c>
      <c r="M102" s="306">
        <f t="shared" ca="1" si="45"/>
        <v>1.2995445120791631</v>
      </c>
      <c r="N102" s="304">
        <f t="shared" ca="1" si="46"/>
        <v>74.45841583152388</v>
      </c>
      <c r="P102" s="310">
        <f t="shared" ca="1" si="47"/>
        <v>3</v>
      </c>
      <c r="Q102" s="304">
        <f t="shared" ca="1" si="48"/>
        <v>0</v>
      </c>
      <c r="R102" s="306">
        <f t="shared" ca="1" si="49"/>
        <v>0</v>
      </c>
      <c r="S102" s="307">
        <f t="shared" ca="1" si="50"/>
        <v>4.341000000000002</v>
      </c>
      <c r="T102" s="304">
        <f t="shared" ca="1" si="30"/>
        <v>42.585210000000025</v>
      </c>
      <c r="U102" s="311">
        <f t="shared" ca="1" si="31"/>
        <v>0</v>
      </c>
      <c r="V102" s="306">
        <f t="shared" ca="1" si="32"/>
        <v>1.1417123495216008</v>
      </c>
      <c r="W102" s="304">
        <f t="shared" ca="1" si="33"/>
        <v>61.285840244464765</v>
      </c>
      <c r="Y102" s="314" t="str">
        <f t="shared" ca="1" si="51"/>
        <v/>
      </c>
      <c r="Z102" s="315" t="str">
        <f t="shared" ca="1" si="52"/>
        <v/>
      </c>
      <c r="AA102" s="316" t="str">
        <f t="shared" ca="1" si="53"/>
        <v/>
      </c>
      <c r="AC102" s="310" t="e">
        <f t="shared" ca="1" si="54"/>
        <v>#N/A</v>
      </c>
      <c r="AD102" s="323" t="e">
        <f t="shared" ca="1" si="55"/>
        <v>#N/A</v>
      </c>
      <c r="AE102" s="324">
        <f t="shared" ca="1" si="34"/>
        <v>703.82571414083839</v>
      </c>
      <c r="AG102" s="306">
        <f t="shared" ca="1" si="56"/>
        <v>-23.623419021075847</v>
      </c>
      <c r="AH102" s="304">
        <f t="shared" ca="1" si="57"/>
        <v>-14.171572944171235</v>
      </c>
    </row>
    <row r="103" spans="1:34" x14ac:dyDescent="0.2">
      <c r="A103" s="347">
        <f t="shared" ca="1" si="35"/>
        <v>0.01</v>
      </c>
      <c r="B103" s="304">
        <f t="shared" ca="1" si="36"/>
        <v>0.99000000000000066</v>
      </c>
      <c r="D103" s="306">
        <f t="shared" ca="1" si="37"/>
        <v>-3.7827197565719746</v>
      </c>
      <c r="E103" s="307">
        <f t="shared" ca="1" si="38"/>
        <v>-23.411704601038714</v>
      </c>
      <c r="F103" s="304">
        <f t="shared" ca="1" si="39"/>
        <v>23.715330085897122</v>
      </c>
      <c r="G103" s="306">
        <f t="shared" ca="1" si="40"/>
        <v>34.426064934696228</v>
      </c>
      <c r="H103" s="307">
        <f t="shared" ca="1" si="41"/>
        <v>123.68933231094169</v>
      </c>
      <c r="I103" s="304">
        <f t="shared" ca="1" si="42"/>
        <v>128.3908286226648</v>
      </c>
      <c r="J103" s="306">
        <f t="shared" ca="1" si="43"/>
        <v>168.21697038449531</v>
      </c>
      <c r="K103" s="307">
        <f t="shared" ca="1" si="44"/>
        <v>705.06377804917781</v>
      </c>
      <c r="L103" s="304">
        <f t="shared" ca="1" si="29"/>
        <v>724.85300595522017</v>
      </c>
      <c r="M103" s="306">
        <f t="shared" ca="1" si="45"/>
        <v>1.299339788051348</v>
      </c>
      <c r="N103" s="304">
        <f t="shared" ca="1" si="46"/>
        <v>74.446686008765155</v>
      </c>
      <c r="P103" s="310">
        <f t="shared" ca="1" si="47"/>
        <v>3</v>
      </c>
      <c r="Q103" s="304">
        <f t="shared" ca="1" si="48"/>
        <v>0</v>
      </c>
      <c r="R103" s="306">
        <f t="shared" ca="1" si="49"/>
        <v>0</v>
      </c>
      <c r="S103" s="307">
        <f t="shared" ca="1" si="50"/>
        <v>4.341000000000002</v>
      </c>
      <c r="T103" s="304">
        <f t="shared" ca="1" si="30"/>
        <v>42.585210000000025</v>
      </c>
      <c r="U103" s="311">
        <f t="shared" ca="1" si="31"/>
        <v>0</v>
      </c>
      <c r="V103" s="306">
        <f t="shared" ca="1" si="32"/>
        <v>1.1415708314285984</v>
      </c>
      <c r="W103" s="304">
        <f t="shared" ca="1" si="33"/>
        <v>61.053882419630554</v>
      </c>
      <c r="Y103" s="314" t="str">
        <f t="shared" ca="1" si="51"/>
        <v/>
      </c>
      <c r="Z103" s="315" t="str">
        <f t="shared" ca="1" si="52"/>
        <v/>
      </c>
      <c r="AA103" s="316" t="str">
        <f t="shared" ca="1" si="53"/>
        <v/>
      </c>
      <c r="AC103" s="310" t="e">
        <f t="shared" ca="1" si="54"/>
        <v>#N/A</v>
      </c>
      <c r="AD103" s="323" t="e">
        <f t="shared" ca="1" si="55"/>
        <v>#N/A</v>
      </c>
      <c r="AE103" s="324">
        <f t="shared" ca="1" si="34"/>
        <v>705.06377804917781</v>
      </c>
      <c r="AG103" s="306">
        <f t="shared" ca="1" si="56"/>
        <v>-23.569217916022836</v>
      </c>
      <c r="AH103" s="304">
        <f t="shared" ca="1" si="57"/>
        <v>-14.117908372371513</v>
      </c>
    </row>
    <row r="104" spans="1:34" x14ac:dyDescent="0.2">
      <c r="A104" s="347">
        <f t="shared" ca="1" si="35"/>
        <v>0.01</v>
      </c>
      <c r="B104" s="304">
        <f t="shared" ca="1" si="36"/>
        <v>1.0000000000000007</v>
      </c>
      <c r="D104" s="306">
        <f t="shared" ca="1" si="37"/>
        <v>-3.7711767002434775</v>
      </c>
      <c r="E104" s="307">
        <f t="shared" ca="1" si="38"/>
        <v>-23.359452397900441</v>
      </c>
      <c r="F104" s="304">
        <f t="shared" ca="1" si="39"/>
        <v>23.661905883386403</v>
      </c>
      <c r="G104" s="306">
        <f t="shared" ca="1" si="40"/>
        <v>34.388353167693793</v>
      </c>
      <c r="H104" s="307">
        <f t="shared" ca="1" si="41"/>
        <v>123.45573778696269</v>
      </c>
      <c r="I104" s="304">
        <f t="shared" ca="1" si="42"/>
        <v>128.15567886796637</v>
      </c>
      <c r="J104" s="306">
        <f t="shared" ca="1" si="43"/>
        <v>168.56104247500727</v>
      </c>
      <c r="K104" s="307">
        <f t="shared" ca="1" si="44"/>
        <v>706.29950339966729</v>
      </c>
      <c r="L104" s="304">
        <f t="shared" ca="1" si="29"/>
        <v>726.13484528899858</v>
      </c>
      <c r="M104" s="306">
        <f t="shared" ca="1" si="45"/>
        <v>1.2991345374034311</v>
      </c>
      <c r="N104" s="304">
        <f t="shared" ca="1" si="46"/>
        <v>74.434926012897193</v>
      </c>
      <c r="P104" s="310">
        <f t="shared" ca="1" si="47"/>
        <v>3</v>
      </c>
      <c r="Q104" s="304">
        <f t="shared" ca="1" si="48"/>
        <v>0</v>
      </c>
      <c r="R104" s="306">
        <f t="shared" ca="1" si="49"/>
        <v>0</v>
      </c>
      <c r="S104" s="307">
        <f t="shared" ca="1" si="50"/>
        <v>4.341000000000002</v>
      </c>
      <c r="T104" s="304">
        <f t="shared" ca="1" si="30"/>
        <v>42.585210000000025</v>
      </c>
      <c r="U104" s="311">
        <f t="shared" ca="1" si="31"/>
        <v>0</v>
      </c>
      <c r="V104" s="306">
        <f t="shared" ca="1" si="32"/>
        <v>1.141429597521997</v>
      </c>
      <c r="W104" s="304">
        <f t="shared" ca="1" si="33"/>
        <v>60.822919117093463</v>
      </c>
      <c r="Y104" s="314" t="str">
        <f t="shared" ca="1" si="51"/>
        <v/>
      </c>
      <c r="Z104" s="315" t="str">
        <f t="shared" ca="1" si="52"/>
        <v/>
      </c>
      <c r="AA104" s="316" t="str">
        <f t="shared" ca="1" si="53"/>
        <v/>
      </c>
      <c r="AC104" s="310">
        <f t="shared" ca="1" si="54"/>
        <v>1.0000000000000007</v>
      </c>
      <c r="AD104" s="323">
        <f t="shared" ca="1" si="55"/>
        <v>168.56104247500727</v>
      </c>
      <c r="AE104" s="324">
        <f t="shared" ca="1" si="34"/>
        <v>706.29950339966729</v>
      </c>
      <c r="AG104" s="306">
        <f t="shared" ca="1" si="56"/>
        <v>-23.515245415865778</v>
      </c>
      <c r="AH104" s="304">
        <f t="shared" ca="1" si="57"/>
        <v>-14.064474180979158</v>
      </c>
    </row>
    <row r="105" spans="1:34" x14ac:dyDescent="0.2">
      <c r="A105" s="347">
        <f t="shared" ca="1" si="35"/>
        <v>0.1</v>
      </c>
      <c r="B105" s="304">
        <f t="shared" ca="1" si="36"/>
        <v>1.1000000000000008</v>
      </c>
      <c r="D105" s="306">
        <f t="shared" ca="1" si="37"/>
        <v>-3.759680991353858</v>
      </c>
      <c r="E105" s="307">
        <f t="shared" ca="1" si="38"/>
        <v>-23.307424211266394</v>
      </c>
      <c r="F105" s="304">
        <f t="shared" ca="1" si="39"/>
        <v>23.608710776335805</v>
      </c>
      <c r="G105" s="306">
        <f t="shared" ca="1" si="40"/>
        <v>34.012385068558409</v>
      </c>
      <c r="H105" s="307">
        <f t="shared" ca="1" si="41"/>
        <v>121.12499536583604</v>
      </c>
      <c r="I105" s="304">
        <f t="shared" ca="1" si="42"/>
        <v>125.80980423013818</v>
      </c>
      <c r="J105" s="306">
        <f t="shared" ca="1" si="43"/>
        <v>171.98107938681989</v>
      </c>
      <c r="K105" s="307">
        <f t="shared" ca="1" si="44"/>
        <v>718.52854005730728</v>
      </c>
      <c r="L105" s="304">
        <f t="shared" ca="1" si="29"/>
        <v>738.82389954842495</v>
      </c>
      <c r="M105" s="306">
        <f t="shared" ca="1" si="45"/>
        <v>1.2970422161793627</v>
      </c>
      <c r="N105" s="304">
        <f t="shared" ca="1" si="46"/>
        <v>74.315044837372426</v>
      </c>
      <c r="P105" s="310">
        <f t="shared" ca="1" si="47"/>
        <v>23</v>
      </c>
      <c r="Q105" s="304">
        <f t="shared" ca="1" si="48"/>
        <v>0</v>
      </c>
      <c r="R105" s="306">
        <f t="shared" ca="1" si="49"/>
        <v>0</v>
      </c>
      <c r="S105" s="307">
        <f t="shared" ca="1" si="50"/>
        <v>4.341000000000002</v>
      </c>
      <c r="T105" s="304">
        <f t="shared" ca="1" si="30"/>
        <v>42.585210000000025</v>
      </c>
      <c r="U105" s="311">
        <f t="shared" ca="1" si="31"/>
        <v>0</v>
      </c>
      <c r="V105" s="306">
        <f t="shared" ca="1" si="32"/>
        <v>1.140032820997068</v>
      </c>
      <c r="W105" s="304">
        <f t="shared" ca="1" si="33"/>
        <v>58.544856619424984</v>
      </c>
      <c r="Y105" s="314" t="str">
        <f t="shared" ca="1" si="51"/>
        <v/>
      </c>
      <c r="Z105" s="315" t="str">
        <f t="shared" ca="1" si="52"/>
        <v/>
      </c>
      <c r="AA105" s="316" t="str">
        <f t="shared" ca="1" si="53"/>
        <v/>
      </c>
      <c r="AC105" s="310" t="e">
        <f t="shared" ca="1" si="54"/>
        <v>#N/A</v>
      </c>
      <c r="AD105" s="323" t="e">
        <f t="shared" ca="1" si="55"/>
        <v>#N/A</v>
      </c>
      <c r="AE105" s="324">
        <f t="shared" ca="1" si="34"/>
        <v>718.52854005730728</v>
      </c>
      <c r="AG105" s="306">
        <f t="shared" ca="1" si="56"/>
        <v>-23.461500233180132</v>
      </c>
      <c r="AH105" s="304">
        <f t="shared" ca="1" si="57"/>
        <v>-14.011269089401852</v>
      </c>
    </row>
    <row r="106" spans="1:34" x14ac:dyDescent="0.2">
      <c r="A106" s="347">
        <f t="shared" ca="1" si="35"/>
        <v>0.1</v>
      </c>
      <c r="B106" s="304">
        <f t="shared" ca="1" si="36"/>
        <v>1.2000000000000008</v>
      </c>
      <c r="D106" s="306">
        <f t="shared" ca="1" si="37"/>
        <v>-3.6460411139162279</v>
      </c>
      <c r="E106" s="307">
        <f t="shared" ca="1" si="38"/>
        <v>-22.794291226168593</v>
      </c>
      <c r="F106" s="304">
        <f t="shared" ca="1" si="39"/>
        <v>23.084049218188607</v>
      </c>
      <c r="G106" s="306">
        <f t="shared" ca="1" si="40"/>
        <v>33.647780957166788</v>
      </c>
      <c r="H106" s="307">
        <f t="shared" ca="1" si="41"/>
        <v>118.84556624321918</v>
      </c>
      <c r="I106" s="304">
        <f t="shared" ca="1" si="42"/>
        <v>123.51696959937479</v>
      </c>
      <c r="J106" s="306">
        <f t="shared" ca="1" si="43"/>
        <v>175.36408768810614</v>
      </c>
      <c r="K106" s="307">
        <f t="shared" ca="1" si="44"/>
        <v>730.52706813776001</v>
      </c>
      <c r="L106" s="304">
        <f t="shared" ca="1" si="29"/>
        <v>751.28048060137507</v>
      </c>
      <c r="M106" s="306">
        <f t="shared" ca="1" si="45"/>
        <v>1.294895051701084</v>
      </c>
      <c r="N106" s="304">
        <f t="shared" ca="1" si="46"/>
        <v>74.192021374846647</v>
      </c>
      <c r="P106" s="310">
        <f t="shared" ca="1" si="47"/>
        <v>23</v>
      </c>
      <c r="Q106" s="304">
        <f t="shared" ca="1" si="48"/>
        <v>0</v>
      </c>
      <c r="R106" s="306">
        <f t="shared" ca="1" si="49"/>
        <v>0</v>
      </c>
      <c r="S106" s="307">
        <f t="shared" ca="1" si="50"/>
        <v>4.341000000000002</v>
      </c>
      <c r="T106" s="304">
        <f t="shared" ca="1" si="30"/>
        <v>42.585210000000025</v>
      </c>
      <c r="U106" s="311">
        <f t="shared" ca="1" si="31"/>
        <v>0</v>
      </c>
      <c r="V106" s="306">
        <f t="shared" ca="1" si="32"/>
        <v>1.1386639743381939</v>
      </c>
      <c r="W106" s="304">
        <f t="shared" ca="1" si="33"/>
        <v>56.362630702152053</v>
      </c>
      <c r="Y106" s="314" t="str">
        <f t="shared" ca="1" si="51"/>
        <v/>
      </c>
      <c r="Z106" s="315" t="str">
        <f t="shared" ca="1" si="52"/>
        <v/>
      </c>
      <c r="AA106" s="316" t="str">
        <f t="shared" ca="1" si="53"/>
        <v/>
      </c>
      <c r="AC106" s="310" t="e">
        <f t="shared" ca="1" si="54"/>
        <v>#N/A</v>
      </c>
      <c r="AD106" s="323" t="e">
        <f t="shared" ca="1" si="55"/>
        <v>#N/A</v>
      </c>
      <c r="AE106" s="324">
        <f t="shared" ca="1" si="34"/>
        <v>730.52706813776001</v>
      </c>
      <c r="AG106" s="306">
        <f t="shared" ca="1" si="56"/>
        <v>-22.931193567411952</v>
      </c>
      <c r="AH106" s="304">
        <f t="shared" ca="1" si="57"/>
        <v>-13.48649081304422</v>
      </c>
    </row>
    <row r="107" spans="1:34" x14ac:dyDescent="0.2">
      <c r="A107" s="347">
        <f t="shared" ca="1" si="35"/>
        <v>0.1</v>
      </c>
      <c r="B107" s="304">
        <f t="shared" ca="1" si="36"/>
        <v>1.3000000000000009</v>
      </c>
      <c r="D107" s="306">
        <f t="shared" ca="1" si="37"/>
        <v>-3.5369691326469055</v>
      </c>
      <c r="E107" s="307">
        <f t="shared" ca="1" si="38"/>
        <v>-22.3027435746599</v>
      </c>
      <c r="F107" s="304">
        <f t="shared" ca="1" si="39"/>
        <v>22.581464115560145</v>
      </c>
      <c r="G107" s="306">
        <f t="shared" ca="1" si="40"/>
        <v>33.294084043902096</v>
      </c>
      <c r="H107" s="307">
        <f t="shared" ca="1" si="41"/>
        <v>116.61529188575319</v>
      </c>
      <c r="I107" s="304">
        <f t="shared" ca="1" si="42"/>
        <v>121.27498643134054</v>
      </c>
      <c r="J107" s="306">
        <f t="shared" ca="1" si="43"/>
        <v>178.71118093815957</v>
      </c>
      <c r="K107" s="307">
        <f t="shared" ca="1" si="44"/>
        <v>742.30011104420862</v>
      </c>
      <c r="L107" s="304">
        <f t="shared" ca="1" si="29"/>
        <v>763.50975177043813</v>
      </c>
      <c r="M107" s="306">
        <f t="shared" ca="1" si="45"/>
        <v>1.2926914762560868</v>
      </c>
      <c r="N107" s="304">
        <f t="shared" ca="1" si="46"/>
        <v>74.065765802009651</v>
      </c>
      <c r="P107" s="310">
        <f t="shared" ca="1" si="47"/>
        <v>23</v>
      </c>
      <c r="Q107" s="304">
        <f t="shared" ca="1" si="48"/>
        <v>0</v>
      </c>
      <c r="R107" s="306">
        <f t="shared" ca="1" si="49"/>
        <v>0</v>
      </c>
      <c r="S107" s="307">
        <f t="shared" ca="1" si="50"/>
        <v>4.341000000000002</v>
      </c>
      <c r="T107" s="304">
        <f t="shared" ca="1" si="30"/>
        <v>42.585210000000025</v>
      </c>
      <c r="U107" s="311">
        <f t="shared" ca="1" si="31"/>
        <v>0</v>
      </c>
      <c r="V107" s="306">
        <f t="shared" ca="1" si="32"/>
        <v>1.1373223913296877</v>
      </c>
      <c r="W107" s="304">
        <f t="shared" ca="1" si="33"/>
        <v>54.271081715030199</v>
      </c>
      <c r="Y107" s="314" t="str">
        <f t="shared" ca="1" si="51"/>
        <v/>
      </c>
      <c r="Z107" s="315" t="str">
        <f t="shared" ca="1" si="52"/>
        <v/>
      </c>
      <c r="AA107" s="316" t="str">
        <f t="shared" ca="1" si="53"/>
        <v/>
      </c>
      <c r="AC107" s="310" t="e">
        <f t="shared" ca="1" si="54"/>
        <v>#N/A</v>
      </c>
      <c r="AD107" s="323" t="e">
        <f t="shared" ca="1" si="55"/>
        <v>#N/A</v>
      </c>
      <c r="AE107" s="324">
        <f t="shared" ca="1" si="34"/>
        <v>742.30011104420862</v>
      </c>
      <c r="AG107" s="306">
        <f t="shared" ca="1" si="56"/>
        <v>-22.422776081039448</v>
      </c>
      <c r="AH107" s="304">
        <f t="shared" ca="1" si="57"/>
        <v>-12.983789611184527</v>
      </c>
    </row>
    <row r="108" spans="1:34" x14ac:dyDescent="0.2">
      <c r="A108" s="347">
        <f t="shared" ca="1" si="35"/>
        <v>0.1</v>
      </c>
      <c r="B108" s="304">
        <f t="shared" ca="1" si="36"/>
        <v>1.400000000000001</v>
      </c>
      <c r="D108" s="306">
        <f t="shared" ca="1" si="37"/>
        <v>-3.4322153463922875</v>
      </c>
      <c r="E108" s="307">
        <f t="shared" ca="1" si="38"/>
        <v>-21.831619033174903</v>
      </c>
      <c r="F108" s="304">
        <f t="shared" ca="1" si="39"/>
        <v>22.09976678143223</v>
      </c>
      <c r="G108" s="306">
        <f t="shared" ca="1" si="40"/>
        <v>32.950862509262869</v>
      </c>
      <c r="H108" s="307">
        <f t="shared" ca="1" si="41"/>
        <v>114.4321299824357</v>
      </c>
      <c r="I108" s="304">
        <f t="shared" ca="1" si="42"/>
        <v>119.08178581303441</v>
      </c>
      <c r="J108" s="306">
        <f t="shared" ca="1" si="43"/>
        <v>182.02342826581781</v>
      </c>
      <c r="K108" s="307">
        <f t="shared" ca="1" si="44"/>
        <v>753.85248213761804</v>
      </c>
      <c r="L108" s="304">
        <f t="shared" ca="1" si="29"/>
        <v>775.51666214381817</v>
      </c>
      <c r="M108" s="306">
        <f t="shared" ca="1" si="45"/>
        <v>1.2904298550094135</v>
      </c>
      <c r="N108" s="304">
        <f t="shared" ca="1" si="46"/>
        <v>73.936184449718155</v>
      </c>
      <c r="P108" s="310">
        <f t="shared" ca="1" si="47"/>
        <v>23</v>
      </c>
      <c r="Q108" s="304">
        <f t="shared" ca="1" si="48"/>
        <v>0</v>
      </c>
      <c r="R108" s="306">
        <f t="shared" ca="1" si="49"/>
        <v>0</v>
      </c>
      <c r="S108" s="307">
        <f t="shared" ca="1" si="50"/>
        <v>4.341000000000002</v>
      </c>
      <c r="T108" s="304">
        <f t="shared" ca="1" si="30"/>
        <v>42.585210000000025</v>
      </c>
      <c r="U108" s="311">
        <f t="shared" ca="1" si="31"/>
        <v>0</v>
      </c>
      <c r="V108" s="306">
        <f t="shared" ca="1" si="32"/>
        <v>1.1360074342666364</v>
      </c>
      <c r="W108" s="304">
        <f t="shared" ca="1" si="33"/>
        <v>52.265399015078955</v>
      </c>
      <c r="Y108" s="314" t="str">
        <f t="shared" ca="1" si="51"/>
        <v/>
      </c>
      <c r="Z108" s="315" t="str">
        <f t="shared" ca="1" si="52"/>
        <v/>
      </c>
      <c r="AA108" s="316" t="str">
        <f t="shared" ca="1" si="53"/>
        <v/>
      </c>
      <c r="AC108" s="310" t="e">
        <f t="shared" ca="1" si="54"/>
        <v>#N/A</v>
      </c>
      <c r="AD108" s="323" t="e">
        <f t="shared" ca="1" si="55"/>
        <v>#N/A</v>
      </c>
      <c r="AE108" s="324">
        <f t="shared" ca="1" si="34"/>
        <v>753.85248213761804</v>
      </c>
      <c r="AG108" s="306">
        <f t="shared" ca="1" si="56"/>
        <v>-21.935051657151583</v>
      </c>
      <c r="AH108" s="304">
        <f t="shared" ca="1" si="57"/>
        <v>-12.501976898187094</v>
      </c>
    </row>
    <row r="109" spans="1:34" x14ac:dyDescent="0.2">
      <c r="A109" s="347">
        <f t="shared" ca="1" si="35"/>
        <v>0.1</v>
      </c>
      <c r="B109" s="304">
        <f t="shared" ca="1" si="36"/>
        <v>1.5000000000000011</v>
      </c>
      <c r="D109" s="306">
        <f t="shared" ca="1" si="37"/>
        <v>-3.3315469085297211</v>
      </c>
      <c r="E109" s="307">
        <f t="shared" ca="1" si="38"/>
        <v>-21.379833984536369</v>
      </c>
      <c r="F109" s="304">
        <f t="shared" ca="1" si="39"/>
        <v>21.637848922895966</v>
      </c>
      <c r="G109" s="306">
        <f t="shared" ca="1" si="40"/>
        <v>32.617707818409897</v>
      </c>
      <c r="H109" s="307">
        <f t="shared" ca="1" si="41"/>
        <v>112.29414658398206</v>
      </c>
      <c r="I109" s="304">
        <f t="shared" ca="1" si="42"/>
        <v>116.93541046386251</v>
      </c>
      <c r="J109" s="306">
        <f t="shared" ca="1" si="43"/>
        <v>185.30185678220144</v>
      </c>
      <c r="K109" s="307">
        <f t="shared" ca="1" si="44"/>
        <v>765.18879596593888</v>
      </c>
      <c r="L109" s="304">
        <f t="shared" ca="1" si="29"/>
        <v>787.30595806124495</v>
      </c>
      <c r="M109" s="306">
        <f t="shared" ca="1" si="45"/>
        <v>1.2881084826923588</v>
      </c>
      <c r="N109" s="304">
        <f t="shared" ca="1" si="46"/>
        <v>73.803179613272405</v>
      </c>
      <c r="P109" s="310">
        <f t="shared" ca="1" si="47"/>
        <v>23</v>
      </c>
      <c r="Q109" s="304">
        <f t="shared" ca="1" si="48"/>
        <v>0</v>
      </c>
      <c r="R109" s="306">
        <f t="shared" ca="1" si="49"/>
        <v>0</v>
      </c>
      <c r="S109" s="307">
        <f t="shared" ca="1" si="50"/>
        <v>4.341000000000002</v>
      </c>
      <c r="T109" s="304">
        <f t="shared" ca="1" si="30"/>
        <v>42.585210000000025</v>
      </c>
      <c r="U109" s="311">
        <f t="shared" ca="1" si="31"/>
        <v>0</v>
      </c>
      <c r="V109" s="306">
        <f t="shared" ca="1" si="32"/>
        <v>1.1347184923991276</v>
      </c>
      <c r="W109" s="304">
        <f t="shared" ca="1" si="33"/>
        <v>50.341092971597504</v>
      </c>
      <c r="Y109" s="314" t="str">
        <f t="shared" ca="1" si="51"/>
        <v/>
      </c>
      <c r="Z109" s="315" t="str">
        <f t="shared" ca="1" si="52"/>
        <v/>
      </c>
      <c r="AA109" s="316" t="str">
        <f t="shared" ca="1" si="53"/>
        <v/>
      </c>
      <c r="AC109" s="310" t="e">
        <f t="shared" ca="1" si="54"/>
        <v>#N/A</v>
      </c>
      <c r="AD109" s="323" t="e">
        <f t="shared" ca="1" si="55"/>
        <v>#N/A</v>
      </c>
      <c r="AE109" s="324">
        <f t="shared" ca="1" si="34"/>
        <v>765.18879596593888</v>
      </c>
      <c r="AG109" s="306">
        <f t="shared" ca="1" si="56"/>
        <v>-21.466904180132609</v>
      </c>
      <c r="AH109" s="304">
        <f t="shared" ca="1" si="57"/>
        <v>-12.039944486311663</v>
      </c>
    </row>
    <row r="110" spans="1:34" x14ac:dyDescent="0.2">
      <c r="A110" s="347">
        <f t="shared" ca="1" si="35"/>
        <v>0.1</v>
      </c>
      <c r="B110" s="304">
        <f t="shared" ca="1" si="36"/>
        <v>1.6000000000000012</v>
      </c>
      <c r="D110" s="306">
        <f t="shared" ca="1" si="37"/>
        <v>-3.2347464747740835</v>
      </c>
      <c r="E110" s="307">
        <f t="shared" ca="1" si="38"/>
        <v>-20.946377112167291</v>
      </c>
      <c r="F110" s="304">
        <f t="shared" ca="1" si="39"/>
        <v>21.194676191940019</v>
      </c>
      <c r="G110" s="306">
        <f t="shared" ca="1" si="40"/>
        <v>32.294233170932486</v>
      </c>
      <c r="H110" s="307">
        <f t="shared" ca="1" si="41"/>
        <v>110.19950887276532</v>
      </c>
      <c r="I110" s="304">
        <f t="shared" ca="1" si="42"/>
        <v>114.83400738412485</v>
      </c>
      <c r="J110" s="306">
        <f t="shared" ca="1" si="43"/>
        <v>188.54745383166855</v>
      </c>
      <c r="K110" s="307">
        <f t="shared" ca="1" si="44"/>
        <v>776.31347873877621</v>
      </c>
      <c r="L110" s="304">
        <f t="shared" ca="1" si="29"/>
        <v>798.88219382954424</v>
      </c>
      <c r="M110" s="306">
        <f t="shared" ca="1" si="45"/>
        <v>1.2857255800914371</v>
      </c>
      <c r="N110" s="304">
        <f t="shared" ca="1" si="46"/>
        <v>73.66664935124885</v>
      </c>
      <c r="P110" s="310">
        <f t="shared" ca="1" si="47"/>
        <v>23</v>
      </c>
      <c r="Q110" s="304">
        <f t="shared" ca="1" si="48"/>
        <v>0</v>
      </c>
      <c r="R110" s="306">
        <f t="shared" ca="1" si="49"/>
        <v>0</v>
      </c>
      <c r="S110" s="307">
        <f t="shared" ca="1" si="50"/>
        <v>4.341000000000002</v>
      </c>
      <c r="T110" s="304">
        <f t="shared" ca="1" si="30"/>
        <v>42.585210000000025</v>
      </c>
      <c r="U110" s="311">
        <f t="shared" ca="1" si="31"/>
        <v>0</v>
      </c>
      <c r="V110" s="306">
        <f t="shared" ca="1" si="32"/>
        <v>1.1334549804826368</v>
      </c>
      <c r="W110" s="304">
        <f t="shared" ca="1" si="33"/>
        <v>48.493969567863836</v>
      </c>
      <c r="Y110" s="314" t="str">
        <f t="shared" ca="1" si="51"/>
        <v/>
      </c>
      <c r="Z110" s="315" t="str">
        <f t="shared" ca="1" si="52"/>
        <v/>
      </c>
      <c r="AA110" s="316" t="str">
        <f t="shared" ca="1" si="53"/>
        <v/>
      </c>
      <c r="AC110" s="310" t="e">
        <f t="shared" ca="1" si="54"/>
        <v>#N/A</v>
      </c>
      <c r="AD110" s="323" t="e">
        <f t="shared" ca="1" si="55"/>
        <v>#N/A</v>
      </c>
      <c r="AE110" s="324">
        <f t="shared" ca="1" si="34"/>
        <v>776.31347873877621</v>
      </c>
      <c r="AG110" s="306">
        <f t="shared" ca="1" si="56"/>
        <v>-21.01729106238016</v>
      </c>
      <c r="AH110" s="304">
        <f t="shared" ca="1" si="57"/>
        <v>-11.596658136742105</v>
      </c>
    </row>
    <row r="111" spans="1:34" x14ac:dyDescent="0.2">
      <c r="A111" s="347">
        <f t="shared" ca="1" si="35"/>
        <v>0.1</v>
      </c>
      <c r="B111" s="304">
        <f t="shared" ca="1" si="36"/>
        <v>1.7000000000000013</v>
      </c>
      <c r="D111" s="306">
        <f t="shared" ca="1" si="37"/>
        <v>-3.1416109764836664</v>
      </c>
      <c r="E111" s="307">
        <f t="shared" ca="1" si="38"/>
        <v>-20.530303679153505</v>
      </c>
      <c r="F111" s="304">
        <f t="shared" ca="1" si="39"/>
        <v>20.769282334395346</v>
      </c>
      <c r="G111" s="306">
        <f t="shared" ca="1" si="40"/>
        <v>31.98007207328412</v>
      </c>
      <c r="H111" s="307">
        <f t="shared" ca="1" si="41"/>
        <v>108.14647850484997</v>
      </c>
      <c r="I111" s="304">
        <f t="shared" ca="1" si="42"/>
        <v>112.77582109128012</v>
      </c>
      <c r="J111" s="306">
        <f t="shared" ca="1" si="43"/>
        <v>191.76116909387937</v>
      </c>
      <c r="K111" s="307">
        <f t="shared" ca="1" si="44"/>
        <v>787.23077810765699</v>
      </c>
      <c r="L111" s="304">
        <f t="shared" ca="1" si="29"/>
        <v>810.2497417292019</v>
      </c>
      <c r="M111" s="306">
        <f t="shared" ca="1" si="45"/>
        <v>1.2832792903242156</v>
      </c>
      <c r="N111" s="304">
        <f t="shared" ca="1" si="46"/>
        <v>73.526487272121017</v>
      </c>
      <c r="P111" s="310">
        <f t="shared" ca="1" si="47"/>
        <v>23</v>
      </c>
      <c r="Q111" s="304">
        <f t="shared" ca="1" si="48"/>
        <v>0</v>
      </c>
      <c r="R111" s="306">
        <f t="shared" ca="1" si="49"/>
        <v>0</v>
      </c>
      <c r="S111" s="307">
        <f t="shared" ca="1" si="50"/>
        <v>4.341000000000002</v>
      </c>
      <c r="T111" s="304">
        <f t="shared" ca="1" si="30"/>
        <v>42.585210000000025</v>
      </c>
      <c r="U111" s="311">
        <f t="shared" ca="1" si="31"/>
        <v>0</v>
      </c>
      <c r="V111" s="306">
        <f t="shared" ca="1" si="32"/>
        <v>1.1322163374260024</v>
      </c>
      <c r="W111" s="304">
        <f t="shared" ca="1" si="33"/>
        <v>46.720107327175</v>
      </c>
      <c r="Y111" s="314" t="str">
        <f t="shared" ca="1" si="51"/>
        <v/>
      </c>
      <c r="Z111" s="315" t="str">
        <f t="shared" ca="1" si="52"/>
        <v/>
      </c>
      <c r="AA111" s="316" t="str">
        <f t="shared" ca="1" si="53"/>
        <v/>
      </c>
      <c r="AC111" s="310" t="e">
        <f t="shared" ca="1" si="54"/>
        <v>#N/A</v>
      </c>
      <c r="AD111" s="323" t="e">
        <f t="shared" ca="1" si="55"/>
        <v>#N/A</v>
      </c>
      <c r="AE111" s="324">
        <f t="shared" ca="1" si="34"/>
        <v>787.23077810765699</v>
      </c>
      <c r="AG111" s="306">
        <f t="shared" ca="1" si="56"/>
        <v>-20.585237367455676</v>
      </c>
      <c r="AH111" s="304">
        <f t="shared" ca="1" si="57"/>
        <v>-11.171151708791481</v>
      </c>
    </row>
    <row r="112" spans="1:34" x14ac:dyDescent="0.2">
      <c r="A112" s="347">
        <f t="shared" ca="1" si="35"/>
        <v>0.1</v>
      </c>
      <c r="B112" s="304">
        <f t="shared" ca="1" si="36"/>
        <v>1.8000000000000014</v>
      </c>
      <c r="D112" s="306">
        <f t="shared" ca="1" si="37"/>
        <v>-3.0519505063084345</v>
      </c>
      <c r="E112" s="307">
        <f t="shared" ca="1" si="38"/>
        <v>-20.13073033081368</v>
      </c>
      <c r="F112" s="304">
        <f t="shared" ca="1" si="39"/>
        <v>20.360763874297501</v>
      </c>
      <c r="G112" s="306">
        <f t="shared" ca="1" si="40"/>
        <v>31.674877022653277</v>
      </c>
      <c r="H112" s="307">
        <f t="shared" ca="1" si="41"/>
        <v>106.1334054717686</v>
      </c>
      <c r="I112" s="304">
        <f t="shared" ca="1" si="42"/>
        <v>110.75918739064065</v>
      </c>
      <c r="J112" s="306">
        <f t="shared" ca="1" si="43"/>
        <v>194.94391654867624</v>
      </c>
      <c r="K112" s="307">
        <f t="shared" ca="1" si="44"/>
        <v>797.94477230648795</v>
      </c>
      <c r="L112" s="304">
        <f t="shared" ca="1" si="29"/>
        <v>821.41280136761327</v>
      </c>
      <c r="M112" s="306">
        <f t="shared" ca="1" si="45"/>
        <v>1.2807676748875958</v>
      </c>
      <c r="N112" s="304">
        <f t="shared" ca="1" si="46"/>
        <v>73.382582307842796</v>
      </c>
      <c r="P112" s="310">
        <f t="shared" ca="1" si="47"/>
        <v>23</v>
      </c>
      <c r="Q112" s="304">
        <f t="shared" ca="1" si="48"/>
        <v>0</v>
      </c>
      <c r="R112" s="306">
        <f t="shared" ca="1" si="49"/>
        <v>0</v>
      </c>
      <c r="S112" s="307">
        <f t="shared" ca="1" si="50"/>
        <v>4.341000000000002</v>
      </c>
      <c r="T112" s="304">
        <f t="shared" ca="1" si="30"/>
        <v>42.585210000000025</v>
      </c>
      <c r="U112" s="311">
        <f t="shared" ca="1" si="31"/>
        <v>0</v>
      </c>
      <c r="V112" s="306">
        <f t="shared" ca="1" si="32"/>
        <v>1.1310020250292219</v>
      </c>
      <c r="W112" s="304">
        <f t="shared" ca="1" si="33"/>
        <v>45.015836322677778</v>
      </c>
      <c r="Y112" s="314" t="str">
        <f t="shared" ca="1" si="51"/>
        <v/>
      </c>
      <c r="Z112" s="315" t="str">
        <f t="shared" ca="1" si="52"/>
        <v/>
      </c>
      <c r="AA112" s="316" t="str">
        <f t="shared" ca="1" si="53"/>
        <v/>
      </c>
      <c r="AC112" s="310" t="e">
        <f t="shared" ca="1" si="54"/>
        <v>#N/A</v>
      </c>
      <c r="AD112" s="323" t="e">
        <f t="shared" ca="1" si="55"/>
        <v>#N/A</v>
      </c>
      <c r="AE112" s="324">
        <f t="shared" ca="1" si="34"/>
        <v>797.94477230648795</v>
      </c>
      <c r="AG112" s="306">
        <f t="shared" ca="1" si="56"/>
        <v>-20.169830466789577</v>
      </c>
      <c r="AH112" s="304">
        <f t="shared" ca="1" si="57"/>
        <v>-10.762521844546182</v>
      </c>
    </row>
    <row r="113" spans="1:34" x14ac:dyDescent="0.2">
      <c r="A113" s="347">
        <f t="shared" ca="1" si="35"/>
        <v>0.1</v>
      </c>
      <c r="B113" s="304">
        <f t="shared" ca="1" si="36"/>
        <v>1.9000000000000015</v>
      </c>
      <c r="D113" s="306">
        <f t="shared" ca="1" si="37"/>
        <v>-2.9655873045603558</v>
      </c>
      <c r="E113" s="307">
        <f t="shared" ca="1" si="38"/>
        <v>-19.746830366594061</v>
      </c>
      <c r="F113" s="304">
        <f t="shared" ca="1" si="39"/>
        <v>19.968275278251021</v>
      </c>
      <c r="G113" s="306">
        <f t="shared" ca="1" si="40"/>
        <v>31.378318292197243</v>
      </c>
      <c r="H113" s="307">
        <f t="shared" ca="1" si="41"/>
        <v>104.1587224351092</v>
      </c>
      <c r="I113" s="304">
        <f t="shared" ca="1" si="42"/>
        <v>108.78252763270653</v>
      </c>
      <c r="J113" s="306">
        <f t="shared" ca="1" si="43"/>
        <v>198.09657631441877</v>
      </c>
      <c r="K113" s="307">
        <f t="shared" ca="1" si="44"/>
        <v>808.45937870183184</v>
      </c>
      <c r="L113" s="304">
        <f t="shared" ca="1" si="29"/>
        <v>832.37540842966177</v>
      </c>
      <c r="M113" s="306">
        <f t="shared" ca="1" si="45"/>
        <v>1.2781887094630349</v>
      </c>
      <c r="N113" s="304">
        <f t="shared" ca="1" si="46"/>
        <v>73.234818473505285</v>
      </c>
      <c r="P113" s="310">
        <f t="shared" ca="1" si="47"/>
        <v>23</v>
      </c>
      <c r="Q113" s="304">
        <f t="shared" ca="1" si="48"/>
        <v>0</v>
      </c>
      <c r="R113" s="306">
        <f t="shared" ca="1" si="49"/>
        <v>0</v>
      </c>
      <c r="S113" s="307">
        <f t="shared" ca="1" si="50"/>
        <v>4.341000000000002</v>
      </c>
      <c r="T113" s="304">
        <f t="shared" ca="1" si="30"/>
        <v>42.585210000000025</v>
      </c>
      <c r="U113" s="311">
        <f t="shared" ca="1" si="31"/>
        <v>0</v>
      </c>
      <c r="V113" s="306">
        <f t="shared" ca="1" si="32"/>
        <v>1.1298115268040061</v>
      </c>
      <c r="W113" s="304">
        <f t="shared" ca="1" si="33"/>
        <v>43.377719058151762</v>
      </c>
      <c r="Y113" s="314" t="str">
        <f t="shared" ca="1" si="51"/>
        <v/>
      </c>
      <c r="Z113" s="315" t="str">
        <f t="shared" ca="1" si="52"/>
        <v/>
      </c>
      <c r="AA113" s="316" t="str">
        <f t="shared" ca="1" si="53"/>
        <v/>
      </c>
      <c r="AC113" s="310" t="e">
        <f t="shared" ca="1" si="54"/>
        <v>#N/A</v>
      </c>
      <c r="AD113" s="323" t="e">
        <f t="shared" ca="1" si="55"/>
        <v>#N/A</v>
      </c>
      <c r="AE113" s="324">
        <f t="shared" ca="1" si="34"/>
        <v>808.45937870183184</v>
      </c>
      <c r="AG113" s="306">
        <f t="shared" ca="1" si="56"/>
        <v>-19.770215174374677</v>
      </c>
      <c r="AH113" s="304">
        <f t="shared" ca="1" si="57"/>
        <v>-10.369923133535535</v>
      </c>
    </row>
    <row r="114" spans="1:34" x14ac:dyDescent="0.2">
      <c r="A114" s="347">
        <f t="shared" ca="1" si="35"/>
        <v>0.1</v>
      </c>
      <c r="B114" s="304">
        <f t="shared" ca="1" si="36"/>
        <v>2.0000000000000013</v>
      </c>
      <c r="D114" s="306">
        <f t="shared" ca="1" si="37"/>
        <v>-2.8823548360248865</v>
      </c>
      <c r="E114" s="307">
        <f t="shared" ca="1" si="38"/>
        <v>-19.377829433346857</v>
      </c>
      <c r="F114" s="304">
        <f t="shared" ca="1" si="39"/>
        <v>19.591024550764054</v>
      </c>
      <c r="G114" s="306">
        <f t="shared" ca="1" si="40"/>
        <v>31.090082808594754</v>
      </c>
      <c r="H114" s="307">
        <f t="shared" ca="1" si="41"/>
        <v>102.22093949177452</v>
      </c>
      <c r="I114" s="304">
        <f t="shared" ca="1" si="42"/>
        <v>106.84434341426928</v>
      </c>
      <c r="J114" s="306">
        <f t="shared" ca="1" si="43"/>
        <v>201.21999636945836</v>
      </c>
      <c r="K114" s="307">
        <f t="shared" ca="1" si="44"/>
        <v>818.77836179817598</v>
      </c>
      <c r="L114" s="304">
        <f t="shared" ca="1" si="29"/>
        <v>843.14144287173406</v>
      </c>
      <c r="M114" s="306">
        <f t="shared" ca="1" si="45"/>
        <v>1.275540279462025</v>
      </c>
      <c r="N114" s="304">
        <f t="shared" ca="1" si="46"/>
        <v>73.083074612111588</v>
      </c>
      <c r="P114" s="310">
        <f t="shared" ca="1" si="47"/>
        <v>23</v>
      </c>
      <c r="Q114" s="304">
        <f t="shared" ca="1" si="48"/>
        <v>0</v>
      </c>
      <c r="R114" s="306">
        <f t="shared" ca="1" si="49"/>
        <v>0</v>
      </c>
      <c r="S114" s="307">
        <f t="shared" ca="1" si="50"/>
        <v>4.341000000000002</v>
      </c>
      <c r="T114" s="304">
        <f t="shared" ca="1" si="30"/>
        <v>42.585210000000025</v>
      </c>
      <c r="U114" s="311">
        <f t="shared" ca="1" si="31"/>
        <v>0</v>
      </c>
      <c r="V114" s="306">
        <f t="shared" ca="1" si="32"/>
        <v>1.1286443468706842</v>
      </c>
      <c r="W114" s="304">
        <f t="shared" ca="1" si="33"/>
        <v>41.802533031111864</v>
      </c>
      <c r="Y114" s="314" t="str">
        <f t="shared" ca="1" si="51"/>
        <v/>
      </c>
      <c r="Z114" s="315" t="str">
        <f t="shared" ca="1" si="52"/>
        <v/>
      </c>
      <c r="AA114" s="316" t="str">
        <f t="shared" ca="1" si="53"/>
        <v/>
      </c>
      <c r="AC114" s="310">
        <f t="shared" ca="1" si="54"/>
        <v>2.0000000000000013</v>
      </c>
      <c r="AD114" s="323">
        <f t="shared" ca="1" si="55"/>
        <v>201.21999636945836</v>
      </c>
      <c r="AE114" s="324">
        <f t="shared" ca="1" si="34"/>
        <v>818.77836179817598</v>
      </c>
      <c r="AG114" s="306">
        <f t="shared" ca="1" si="56"/>
        <v>-19.385589310251255</v>
      </c>
      <c r="AH114" s="304">
        <f t="shared" ca="1" si="57"/>
        <v>-9.9925637083970837</v>
      </c>
    </row>
    <row r="115" spans="1:34" x14ac:dyDescent="0.2">
      <c r="A115" s="347">
        <f t="shared" ca="1" si="35"/>
        <v>0.1</v>
      </c>
      <c r="B115" s="304">
        <f t="shared" ca="1" si="36"/>
        <v>2.1000000000000014</v>
      </c>
      <c r="D115" s="306">
        <f t="shared" ca="1" si="37"/>
        <v>-2.8020969481026232</v>
      </c>
      <c r="E115" s="307">
        <f t="shared" ca="1" si="38"/>
        <v>-19.023001597503004</v>
      </c>
      <c r="F115" s="304">
        <f t="shared" ca="1" si="39"/>
        <v>19.228269217097203</v>
      </c>
      <c r="G115" s="306">
        <f t="shared" ca="1" si="40"/>
        <v>30.809873113784491</v>
      </c>
      <c r="H115" s="307">
        <f t="shared" ca="1" si="41"/>
        <v>100.31863933202422</v>
      </c>
      <c r="I115" s="304">
        <f t="shared" ca="1" si="42"/>
        <v>104.94321168477863</v>
      </c>
      <c r="J115" s="306">
        <f t="shared" ca="1" si="43"/>
        <v>204.31499416557733</v>
      </c>
      <c r="K115" s="307">
        <f t="shared" ca="1" si="44"/>
        <v>828.9053407393659</v>
      </c>
      <c r="L115" s="304">
        <f t="shared" ca="1" si="29"/>
        <v>853.71463660120298</v>
      </c>
      <c r="M115" s="306">
        <f t="shared" ca="1" si="45"/>
        <v>1.2728201752938688</v>
      </c>
      <c r="N115" s="304">
        <f t="shared" ca="1" si="46"/>
        <v>72.927224123440297</v>
      </c>
      <c r="P115" s="310">
        <f t="shared" ca="1" si="47"/>
        <v>23</v>
      </c>
      <c r="Q115" s="304">
        <f t="shared" ca="1" si="48"/>
        <v>0</v>
      </c>
      <c r="R115" s="306">
        <f t="shared" ca="1" si="49"/>
        <v>0</v>
      </c>
      <c r="S115" s="307">
        <f t="shared" ca="1" si="50"/>
        <v>4.341000000000002</v>
      </c>
      <c r="T115" s="304">
        <f t="shared" ca="1" si="30"/>
        <v>42.585210000000025</v>
      </c>
      <c r="U115" s="311">
        <f t="shared" ca="1" si="31"/>
        <v>0</v>
      </c>
      <c r="V115" s="306">
        <f t="shared" ca="1" si="32"/>
        <v>1.127500008925608</v>
      </c>
      <c r="W115" s="304">
        <f t="shared" ca="1" si="33"/>
        <v>40.287254810774414</v>
      </c>
      <c r="Y115" s="314" t="str">
        <f t="shared" ca="1" si="51"/>
        <v/>
      </c>
      <c r="Z115" s="315" t="str">
        <f t="shared" ca="1" si="52"/>
        <v/>
      </c>
      <c r="AA115" s="316" t="str">
        <f t="shared" ca="1" si="53"/>
        <v/>
      </c>
      <c r="AC115" s="310" t="e">
        <f t="shared" ca="1" si="54"/>
        <v>#N/A</v>
      </c>
      <c r="AD115" s="323" t="e">
        <f t="shared" ca="1" si="55"/>
        <v>#N/A</v>
      </c>
      <c r="AE115" s="324">
        <f t="shared" ca="1" si="34"/>
        <v>828.9053407393659</v>
      </c>
      <c r="AG115" s="306">
        <f t="shared" ca="1" si="56"/>
        <v>-19.015199649148414</v>
      </c>
      <c r="AH115" s="304">
        <f t="shared" ca="1" si="57"/>
        <v>-9.6297012280838157</v>
      </c>
    </row>
    <row r="116" spans="1:34" x14ac:dyDescent="0.2">
      <c r="A116" s="347">
        <f t="shared" ca="1" si="35"/>
        <v>0.1</v>
      </c>
      <c r="B116" s="304">
        <f t="shared" ca="1" si="36"/>
        <v>2.2000000000000015</v>
      </c>
      <c r="D116" s="306">
        <f t="shared" ca="1" si="37"/>
        <v>-2.7246671021938345</v>
      </c>
      <c r="E116" s="307">
        <f t="shared" ca="1" si="38"/>
        <v>-18.681665758419612</v>
      </c>
      <c r="F116" s="304">
        <f t="shared" ca="1" si="39"/>
        <v>18.879312655048786</v>
      </c>
      <c r="G116" s="306">
        <f t="shared" ca="1" si="40"/>
        <v>30.537406403565107</v>
      </c>
      <c r="H116" s="307">
        <f t="shared" ca="1" si="41"/>
        <v>98.450472756182251</v>
      </c>
      <c r="I116" s="304">
        <f t="shared" ca="1" si="42"/>
        <v>103.07778022334534</v>
      </c>
      <c r="J116" s="306">
        <f t="shared" ca="1" si="43"/>
        <v>207.38235814144483</v>
      </c>
      <c r="K116" s="307">
        <f t="shared" ca="1" si="44"/>
        <v>838.84379634377626</v>
      </c>
      <c r="L116" s="304">
        <f t="shared" ca="1" si="29"/>
        <v>864.09858067974244</v>
      </c>
      <c r="M116" s="306">
        <f t="shared" ca="1" si="45"/>
        <v>1.2700260873364169</v>
      </c>
      <c r="N116" s="304">
        <f t="shared" ca="1" si="46"/>
        <v>72.767134675889977</v>
      </c>
      <c r="P116" s="310">
        <f t="shared" ca="1" si="47"/>
        <v>23</v>
      </c>
      <c r="Q116" s="304">
        <f t="shared" ca="1" si="48"/>
        <v>0</v>
      </c>
      <c r="R116" s="306">
        <f t="shared" ca="1" si="49"/>
        <v>0</v>
      </c>
      <c r="S116" s="307">
        <f t="shared" ca="1" si="50"/>
        <v>4.341000000000002</v>
      </c>
      <c r="T116" s="304">
        <f t="shared" ca="1" si="30"/>
        <v>42.585210000000025</v>
      </c>
      <c r="U116" s="311">
        <f t="shared" ca="1" si="31"/>
        <v>0</v>
      </c>
      <c r="V116" s="306">
        <f t="shared" ca="1" si="32"/>
        <v>1.1263780552737368</v>
      </c>
      <c r="W116" s="304">
        <f t="shared" ca="1" si="33"/>
        <v>38.829045481996317</v>
      </c>
      <c r="Y116" s="314" t="str">
        <f t="shared" ca="1" si="51"/>
        <v/>
      </c>
      <c r="Z116" s="315" t="str">
        <f t="shared" ca="1" si="52"/>
        <v/>
      </c>
      <c r="AA116" s="316" t="str">
        <f t="shared" ca="1" si="53"/>
        <v/>
      </c>
      <c r="AC116" s="310" t="e">
        <f t="shared" ca="1" si="54"/>
        <v>#N/A</v>
      </c>
      <c r="AD116" s="323" t="e">
        <f t="shared" ca="1" si="55"/>
        <v>#N/A</v>
      </c>
      <c r="AE116" s="324">
        <f t="shared" ca="1" si="34"/>
        <v>838.84379634377626</v>
      </c>
      <c r="AG116" s="306">
        <f t="shared" ca="1" si="56"/>
        <v>-18.658338215507694</v>
      </c>
      <c r="AH116" s="304">
        <f t="shared" ca="1" si="57"/>
        <v>-9.2806392100378705</v>
      </c>
    </row>
    <row r="117" spans="1:34" x14ac:dyDescent="0.2">
      <c r="A117" s="347">
        <f t="shared" ca="1" si="35"/>
        <v>0.1</v>
      </c>
      <c r="B117" s="304">
        <f t="shared" ca="1" si="36"/>
        <v>2.3000000000000016</v>
      </c>
      <c r="D117" s="306">
        <f t="shared" ca="1" si="37"/>
        <v>-2.6499276711360218</v>
      </c>
      <c r="E117" s="307">
        <f t="shared" ca="1" si="38"/>
        <v>-18.353182369363658</v>
      </c>
      <c r="F117" s="304">
        <f t="shared" ca="1" si="39"/>
        <v>18.543500741374952</v>
      </c>
      <c r="G117" s="306">
        <f t="shared" ca="1" si="40"/>
        <v>30.272413636451507</v>
      </c>
      <c r="H117" s="307">
        <f t="shared" ca="1" si="41"/>
        <v>96.615154519245891</v>
      </c>
      <c r="I117" s="304">
        <f t="shared" ca="1" si="42"/>
        <v>101.2467634552047</v>
      </c>
      <c r="J117" s="306">
        <f t="shared" ca="1" si="43"/>
        <v>210.42284914344566</v>
      </c>
      <c r="K117" s="307">
        <f t="shared" ca="1" si="44"/>
        <v>848.59707770754767</v>
      </c>
      <c r="L117" s="304">
        <f t="shared" ca="1" si="29"/>
        <v>874.29673208552879</v>
      </c>
      <c r="M117" s="306">
        <f t="shared" ca="1" si="45"/>
        <v>1.2671556005889542</v>
      </c>
      <c r="N117" s="304">
        <f t="shared" ca="1" si="46"/>
        <v>72.602667900112124</v>
      </c>
      <c r="P117" s="310">
        <f t="shared" ca="1" si="47"/>
        <v>23</v>
      </c>
      <c r="Q117" s="304">
        <f t="shared" ca="1" si="48"/>
        <v>0</v>
      </c>
      <c r="R117" s="306">
        <f t="shared" ca="1" si="49"/>
        <v>0</v>
      </c>
      <c r="S117" s="307">
        <f t="shared" ca="1" si="50"/>
        <v>4.341000000000002</v>
      </c>
      <c r="T117" s="304">
        <f t="shared" ca="1" si="30"/>
        <v>42.585210000000025</v>
      </c>
      <c r="U117" s="311">
        <f t="shared" ca="1" si="31"/>
        <v>0</v>
      </c>
      <c r="V117" s="306">
        <f t="shared" ca="1" si="32"/>
        <v>1.1252780459215388</v>
      </c>
      <c r="W117" s="304">
        <f t="shared" ca="1" si="33"/>
        <v>37.425237322597312</v>
      </c>
      <c r="Y117" s="314" t="str">
        <f t="shared" ca="1" si="51"/>
        <v/>
      </c>
      <c r="Z117" s="315" t="str">
        <f t="shared" ca="1" si="52"/>
        <v/>
      </c>
      <c r="AA117" s="316" t="str">
        <f t="shared" ca="1" si="53"/>
        <v/>
      </c>
      <c r="AC117" s="310" t="e">
        <f t="shared" ca="1" si="54"/>
        <v>#N/A</v>
      </c>
      <c r="AD117" s="323" t="e">
        <f t="shared" ca="1" si="55"/>
        <v>#N/A</v>
      </c>
      <c r="AE117" s="324">
        <f t="shared" ca="1" si="34"/>
        <v>848.59707770754767</v>
      </c>
      <c r="AG117" s="306">
        <f t="shared" ca="1" si="56"/>
        <v>-18.314338890373783</v>
      </c>
      <c r="AH117" s="304">
        <f t="shared" ca="1" si="57"/>
        <v>-8.9447236770320888</v>
      </c>
    </row>
    <row r="118" spans="1:34" x14ac:dyDescent="0.2">
      <c r="A118" s="347">
        <f t="shared" ca="1" si="35"/>
        <v>0.1</v>
      </c>
      <c r="B118" s="304">
        <f t="shared" ca="1" si="36"/>
        <v>2.4000000000000017</v>
      </c>
      <c r="D118" s="306">
        <f t="shared" ca="1" si="37"/>
        <v>-2.5777492962926938</v>
      </c>
      <c r="E118" s="307">
        <f t="shared" ca="1" si="38"/>
        <v>-18.036950436264892</v>
      </c>
      <c r="F118" s="304">
        <f t="shared" ca="1" si="39"/>
        <v>18.220218782298243</v>
      </c>
      <c r="G118" s="306">
        <f t="shared" ca="1" si="40"/>
        <v>30.014638706822236</v>
      </c>
      <c r="H118" s="307">
        <f t="shared" ca="1" si="41"/>
        <v>94.811459475619401</v>
      </c>
      <c r="I118" s="304">
        <f t="shared" ca="1" si="42"/>
        <v>99.448938579544887</v>
      </c>
      <c r="J118" s="306">
        <f t="shared" ca="1" si="43"/>
        <v>213.43720176060936</v>
      </c>
      <c r="K118" s="307">
        <f t="shared" ca="1" si="44"/>
        <v>858.16840840729094</v>
      </c>
      <c r="L118" s="304">
        <f t="shared" ca="1" si="29"/>
        <v>884.31242006640502</v>
      </c>
      <c r="M118" s="306">
        <f t="shared" ca="1" si="45"/>
        <v>1.2642061889848077</v>
      </c>
      <c r="N118" s="304">
        <f t="shared" ca="1" si="46"/>
        <v>72.433679063147622</v>
      </c>
      <c r="P118" s="310">
        <f t="shared" ca="1" si="47"/>
        <v>23</v>
      </c>
      <c r="Q118" s="304">
        <f t="shared" ca="1" si="48"/>
        <v>0</v>
      </c>
      <c r="R118" s="306">
        <f t="shared" ca="1" si="49"/>
        <v>0</v>
      </c>
      <c r="S118" s="307">
        <f t="shared" ca="1" si="50"/>
        <v>4.341000000000002</v>
      </c>
      <c r="T118" s="304">
        <f t="shared" ca="1" si="30"/>
        <v>42.585210000000025</v>
      </c>
      <c r="U118" s="311">
        <f t="shared" ca="1" si="31"/>
        <v>0</v>
      </c>
      <c r="V118" s="306">
        <f t="shared" ca="1" si="32"/>
        <v>1.1241995577257684</v>
      </c>
      <c r="W118" s="304">
        <f t="shared" ca="1" si="33"/>
        <v>36.073321595814285</v>
      </c>
      <c r="Y118" s="314" t="str">
        <f t="shared" ca="1" si="51"/>
        <v/>
      </c>
      <c r="Z118" s="315" t="str">
        <f t="shared" ca="1" si="52"/>
        <v/>
      </c>
      <c r="AA118" s="316" t="str">
        <f t="shared" ca="1" si="53"/>
        <v/>
      </c>
      <c r="AC118" s="310" t="e">
        <f t="shared" ca="1" si="54"/>
        <v>#N/A</v>
      </c>
      <c r="AD118" s="323" t="e">
        <f t="shared" ca="1" si="55"/>
        <v>#N/A</v>
      </c>
      <c r="AE118" s="324">
        <f t="shared" ca="1" si="34"/>
        <v>858.16840840729094</v>
      </c>
      <c r="AG118" s="306">
        <f t="shared" ca="1" si="56"/>
        <v>-17.982574299371962</v>
      </c>
      <c r="AH118" s="304">
        <f t="shared" ca="1" si="57"/>
        <v>-8.6213400881357511</v>
      </c>
    </row>
    <row r="119" spans="1:34" x14ac:dyDescent="0.2">
      <c r="A119" s="347">
        <f t="shared" ca="1" si="35"/>
        <v>0.1</v>
      </c>
      <c r="B119" s="304">
        <f t="shared" ca="1" si="36"/>
        <v>2.5000000000000018</v>
      </c>
      <c r="D119" s="306">
        <f t="shared" ca="1" si="37"/>
        <v>-2.5080102985849124</v>
      </c>
      <c r="E119" s="307">
        <f t="shared" ca="1" si="38"/>
        <v>-17.732404767599988</v>
      </c>
      <c r="F119" s="304">
        <f t="shared" ca="1" si="39"/>
        <v>17.908888700860551</v>
      </c>
      <c r="G119" s="306">
        <f t="shared" ca="1" si="40"/>
        <v>29.763837676963746</v>
      </c>
      <c r="H119" s="307">
        <f t="shared" ca="1" si="41"/>
        <v>93.038218998859406</v>
      </c>
      <c r="I119" s="304">
        <f t="shared" ca="1" si="42"/>
        <v>97.683141983355398</v>
      </c>
      <c r="J119" s="306">
        <f t="shared" ca="1" si="43"/>
        <v>216.42612557979865</v>
      </c>
      <c r="K119" s="307">
        <f t="shared" ca="1" si="44"/>
        <v>867.56089233101488</v>
      </c>
      <c r="L119" s="304">
        <f t="shared" ca="1" si="29"/>
        <v>894.14885211337696</v>
      </c>
      <c r="M119" s="306">
        <f t="shared" ca="1" si="45"/>
        <v>1.2611752093395279</v>
      </c>
      <c r="N119" s="304">
        <f t="shared" ca="1" si="46"/>
        <v>72.26001672168303</v>
      </c>
      <c r="P119" s="310">
        <f t="shared" ca="1" si="47"/>
        <v>23</v>
      </c>
      <c r="Q119" s="304">
        <f t="shared" ca="1" si="48"/>
        <v>0</v>
      </c>
      <c r="R119" s="306">
        <f t="shared" ca="1" si="49"/>
        <v>0</v>
      </c>
      <c r="S119" s="307">
        <f t="shared" ca="1" si="50"/>
        <v>4.341000000000002</v>
      </c>
      <c r="T119" s="304">
        <f t="shared" ca="1" si="30"/>
        <v>42.585210000000025</v>
      </c>
      <c r="U119" s="311">
        <f t="shared" ca="1" si="31"/>
        <v>0</v>
      </c>
      <c r="V119" s="306">
        <f t="shared" ca="1" si="32"/>
        <v>1.1231421835940525</v>
      </c>
      <c r="W119" s="304">
        <f t="shared" ca="1" si="33"/>
        <v>34.770937352269343</v>
      </c>
      <c r="Y119" s="314" t="str">
        <f t="shared" ca="1" si="51"/>
        <v/>
      </c>
      <c r="Z119" s="315" t="str">
        <f t="shared" ca="1" si="52"/>
        <v/>
      </c>
      <c r="AA119" s="316" t="str">
        <f t="shared" ca="1" si="53"/>
        <v/>
      </c>
      <c r="AC119" s="310" t="e">
        <f t="shared" ca="1" si="54"/>
        <v>#N/A</v>
      </c>
      <c r="AD119" s="323" t="e">
        <f t="shared" ca="1" si="55"/>
        <v>#N/A</v>
      </c>
      <c r="AE119" s="324">
        <f t="shared" ca="1" si="34"/>
        <v>867.56089233101488</v>
      </c>
      <c r="AG119" s="306">
        <f t="shared" ca="1" si="56"/>
        <v>-17.662452954273054</v>
      </c>
      <c r="AH119" s="304">
        <f t="shared" ca="1" si="57"/>
        <v>-8.3099105265639874</v>
      </c>
    </row>
    <row r="120" spans="1:34" x14ac:dyDescent="0.2">
      <c r="A120" s="347">
        <f t="shared" ca="1" si="35"/>
        <v>0.1</v>
      </c>
      <c r="B120" s="304">
        <f t="shared" ca="1" si="36"/>
        <v>2.6000000000000019</v>
      </c>
      <c r="D120" s="306">
        <f t="shared" ca="1" si="37"/>
        <v>-2.4405961383679822</v>
      </c>
      <c r="E120" s="307">
        <f t="shared" ca="1" si="38"/>
        <v>-17.439013451615306</v>
      </c>
      <c r="F120" s="304">
        <f t="shared" ca="1" si="39"/>
        <v>17.608966456786618</v>
      </c>
      <c r="G120" s="306">
        <f t="shared" ca="1" si="40"/>
        <v>29.51977806312695</v>
      </c>
      <c r="H120" s="307">
        <f t="shared" ca="1" si="41"/>
        <v>91.294317653697874</v>
      </c>
      <c r="I120" s="304">
        <f t="shared" ca="1" si="42"/>
        <v>95.948265918413355</v>
      </c>
      <c r="J120" s="306">
        <f t="shared" ca="1" si="43"/>
        <v>219.39030636680317</v>
      </c>
      <c r="K120" s="307">
        <f t="shared" ca="1" si="44"/>
        <v>876.77751916364275</v>
      </c>
      <c r="L120" s="304">
        <f t="shared" ca="1" si="29"/>
        <v>903.80911958138131</v>
      </c>
      <c r="M120" s="306">
        <f t="shared" ca="1" si="45"/>
        <v>1.2580598949086186</v>
      </c>
      <c r="N120" s="304">
        <f t="shared" ca="1" si="46"/>
        <v>72.081522352935735</v>
      </c>
      <c r="P120" s="310">
        <f t="shared" ca="1" si="47"/>
        <v>23</v>
      </c>
      <c r="Q120" s="304">
        <f t="shared" ca="1" si="48"/>
        <v>0</v>
      </c>
      <c r="R120" s="306">
        <f t="shared" ca="1" si="49"/>
        <v>0</v>
      </c>
      <c r="S120" s="307">
        <f t="shared" ca="1" si="50"/>
        <v>4.341000000000002</v>
      </c>
      <c r="T120" s="304">
        <f t="shared" ca="1" si="30"/>
        <v>42.585210000000025</v>
      </c>
      <c r="U120" s="311">
        <f t="shared" ca="1" si="31"/>
        <v>0</v>
      </c>
      <c r="V120" s="306">
        <f t="shared" ca="1" si="32"/>
        <v>1.1221055317335691</v>
      </c>
      <c r="W120" s="304">
        <f t="shared" ca="1" si="33"/>
        <v>33.515861146982417</v>
      </c>
      <c r="Y120" s="314" t="str">
        <f t="shared" ca="1" si="51"/>
        <v/>
      </c>
      <c r="Z120" s="315" t="str">
        <f t="shared" ca="1" si="52"/>
        <v/>
      </c>
      <c r="AA120" s="316" t="str">
        <f t="shared" ca="1" si="53"/>
        <v/>
      </c>
      <c r="AC120" s="310" t="e">
        <f t="shared" ca="1" si="54"/>
        <v>#N/A</v>
      </c>
      <c r="AD120" s="323" t="e">
        <f t="shared" ca="1" si="55"/>
        <v>#N/A</v>
      </c>
      <c r="AE120" s="324">
        <f t="shared" ca="1" si="34"/>
        <v>876.77751916364275</v>
      </c>
      <c r="AG120" s="306">
        <f t="shared" ca="1" si="56"/>
        <v>-17.353416623532542</v>
      </c>
      <c r="AH120" s="304">
        <f t="shared" ca="1" si="57"/>
        <v>-8.0098911200804714</v>
      </c>
    </row>
    <row r="121" spans="1:34" x14ac:dyDescent="0.2">
      <c r="A121" s="347">
        <f t="shared" ca="1" si="35"/>
        <v>0.1</v>
      </c>
      <c r="B121" s="304">
        <f t="shared" ca="1" si="36"/>
        <v>2.700000000000002</v>
      </c>
      <c r="D121" s="306">
        <f t="shared" ca="1" si="37"/>
        <v>-2.3753989195949536</v>
      </c>
      <c r="E121" s="307">
        <f t="shared" ca="1" si="38"/>
        <v>-17.156275539606174</v>
      </c>
      <c r="F121" s="304">
        <f t="shared" ca="1" si="39"/>
        <v>17.319939677091892</v>
      </c>
      <c r="G121" s="306">
        <f t="shared" ca="1" si="40"/>
        <v>29.282238171167453</v>
      </c>
      <c r="H121" s="307">
        <f t="shared" ca="1" si="41"/>
        <v>89.578690099737258</v>
      </c>
      <c r="I121" s="304">
        <f t="shared" ca="1" si="42"/>
        <v>94.243255420734172</v>
      </c>
      <c r="J121" s="306">
        <f t="shared" ca="1" si="43"/>
        <v>222.3304071785179</v>
      </c>
      <c r="K121" s="307">
        <f t="shared" ca="1" si="44"/>
        <v>885.82116955131448</v>
      </c>
      <c r="L121" s="304">
        <f t="shared" ca="1" si="29"/>
        <v>913.29620298204691</v>
      </c>
      <c r="M121" s="306">
        <f t="shared" ca="1" si="45"/>
        <v>1.2548573485267767</v>
      </c>
      <c r="N121" s="304">
        <f t="shared" ca="1" si="46"/>
        <v>71.898029961561292</v>
      </c>
      <c r="P121" s="310">
        <f t="shared" ca="1" si="47"/>
        <v>23</v>
      </c>
      <c r="Q121" s="304">
        <f t="shared" ca="1" si="48"/>
        <v>0</v>
      </c>
      <c r="R121" s="306">
        <f t="shared" ca="1" si="49"/>
        <v>0</v>
      </c>
      <c r="S121" s="307">
        <f t="shared" ca="1" si="50"/>
        <v>4.341000000000002</v>
      </c>
      <c r="T121" s="304">
        <f t="shared" ca="1" si="30"/>
        <v>42.585210000000025</v>
      </c>
      <c r="U121" s="311">
        <f t="shared" ca="1" si="31"/>
        <v>0</v>
      </c>
      <c r="V121" s="306">
        <f t="shared" ca="1" si="32"/>
        <v>1.1210892249444009</v>
      </c>
      <c r="W121" s="304">
        <f t="shared" ca="1" si="33"/>
        <v>32.305997586812353</v>
      </c>
      <c r="Y121" s="314" t="str">
        <f t="shared" ca="1" si="51"/>
        <v/>
      </c>
      <c r="Z121" s="315" t="str">
        <f t="shared" ca="1" si="52"/>
        <v/>
      </c>
      <c r="AA121" s="316" t="str">
        <f t="shared" ca="1" si="53"/>
        <v/>
      </c>
      <c r="AC121" s="310" t="e">
        <f t="shared" ca="1" si="54"/>
        <v>#N/A</v>
      </c>
      <c r="AD121" s="323" t="e">
        <f t="shared" ca="1" si="55"/>
        <v>#N/A</v>
      </c>
      <c r="AE121" s="324">
        <f t="shared" ca="1" si="34"/>
        <v>885.82116955131448</v>
      </c>
      <c r="AG121" s="306">
        <f t="shared" ca="1" si="56"/>
        <v>-17.054937909732132</v>
      </c>
      <c r="AH121" s="304">
        <f t="shared" ca="1" si="57"/>
        <v>-7.7207696721912926</v>
      </c>
    </row>
    <row r="122" spans="1:34" x14ac:dyDescent="0.2">
      <c r="A122" s="347">
        <f t="shared" ca="1" si="35"/>
        <v>0.1</v>
      </c>
      <c r="B122" s="304">
        <f t="shared" ca="1" si="36"/>
        <v>2.800000000000002</v>
      </c>
      <c r="D122" s="306">
        <f t="shared" ca="1" si="37"/>
        <v>-2.3123169341852563</v>
      </c>
      <c r="E122" s="307">
        <f t="shared" ca="1" si="38"/>
        <v>-16.883718916189576</v>
      </c>
      <c r="F122" s="304">
        <f t="shared" ca="1" si="39"/>
        <v>17.041325477937967</v>
      </c>
      <c r="G122" s="306">
        <f t="shared" ca="1" si="40"/>
        <v>29.051006477748928</v>
      </c>
      <c r="H122" s="307">
        <f t="shared" ca="1" si="41"/>
        <v>87.890318208118302</v>
      </c>
      <c r="I122" s="304">
        <f t="shared" ca="1" si="42"/>
        <v>92.567105453797694</v>
      </c>
      <c r="J122" s="306">
        <f t="shared" ca="1" si="43"/>
        <v>225.24706941096372</v>
      </c>
      <c r="K122" s="307">
        <f t="shared" ca="1" si="44"/>
        <v>894.69461996670725</v>
      </c>
      <c r="L122" s="304">
        <f t="shared" ca="1" si="29"/>
        <v>922.61297697116652</v>
      </c>
      <c r="M122" s="306">
        <f t="shared" ca="1" si="45"/>
        <v>1.2515645352984237</v>
      </c>
      <c r="N122" s="304">
        <f t="shared" ca="1" si="46"/>
        <v>71.709365660851816</v>
      </c>
      <c r="P122" s="310">
        <f t="shared" ca="1" si="47"/>
        <v>23</v>
      </c>
      <c r="Q122" s="304">
        <f t="shared" ca="1" si="48"/>
        <v>0</v>
      </c>
      <c r="R122" s="306">
        <f t="shared" ca="1" si="49"/>
        <v>0</v>
      </c>
      <c r="S122" s="307">
        <f t="shared" ca="1" si="50"/>
        <v>4.341000000000002</v>
      </c>
      <c r="T122" s="304">
        <f t="shared" ca="1" si="30"/>
        <v>42.585210000000025</v>
      </c>
      <c r="U122" s="311">
        <f t="shared" ca="1" si="31"/>
        <v>0</v>
      </c>
      <c r="V122" s="306">
        <f t="shared" ca="1" si="32"/>
        <v>1.1200928999544324</v>
      </c>
      <c r="W122" s="304">
        <f t="shared" ca="1" si="33"/>
        <v>31.13937063243382</v>
      </c>
      <c r="Y122" s="314" t="str">
        <f t="shared" ca="1" si="51"/>
        <v/>
      </c>
      <c r="Z122" s="315" t="str">
        <f t="shared" ca="1" si="52"/>
        <v/>
      </c>
      <c r="AA122" s="316" t="str">
        <f t="shared" ca="1" si="53"/>
        <v/>
      </c>
      <c r="AC122" s="310" t="e">
        <f t="shared" ca="1" si="54"/>
        <v>#N/A</v>
      </c>
      <c r="AD122" s="323" t="e">
        <f t="shared" ca="1" si="55"/>
        <v>#N/A</v>
      </c>
      <c r="AE122" s="324">
        <f t="shared" ca="1" si="34"/>
        <v>894.69461996670725</v>
      </c>
      <c r="AG122" s="306">
        <f t="shared" ca="1" si="56"/>
        <v>-16.766518014092433</v>
      </c>
      <c r="AH122" s="304">
        <f t="shared" ca="1" si="57"/>
        <v>-7.4420634846377194</v>
      </c>
    </row>
    <row r="123" spans="1:34" x14ac:dyDescent="0.2">
      <c r="A123" s="347">
        <f t="shared" ca="1" si="35"/>
        <v>0.1</v>
      </c>
      <c r="B123" s="304">
        <f t="shared" ca="1" si="36"/>
        <v>2.9000000000000021</v>
      </c>
      <c r="D123" s="306">
        <f t="shared" ca="1" si="37"/>
        <v>-2.2512542429389089</v>
      </c>
      <c r="E123" s="307">
        <f t="shared" ca="1" si="38"/>
        <v>-16.620898339471541</v>
      </c>
      <c r="F123" s="304">
        <f t="shared" ca="1" si="39"/>
        <v>16.772668460248006</v>
      </c>
      <c r="G123" s="306">
        <f t="shared" ca="1" si="40"/>
        <v>28.825881053455038</v>
      </c>
      <c r="H123" s="307">
        <f t="shared" ca="1" si="41"/>
        <v>86.228228374171152</v>
      </c>
      <c r="I123" s="304">
        <f t="shared" ca="1" si="42"/>
        <v>90.918858258648143</v>
      </c>
      <c r="J123" s="306">
        <f t="shared" ca="1" si="43"/>
        <v>228.14091378752391</v>
      </c>
      <c r="K123" s="307">
        <f t="shared" ca="1" si="44"/>
        <v>903.40054729582175</v>
      </c>
      <c r="L123" s="304">
        <f t="shared" ca="1" si="29"/>
        <v>931.76221505177853</v>
      </c>
      <c r="M123" s="306">
        <f t="shared" ca="1" si="45"/>
        <v>1.2481782748069643</v>
      </c>
      <c r="N123" s="304">
        <f t="shared" ca="1" si="46"/>
        <v>71.515347226359296</v>
      </c>
      <c r="P123" s="310">
        <f t="shared" ca="1" si="47"/>
        <v>23</v>
      </c>
      <c r="Q123" s="304">
        <f t="shared" ca="1" si="48"/>
        <v>0</v>
      </c>
      <c r="R123" s="306">
        <f t="shared" ca="1" si="49"/>
        <v>0</v>
      </c>
      <c r="S123" s="307">
        <f t="shared" ca="1" si="50"/>
        <v>4.341000000000002</v>
      </c>
      <c r="T123" s="304">
        <f t="shared" ca="1" si="30"/>
        <v>42.585210000000025</v>
      </c>
      <c r="U123" s="311">
        <f t="shared" ca="1" si="31"/>
        <v>0</v>
      </c>
      <c r="V123" s="306">
        <f t="shared" ca="1" si="32"/>
        <v>1.1191162067929137</v>
      </c>
      <c r="W123" s="304">
        <f t="shared" ca="1" si="33"/>
        <v>30.014115586690703</v>
      </c>
      <c r="Y123" s="314" t="str">
        <f t="shared" ca="1" si="51"/>
        <v/>
      </c>
      <c r="Z123" s="315" t="str">
        <f t="shared" ca="1" si="52"/>
        <v/>
      </c>
      <c r="AA123" s="316" t="str">
        <f t="shared" ca="1" si="53"/>
        <v/>
      </c>
      <c r="AC123" s="310" t="e">
        <f t="shared" ca="1" si="54"/>
        <v>#N/A</v>
      </c>
      <c r="AD123" s="323" t="e">
        <f t="shared" ca="1" si="55"/>
        <v>#N/A</v>
      </c>
      <c r="AE123" s="324">
        <f t="shared" ca="1" si="34"/>
        <v>903.40054729582175</v>
      </c>
      <c r="AG123" s="306">
        <f t="shared" ca="1" si="56"/>
        <v>-16.4876846702027</v>
      </c>
      <c r="AH123" s="304">
        <f t="shared" ca="1" si="57"/>
        <v>-7.1733173537050927</v>
      </c>
    </row>
    <row r="124" spans="1:34" x14ac:dyDescent="0.2">
      <c r="A124" s="347">
        <f t="shared" ca="1" si="35"/>
        <v>0.1</v>
      </c>
      <c r="B124" s="304">
        <f t="shared" ca="1" si="36"/>
        <v>3.0000000000000022</v>
      </c>
      <c r="D124" s="306">
        <f t="shared" ca="1" si="37"/>
        <v>-2.192120289711097</v>
      </c>
      <c r="E124" s="307">
        <f t="shared" ca="1" si="38"/>
        <v>-16.367393635751739</v>
      </c>
      <c r="F124" s="304">
        <f t="shared" ca="1" si="39"/>
        <v>16.513538863375398</v>
      </c>
      <c r="G124" s="306">
        <f t="shared" ca="1" si="40"/>
        <v>28.606669024483928</v>
      </c>
      <c r="H124" s="307">
        <f t="shared" ca="1" si="41"/>
        <v>84.591489010595978</v>
      </c>
      <c r="I124" s="304">
        <f t="shared" ca="1" si="42"/>
        <v>89.297600895579208</v>
      </c>
      <c r="J124" s="306">
        <f t="shared" ca="1" si="43"/>
        <v>231.01254129142086</v>
      </c>
      <c r="K124" s="307">
        <f t="shared" ca="1" si="44"/>
        <v>911.94153316506015</v>
      </c>
      <c r="L124" s="304">
        <f t="shared" ca="1" si="29"/>
        <v>940.74659401209681</v>
      </c>
      <c r="M124" s="306">
        <f t="shared" ca="1" si="45"/>
        <v>1.2446952328076741</v>
      </c>
      <c r="N124" s="304">
        <f t="shared" ca="1" si="46"/>
        <v>71.315783619933171</v>
      </c>
      <c r="P124" s="310">
        <f t="shared" ca="1" si="47"/>
        <v>23</v>
      </c>
      <c r="Q124" s="304">
        <f t="shared" ca="1" si="48"/>
        <v>0</v>
      </c>
      <c r="R124" s="306">
        <f t="shared" ca="1" si="49"/>
        <v>0</v>
      </c>
      <c r="S124" s="307">
        <f t="shared" ca="1" si="50"/>
        <v>4.341000000000002</v>
      </c>
      <c r="T124" s="304">
        <f t="shared" ca="1" si="30"/>
        <v>42.585210000000025</v>
      </c>
      <c r="U124" s="311">
        <f t="shared" ca="1" si="31"/>
        <v>0</v>
      </c>
      <c r="V124" s="306">
        <f t="shared" ca="1" si="32"/>
        <v>1.118158808200042</v>
      </c>
      <c r="W124" s="304">
        <f t="shared" ca="1" si="33"/>
        <v>28.928471708032824</v>
      </c>
      <c r="Y124" s="314" t="str">
        <f t="shared" ca="1" si="51"/>
        <v/>
      </c>
      <c r="Z124" s="315" t="str">
        <f t="shared" ca="1" si="52"/>
        <v/>
      </c>
      <c r="AA124" s="316" t="str">
        <f t="shared" ca="1" si="53"/>
        <v/>
      </c>
      <c r="AC124" s="310">
        <f t="shared" ca="1" si="54"/>
        <v>3.0000000000000022</v>
      </c>
      <c r="AD124" s="323">
        <f t="shared" ca="1" si="55"/>
        <v>231.01254129142086</v>
      </c>
      <c r="AE124" s="324">
        <f t="shared" ca="1" si="34"/>
        <v>911.94153316506015</v>
      </c>
      <c r="AG124" s="306">
        <f t="shared" ca="1" si="56"/>
        <v>-16.217990230859264</v>
      </c>
      <c r="AH124" s="304">
        <f t="shared" ca="1" si="57"/>
        <v>-6.9141017246465539</v>
      </c>
    </row>
    <row r="125" spans="1:34" x14ac:dyDescent="0.2">
      <c r="A125" s="347">
        <f t="shared" ca="1" si="35"/>
        <v>0.1</v>
      </c>
      <c r="B125" s="304">
        <f t="shared" ca="1" si="36"/>
        <v>3.1000000000000023</v>
      </c>
      <c r="D125" s="306">
        <f t="shared" ca="1" si="37"/>
        <v>-2.1348295458944322</v>
      </c>
      <c r="E125" s="307">
        <f t="shared" ca="1" si="38"/>
        <v>-16.122808034953742</v>
      </c>
      <c r="F125" s="304">
        <f t="shared" ca="1" si="39"/>
        <v>16.263530862699916</v>
      </c>
      <c r="G125" s="306">
        <f t="shared" ca="1" si="40"/>
        <v>28.393186069894483</v>
      </c>
      <c r="H125" s="307">
        <f t="shared" ca="1" si="41"/>
        <v>82.979208207100598</v>
      </c>
      <c r="I125" s="304">
        <f t="shared" ca="1" si="42"/>
        <v>87.702462963573609</v>
      </c>
      <c r="J125" s="306">
        <f t="shared" ca="1" si="43"/>
        <v>233.86253404613979</v>
      </c>
      <c r="K125" s="307">
        <f t="shared" ca="1" si="44"/>
        <v>920.32006802594503</v>
      </c>
      <c r="L125" s="304">
        <f t="shared" ca="1" si="29"/>
        <v>949.56869811602462</v>
      </c>
      <c r="M125" s="306">
        <f t="shared" ca="1" si="45"/>
        <v>1.2411119123663941</v>
      </c>
      <c r="N125" s="304">
        <f t="shared" ca="1" si="46"/>
        <v>71.110474482004861</v>
      </c>
      <c r="P125" s="310">
        <f t="shared" ca="1" si="47"/>
        <v>23</v>
      </c>
      <c r="Q125" s="304">
        <f t="shared" ca="1" si="48"/>
        <v>0</v>
      </c>
      <c r="R125" s="306">
        <f t="shared" ca="1" si="49"/>
        <v>0</v>
      </c>
      <c r="S125" s="307">
        <f t="shared" ca="1" si="50"/>
        <v>4.341000000000002</v>
      </c>
      <c r="T125" s="304">
        <f t="shared" ca="1" si="30"/>
        <v>42.585210000000025</v>
      </c>
      <c r="U125" s="311">
        <f t="shared" ca="1" si="31"/>
        <v>0</v>
      </c>
      <c r="V125" s="306">
        <f t="shared" ca="1" si="32"/>
        <v>1.1172203790701218</v>
      </c>
      <c r="W125" s="304">
        <f t="shared" ca="1" si="33"/>
        <v>27.880775393847351</v>
      </c>
      <c r="Y125" s="314" t="str">
        <f t="shared" ca="1" si="51"/>
        <v/>
      </c>
      <c r="Z125" s="315" t="str">
        <f t="shared" ca="1" si="52"/>
        <v/>
      </c>
      <c r="AA125" s="316" t="str">
        <f t="shared" ca="1" si="53"/>
        <v/>
      </c>
      <c r="AC125" s="310" t="e">
        <f t="shared" ca="1" si="54"/>
        <v>#N/A</v>
      </c>
      <c r="AD125" s="323" t="e">
        <f t="shared" ca="1" si="55"/>
        <v>#N/A</v>
      </c>
      <c r="AE125" s="324">
        <f t="shared" ca="1" si="34"/>
        <v>920.32006802594503</v>
      </c>
      <c r="AG125" s="306">
        <f t="shared" ca="1" si="56"/>
        <v>-15.957009893446889</v>
      </c>
      <c r="AH125" s="304">
        <f t="shared" ca="1" si="57"/>
        <v>-6.6640109901020068</v>
      </c>
    </row>
    <row r="126" spans="1:34" x14ac:dyDescent="0.2">
      <c r="A126" s="347">
        <f t="shared" ca="1" si="35"/>
        <v>0.1</v>
      </c>
      <c r="B126" s="304">
        <f t="shared" ca="1" si="36"/>
        <v>3.2000000000000024</v>
      </c>
      <c r="D126" s="306">
        <f t="shared" ca="1" si="37"/>
        <v>-2.0793011825519576</v>
      </c>
      <c r="E126" s="307">
        <f t="shared" ca="1" si="38"/>
        <v>-15.886766634343783</v>
      </c>
      <c r="F126" s="304">
        <f t="shared" ca="1" si="39"/>
        <v>16.022260998431552</v>
      </c>
      <c r="G126" s="306">
        <f t="shared" ca="1" si="40"/>
        <v>28.185255951639288</v>
      </c>
      <c r="H126" s="307">
        <f t="shared" ca="1" si="41"/>
        <v>81.390531543666214</v>
      </c>
      <c r="I126" s="304">
        <f t="shared" ca="1" si="42"/>
        <v>86.132614484990185</v>
      </c>
      <c r="J126" s="306">
        <f t="shared" ca="1" si="43"/>
        <v>236.69145614721648</v>
      </c>
      <c r="K126" s="307">
        <f t="shared" ca="1" si="44"/>
        <v>928.53855501348335</v>
      </c>
      <c r="L126" s="304">
        <f t="shared" ca="1" si="29"/>
        <v>958.23102306261057</v>
      </c>
      <c r="M126" s="306">
        <f t="shared" ca="1" si="45"/>
        <v>1.2374246444032724</v>
      </c>
      <c r="N126" s="304">
        <f t="shared" ca="1" si="46"/>
        <v>70.899209589784192</v>
      </c>
      <c r="P126" s="310">
        <f t="shared" ca="1" si="47"/>
        <v>23</v>
      </c>
      <c r="Q126" s="304">
        <f t="shared" ca="1" si="48"/>
        <v>0</v>
      </c>
      <c r="R126" s="306">
        <f t="shared" ca="1" si="49"/>
        <v>0</v>
      </c>
      <c r="S126" s="307">
        <f t="shared" ca="1" si="50"/>
        <v>4.341000000000002</v>
      </c>
      <c r="T126" s="304">
        <f t="shared" ca="1" si="30"/>
        <v>42.585210000000025</v>
      </c>
      <c r="U126" s="311">
        <f t="shared" ca="1" si="31"/>
        <v>0</v>
      </c>
      <c r="V126" s="306">
        <f t="shared" ca="1" si="32"/>
        <v>1.1163006059260614</v>
      </c>
      <c r="W126" s="304">
        <f t="shared" ca="1" si="33"/>
        <v>26.869453883932522</v>
      </c>
      <c r="Y126" s="314" t="str">
        <f t="shared" ca="1" si="51"/>
        <v/>
      </c>
      <c r="Z126" s="315" t="str">
        <f t="shared" ca="1" si="52"/>
        <v/>
      </c>
      <c r="AA126" s="316" t="str">
        <f t="shared" ca="1" si="53"/>
        <v/>
      </c>
      <c r="AC126" s="310" t="e">
        <f t="shared" ca="1" si="54"/>
        <v>#N/A</v>
      </c>
      <c r="AD126" s="323" t="e">
        <f t="shared" ca="1" si="55"/>
        <v>#N/A</v>
      </c>
      <c r="AE126" s="324">
        <f t="shared" ca="1" si="34"/>
        <v>928.53855501348335</v>
      </c>
      <c r="AG126" s="306">
        <f t="shared" ca="1" si="56"/>
        <v>-15.704340050660075</v>
      </c>
      <c r="AH126" s="304">
        <f t="shared" ca="1" si="57"/>
        <v>-6.4226619197989718</v>
      </c>
    </row>
    <row r="127" spans="1:34" x14ac:dyDescent="0.2">
      <c r="A127" s="347">
        <f t="shared" ca="1" si="35"/>
        <v>0.1</v>
      </c>
      <c r="B127" s="304">
        <f t="shared" ca="1" si="36"/>
        <v>3.3000000000000025</v>
      </c>
      <c r="D127" s="306">
        <f t="shared" ca="1" si="37"/>
        <v>-2.0254587678075606</v>
      </c>
      <c r="E127" s="307">
        <f t="shared" ca="1" si="38"/>
        <v>-15.658914979324447</v>
      </c>
      <c r="F127" s="304">
        <f t="shared" ca="1" si="39"/>
        <v>15.789366724153316</v>
      </c>
      <c r="G127" s="306">
        <f t="shared" ca="1" si="40"/>
        <v>27.982710074858531</v>
      </c>
      <c r="H127" s="307">
        <f t="shared" ca="1" si="41"/>
        <v>79.824640045733773</v>
      </c>
      <c r="I127" s="304">
        <f t="shared" ca="1" si="42"/>
        <v>84.587263944192884</v>
      </c>
      <c r="J127" s="306">
        <f t="shared" ca="1" si="43"/>
        <v>239.49985444854138</v>
      </c>
      <c r="K127" s="307">
        <f t="shared" ca="1" si="44"/>
        <v>936.59931359295331</v>
      </c>
      <c r="L127" s="304">
        <f t="shared" ca="1" si="29"/>
        <v>966.73597972955565</v>
      </c>
      <c r="M127" s="306">
        <f t="shared" ca="1" si="45"/>
        <v>1.2336295775976467</v>
      </c>
      <c r="N127" s="304">
        <f t="shared" ca="1" si="46"/>
        <v>70.681768278851649</v>
      </c>
      <c r="P127" s="310">
        <f t="shared" ca="1" si="47"/>
        <v>23</v>
      </c>
      <c r="Q127" s="304">
        <f t="shared" ca="1" si="48"/>
        <v>0</v>
      </c>
      <c r="R127" s="306">
        <f t="shared" ca="1" si="49"/>
        <v>0</v>
      </c>
      <c r="S127" s="307">
        <f t="shared" ca="1" si="50"/>
        <v>4.341000000000002</v>
      </c>
      <c r="T127" s="304">
        <f t="shared" ca="1" si="30"/>
        <v>42.585210000000025</v>
      </c>
      <c r="U127" s="311">
        <f t="shared" ca="1" si="31"/>
        <v>0</v>
      </c>
      <c r="V127" s="306">
        <f t="shared" ca="1" si="32"/>
        <v>1.1153991864231296</v>
      </c>
      <c r="W127" s="304">
        <f t="shared" ca="1" si="33"/>
        <v>25.893019439206498</v>
      </c>
      <c r="Y127" s="314" t="str">
        <f t="shared" ca="1" si="51"/>
        <v/>
      </c>
      <c r="Z127" s="315" t="str">
        <f t="shared" ca="1" si="52"/>
        <v/>
      </c>
      <c r="AA127" s="316" t="str">
        <f t="shared" ca="1" si="53"/>
        <v/>
      </c>
      <c r="AC127" s="310" t="e">
        <f t="shared" ca="1" si="54"/>
        <v>#N/A</v>
      </c>
      <c r="AD127" s="323" t="e">
        <f t="shared" ca="1" si="55"/>
        <v>#N/A</v>
      </c>
      <c r="AE127" s="324">
        <f t="shared" ca="1" si="34"/>
        <v>936.59931359295331</v>
      </c>
      <c r="AG127" s="306">
        <f t="shared" ca="1" si="56"/>
        <v>-15.459596754566032</v>
      </c>
      <c r="AH127" s="304">
        <f t="shared" ca="1" si="57"/>
        <v>-6.1896922100742939</v>
      </c>
    </row>
    <row r="128" spans="1:34" x14ac:dyDescent="0.2">
      <c r="A128" s="347">
        <f t="shared" ca="1" si="35"/>
        <v>0.1</v>
      </c>
      <c r="B128" s="304">
        <f t="shared" ca="1" si="36"/>
        <v>3.4000000000000026</v>
      </c>
      <c r="D128" s="306">
        <f t="shared" ca="1" si="37"/>
        <v>-1.9732299873354875</v>
      </c>
      <c r="E128" s="307">
        <f t="shared" ca="1" si="38"/>
        <v>-15.438917751180306</v>
      </c>
      <c r="F128" s="304">
        <f t="shared" ca="1" si="39"/>
        <v>15.564505064750062</v>
      </c>
      <c r="G128" s="306">
        <f t="shared" ca="1" si="40"/>
        <v>27.785387076124984</v>
      </c>
      <c r="H128" s="307">
        <f t="shared" ca="1" si="41"/>
        <v>78.280748270615746</v>
      </c>
      <c r="I128" s="304">
        <f t="shared" ca="1" si="42"/>
        <v>83.065656469913023</v>
      </c>
      <c r="J128" s="306">
        <f t="shared" ca="1" si="43"/>
        <v>242.28825930609057</v>
      </c>
      <c r="K128" s="307">
        <f t="shared" ca="1" si="44"/>
        <v>944.50458300877074</v>
      </c>
      <c r="L128" s="304">
        <f t="shared" ca="1" si="29"/>
        <v>975.08589771473328</v>
      </c>
      <c r="M128" s="306">
        <f t="shared" ca="1" si="45"/>
        <v>1.2297226676067599</v>
      </c>
      <c r="N128" s="304">
        <f t="shared" ca="1" si="46"/>
        <v>70.457918825436337</v>
      </c>
      <c r="P128" s="310">
        <f t="shared" ca="1" si="47"/>
        <v>23</v>
      </c>
      <c r="Q128" s="304">
        <f t="shared" ca="1" si="48"/>
        <v>0</v>
      </c>
      <c r="R128" s="306">
        <f t="shared" ca="1" si="49"/>
        <v>0</v>
      </c>
      <c r="S128" s="307">
        <f t="shared" ca="1" si="50"/>
        <v>4.341000000000002</v>
      </c>
      <c r="T128" s="304">
        <f t="shared" ca="1" si="30"/>
        <v>42.585210000000025</v>
      </c>
      <c r="U128" s="311">
        <f t="shared" ca="1" si="31"/>
        <v>0</v>
      </c>
      <c r="V128" s="306">
        <f t="shared" ca="1" si="32"/>
        <v>1.1145158288800612</v>
      </c>
      <c r="W128" s="304">
        <f t="shared" ca="1" si="33"/>
        <v>24.950063955071219</v>
      </c>
      <c r="Y128" s="314" t="str">
        <f t="shared" ca="1" si="51"/>
        <v/>
      </c>
      <c r="Z128" s="315" t="str">
        <f t="shared" ca="1" si="52"/>
        <v/>
      </c>
      <c r="AA128" s="316" t="str">
        <f t="shared" ca="1" si="53"/>
        <v/>
      </c>
      <c r="AC128" s="310" t="e">
        <f t="shared" ca="1" si="54"/>
        <v>#N/A</v>
      </c>
      <c r="AD128" s="323" t="e">
        <f t="shared" ca="1" si="55"/>
        <v>#N/A</v>
      </c>
      <c r="AE128" s="324">
        <f t="shared" ca="1" si="34"/>
        <v>944.50458300877074</v>
      </c>
      <c r="AG128" s="306">
        <f t="shared" ca="1" si="56"/>
        <v>-15.222414283074604</v>
      </c>
      <c r="AH128" s="304">
        <f t="shared" ca="1" si="57"/>
        <v>-5.9647591428718005</v>
      </c>
    </row>
    <row r="129" spans="1:34" x14ac:dyDescent="0.2">
      <c r="A129" s="347">
        <f t="shared" ca="1" si="35"/>
        <v>0.1</v>
      </c>
      <c r="B129" s="304">
        <f t="shared" ca="1" si="36"/>
        <v>3.5000000000000027</v>
      </c>
      <c r="D129" s="306">
        <f t="shared" ca="1" si="37"/>
        <v>-1.9225463860008944</v>
      </c>
      <c r="E129" s="307">
        <f t="shared" ca="1" si="38"/>
        <v>-15.226457552626147</v>
      </c>
      <c r="F129" s="304">
        <f t="shared" ca="1" si="39"/>
        <v>15.347351374365902</v>
      </c>
      <c r="G129" s="306">
        <f t="shared" ca="1" si="40"/>
        <v>27.593132437524893</v>
      </c>
      <c r="H129" s="307">
        <f t="shared" ca="1" si="41"/>
        <v>76.75810251535313</v>
      </c>
      <c r="I129" s="304">
        <f t="shared" ca="1" si="42"/>
        <v>81.567072152138991</v>
      </c>
      <c r="J129" s="306">
        <f t="shared" ca="1" si="43"/>
        <v>245.05718528177306</v>
      </c>
      <c r="K129" s="307">
        <f t="shared" ca="1" si="44"/>
        <v>952.25652554806913</v>
      </c>
      <c r="L129" s="304">
        <f t="shared" ca="1" si="29"/>
        <v>983.28302868864046</v>
      </c>
      <c r="M129" s="306">
        <f t="shared" ca="1" si="45"/>
        <v>1.2256996655473897</v>
      </c>
      <c r="N129" s="304">
        <f t="shared" ca="1" si="46"/>
        <v>70.227417786461984</v>
      </c>
      <c r="P129" s="310">
        <f t="shared" ca="1" si="47"/>
        <v>23</v>
      </c>
      <c r="Q129" s="304">
        <f t="shared" ca="1" si="48"/>
        <v>0</v>
      </c>
      <c r="R129" s="306">
        <f t="shared" ca="1" si="49"/>
        <v>0</v>
      </c>
      <c r="S129" s="307">
        <f t="shared" ca="1" si="50"/>
        <v>4.341000000000002</v>
      </c>
      <c r="T129" s="304">
        <f t="shared" ca="1" si="30"/>
        <v>42.585210000000025</v>
      </c>
      <c r="U129" s="311">
        <f t="shared" ca="1" si="31"/>
        <v>0</v>
      </c>
      <c r="V129" s="306">
        <f t="shared" ca="1" si="32"/>
        <v>1.1136502518357392</v>
      </c>
      <c r="W129" s="304">
        <f t="shared" ca="1" si="33"/>
        <v>24.039253972718576</v>
      </c>
      <c r="Y129" s="314" t="str">
        <f t="shared" ca="1" si="51"/>
        <v/>
      </c>
      <c r="Z129" s="315" t="str">
        <f t="shared" ca="1" si="52"/>
        <v/>
      </c>
      <c r="AA129" s="316" t="str">
        <f t="shared" ca="1" si="53"/>
        <v/>
      </c>
      <c r="AC129" s="310" t="e">
        <f t="shared" ca="1" si="54"/>
        <v>#N/A</v>
      </c>
      <c r="AD129" s="323" t="e">
        <f t="shared" ca="1" si="55"/>
        <v>#N/A</v>
      </c>
      <c r="AE129" s="324">
        <f t="shared" ca="1" si="34"/>
        <v>952.25652554806913</v>
      </c>
      <c r="AG129" s="306">
        <f t="shared" ca="1" si="56"/>
        <v>-14.99244379881908</v>
      </c>
      <c r="AH129" s="304">
        <f t="shared" ca="1" si="57"/>
        <v>-5.7475383448678201</v>
      </c>
    </row>
    <row r="130" spans="1:34" x14ac:dyDescent="0.2">
      <c r="A130" s="347">
        <f t="shared" ca="1" si="35"/>
        <v>0.1</v>
      </c>
      <c r="B130" s="304">
        <f t="shared" ca="1" si="36"/>
        <v>3.6000000000000028</v>
      </c>
      <c r="D130" s="306">
        <f t="shared" ca="1" si="37"/>
        <v>-1.8733431288913027</v>
      </c>
      <c r="E130" s="307">
        <f t="shared" ca="1" si="38"/>
        <v>-15.021233782878527</v>
      </c>
      <c r="F130" s="304">
        <f t="shared" ca="1" si="39"/>
        <v>15.137598185922871</v>
      </c>
      <c r="G130" s="306">
        <f t="shared" ca="1" si="40"/>
        <v>27.405798124635762</v>
      </c>
      <c r="H130" s="307">
        <f t="shared" ca="1" si="41"/>
        <v>75.255979137065282</v>
      </c>
      <c r="I130" s="304">
        <f t="shared" ca="1" si="42"/>
        <v>80.090824485247339</v>
      </c>
      <c r="J130" s="306">
        <f t="shared" ca="1" si="43"/>
        <v>247.8071318098811</v>
      </c>
      <c r="K130" s="307">
        <f t="shared" ca="1" si="44"/>
        <v>959.85722963069009</v>
      </c>
      <c r="L130" s="304">
        <f t="shared" ca="1" si="29"/>
        <v>991.3295495697397</v>
      </c>
      <c r="M130" s="306">
        <f t="shared" ca="1" si="45"/>
        <v>1.2215561056855724</v>
      </c>
      <c r="N130" s="304">
        <f t="shared" ca="1" si="46"/>
        <v>69.990009294220044</v>
      </c>
      <c r="P130" s="310">
        <f t="shared" ca="1" si="47"/>
        <v>23</v>
      </c>
      <c r="Q130" s="304">
        <f t="shared" ca="1" si="48"/>
        <v>0</v>
      </c>
      <c r="R130" s="306">
        <f t="shared" ca="1" si="49"/>
        <v>0</v>
      </c>
      <c r="S130" s="307">
        <f t="shared" ca="1" si="50"/>
        <v>4.341000000000002</v>
      </c>
      <c r="T130" s="304">
        <f t="shared" ca="1" si="30"/>
        <v>42.585210000000025</v>
      </c>
      <c r="U130" s="311">
        <f t="shared" ca="1" si="31"/>
        <v>0</v>
      </c>
      <c r="V130" s="306">
        <f t="shared" ca="1" si="32"/>
        <v>1.1128021836298252</v>
      </c>
      <c r="W130" s="304">
        <f t="shared" ca="1" si="33"/>
        <v>23.159326055127206</v>
      </c>
      <c r="Y130" s="314" t="str">
        <f t="shared" ca="1" si="51"/>
        <v/>
      </c>
      <c r="Z130" s="315" t="str">
        <f t="shared" ca="1" si="52"/>
        <v/>
      </c>
      <c r="AA130" s="316" t="str">
        <f t="shared" ca="1" si="53"/>
        <v/>
      </c>
      <c r="AC130" s="310" t="e">
        <f t="shared" ca="1" si="54"/>
        <v>#N/A</v>
      </c>
      <c r="AD130" s="323" t="e">
        <f t="shared" ca="1" si="55"/>
        <v>#N/A</v>
      </c>
      <c r="AE130" s="324">
        <f t="shared" ca="1" si="34"/>
        <v>959.85722963069009</v>
      </c>
      <c r="AG130" s="306">
        <f t="shared" ca="1" si="56"/>
        <v>-14.769352091279018</v>
      </c>
      <c r="AH130" s="304">
        <f t="shared" ca="1" si="57"/>
        <v>-5.5377226382673497</v>
      </c>
    </row>
    <row r="131" spans="1:34" x14ac:dyDescent="0.2">
      <c r="A131" s="347">
        <f t="shared" ca="1" si="35"/>
        <v>0.1</v>
      </c>
      <c r="B131" s="304">
        <f t="shared" ca="1" si="36"/>
        <v>3.7000000000000028</v>
      </c>
      <c r="D131" s="306">
        <f t="shared" ca="1" si="37"/>
        <v>-1.8255587801474478</v>
      </c>
      <c r="E131" s="307">
        <f t="shared" ca="1" si="38"/>
        <v>-14.822961594749707</v>
      </c>
      <c r="F131" s="304">
        <f t="shared" ca="1" si="39"/>
        <v>14.934954144529478</v>
      </c>
      <c r="G131" s="306">
        <f t="shared" ca="1" si="40"/>
        <v>27.223242246621016</v>
      </c>
      <c r="H131" s="307">
        <f t="shared" ca="1" si="41"/>
        <v>73.773682977590312</v>
      </c>
      <c r="I131" s="304">
        <f t="shared" ca="1" si="42"/>
        <v>78.636258929937725</v>
      </c>
      <c r="J131" s="306">
        <f t="shared" ca="1" si="43"/>
        <v>250.53858382844393</v>
      </c>
      <c r="K131" s="307">
        <f t="shared" ca="1" si="44"/>
        <v>967.30871273642288</v>
      </c>
      <c r="L131" s="304">
        <f t="shared" ca="1" si="29"/>
        <v>999.22756553377656</v>
      </c>
      <c r="M131" s="306">
        <f t="shared" ca="1" si="45"/>
        <v>1.217287292275461</v>
      </c>
      <c r="N131" s="304">
        <f t="shared" ca="1" si="46"/>
        <v>69.745424302291809</v>
      </c>
      <c r="P131" s="310">
        <f t="shared" ca="1" si="47"/>
        <v>23</v>
      </c>
      <c r="Q131" s="304">
        <f t="shared" ca="1" si="48"/>
        <v>0</v>
      </c>
      <c r="R131" s="306">
        <f t="shared" ca="1" si="49"/>
        <v>0</v>
      </c>
      <c r="S131" s="307">
        <f t="shared" ca="1" si="50"/>
        <v>4.341000000000002</v>
      </c>
      <c r="T131" s="304">
        <f t="shared" ca="1" si="30"/>
        <v>42.585210000000025</v>
      </c>
      <c r="U131" s="311">
        <f t="shared" ca="1" si="31"/>
        <v>0</v>
      </c>
      <c r="V131" s="306">
        <f t="shared" ca="1" si="32"/>
        <v>1.1119713620058136</v>
      </c>
      <c r="W131" s="304">
        <f t="shared" ca="1" si="33"/>
        <v>22.309082497600738</v>
      </c>
      <c r="Y131" s="314" t="str">
        <f t="shared" ca="1" si="51"/>
        <v/>
      </c>
      <c r="Z131" s="315" t="str">
        <f t="shared" ca="1" si="52"/>
        <v/>
      </c>
      <c r="AA131" s="316" t="str">
        <f t="shared" ca="1" si="53"/>
        <v/>
      </c>
      <c r="AC131" s="310" t="e">
        <f t="shared" ca="1" si="54"/>
        <v>#N/A</v>
      </c>
      <c r="AD131" s="323" t="e">
        <f t="shared" ca="1" si="55"/>
        <v>#N/A</v>
      </c>
      <c r="AE131" s="324">
        <f t="shared" ca="1" si="34"/>
        <v>967.30871273642288</v>
      </c>
      <c r="AG131" s="306">
        <f t="shared" ca="1" si="56"/>
        <v>-14.552820393702827</v>
      </c>
      <c r="AH131" s="304">
        <f t="shared" ca="1" si="57"/>
        <v>-5.3350209756109646</v>
      </c>
    </row>
    <row r="132" spans="1:34" x14ac:dyDescent="0.2">
      <c r="A132" s="347">
        <f t="shared" ca="1" si="35"/>
        <v>0.1</v>
      </c>
      <c r="B132" s="304">
        <f t="shared" ca="1" si="36"/>
        <v>3.8000000000000029</v>
      </c>
      <c r="D132" s="306">
        <f t="shared" ca="1" si="37"/>
        <v>-1.7791350981532705</v>
      </c>
      <c r="E132" s="307">
        <f t="shared" ca="1" si="38"/>
        <v>-14.631370926960573</v>
      </c>
      <c r="F132" s="304">
        <f t="shared" ca="1" si="39"/>
        <v>14.739143017821217</v>
      </c>
      <c r="G132" s="306">
        <f t="shared" ca="1" si="40"/>
        <v>27.04532873680569</v>
      </c>
      <c r="H132" s="307">
        <f t="shared" ca="1" si="41"/>
        <v>72.310545884894253</v>
      </c>
      <c r="I132" s="304">
        <f t="shared" ca="1" si="42"/>
        <v>77.202751587318986</v>
      </c>
      <c r="J132" s="306">
        <f t="shared" ca="1" si="43"/>
        <v>253.25201237761527</v>
      </c>
      <c r="K132" s="307">
        <f t="shared" ca="1" si="44"/>
        <v>974.61292417954712</v>
      </c>
      <c r="L132" s="304">
        <f t="shared" ref="L132:L195" ca="1" si="58">SQRT(pos_x^2+pos_z^2)</f>
        <v>1006.9791128673521</v>
      </c>
      <c r="M132" s="306">
        <f t="shared" ca="1" si="45"/>
        <v>1.2128882854839391</v>
      </c>
      <c r="N132" s="304">
        <f t="shared" ca="1" si="46"/>
        <v>69.493379779088229</v>
      </c>
      <c r="P132" s="310">
        <f t="shared" ca="1" si="47"/>
        <v>23</v>
      </c>
      <c r="Q132" s="304">
        <f t="shared" ca="1" si="48"/>
        <v>0</v>
      </c>
      <c r="R132" s="306">
        <f t="shared" ca="1" si="49"/>
        <v>0</v>
      </c>
      <c r="S132" s="307">
        <f t="shared" ca="1" si="50"/>
        <v>4.341000000000002</v>
      </c>
      <c r="T132" s="304">
        <f t="shared" ref="T132:T195" ca="1" si="59">m*g</f>
        <v>42.585210000000025</v>
      </c>
      <c r="U132" s="311">
        <f t="shared" ref="U132:U195" ca="1" si="60">IF(pos_xz&lt;L_rampe,Poids*COS(Beta),0)</f>
        <v>0</v>
      </c>
      <c r="V132" s="306">
        <f t="shared" ref="V132:V195" ca="1" si="61">Rho_moyen*(20000-Alt_rampe-pos_z)/(20000+Alt_rampe+pos_z)</f>
        <v>1.1111575337351172</v>
      </c>
      <c r="W132" s="304">
        <f t="shared" ref="W132:W195" ca="1" si="62">1/2*Rho*Sref*Cx*vit_xz^2</f>
        <v>21.487387345481572</v>
      </c>
      <c r="Y132" s="314" t="str">
        <f t="shared" ca="1" si="51"/>
        <v/>
      </c>
      <c r="Z132" s="315" t="str">
        <f t="shared" ca="1" si="52"/>
        <v/>
      </c>
      <c r="AA132" s="316" t="str">
        <f t="shared" ca="1" si="53"/>
        <v/>
      </c>
      <c r="AC132" s="310" t="e">
        <f t="shared" ca="1" si="54"/>
        <v>#N/A</v>
      </c>
      <c r="AD132" s="323" t="e">
        <f t="shared" ca="1" si="55"/>
        <v>#N/A</v>
      </c>
      <c r="AE132" s="324">
        <f t="shared" ref="AE132:AE195" ca="1" si="63">IF(t&lt;T_para, pos_z, NA())</f>
        <v>974.61292417954712</v>
      </c>
      <c r="AG132" s="306">
        <f t="shared" ca="1" si="56"/>
        <v>-14.342543267025007</v>
      </c>
      <c r="AH132" s="304">
        <f t="shared" ca="1" si="57"/>
        <v>-5.1391574516472538</v>
      </c>
    </row>
    <row r="133" spans="1:34" x14ac:dyDescent="0.2">
      <c r="A133" s="347">
        <f t="shared" ref="A133:A196" ca="1" si="64">IF(B132+0.01&lt;=T_ini+ROUNDUP(Temps_fin_propu,0), 0.01, IF(K132&gt;0, 0.1, 0.0001))</f>
        <v>0.1</v>
      </c>
      <c r="B133" s="304">
        <f t="shared" ref="B133:B196" ca="1" si="65">B132+pas</f>
        <v>3.900000000000003</v>
      </c>
      <c r="D133" s="306">
        <f t="shared" ref="D133:D196" ca="1" si="66">IF(AND(L132&lt;L_rampe,Poussee&lt;Poids*SIN(M132)),0,(-W132+Poussee)/m*COS(M132)-U132/m*SIN(M132))</f>
        <v>-1.7340168457809018</v>
      </c>
      <c r="E133" s="307">
        <f t="shared" ref="E133:E196" ca="1" si="67">IF(AND(L132&lt;L_rampe,Poussee&lt;Poids*SIN(M132)),0,(-W132+Poussee)/m*SIN(M132)+U132/m*COS(M132)-Poids/m)</f>
        <v>-14.44620560549448</v>
      </c>
      <c r="F133" s="304">
        <f t="shared" ref="F133:F196" ca="1" si="68">SQRT(acc_x^2+acc_z^2)</f>
        <v>14.549902776914768</v>
      </c>
      <c r="G133" s="306">
        <f t="shared" ref="G133:G196" ca="1" si="69">G132+acc_x*pas</f>
        <v>26.871927052227601</v>
      </c>
      <c r="H133" s="307">
        <f t="shared" ref="H133:H196" ca="1" si="70">H132+acc_z*pas</f>
        <v>70.865925324344801</v>
      </c>
      <c r="I133" s="304">
        <f t="shared" ref="I133:I196" ca="1" si="71">SQRT(vit_x^2+vit_z^2)</f>
        <v>75.789707979222712</v>
      </c>
      <c r="J133" s="306">
        <f t="shared" ref="J133:J196" ca="1" si="72">J132+0.5*(vit_x+G132)*pas*(K132&gt;=0)</f>
        <v>255.94787516706694</v>
      </c>
      <c r="K133" s="307">
        <f t="shared" ref="K133:K196" ca="1" si="73">K132+0.5*(vit_z+H132)*pas</f>
        <v>981.77174774000912</v>
      </c>
      <c r="L133" s="304">
        <f t="shared" ca="1" si="58"/>
        <v>1014.5861616752953</v>
      </c>
      <c r="M133" s="306">
        <f t="shared" ref="M133:M196" ca="1" si="74">IF(AND(L132&gt;L_rampe,G133&gt;0),ATAN2(G133,H133),$M$4)</f>
        <v>1.2083538863329244</v>
      </c>
      <c r="N133" s="304">
        <f t="shared" ref="N133:N196" ca="1" si="75">DEGREES(Beta)</f>
        <v>69.233577845107376</v>
      </c>
      <c r="P133" s="310">
        <f t="shared" ref="P133:P196" ca="1" si="76">MATCH(t-pas/2-T_ini,CdP_t)</f>
        <v>23</v>
      </c>
      <c r="Q133" s="304">
        <f t="shared" ref="Q133:Q196" ca="1" si="77">(INDEX(CdP,2,i_P+1)-INDEX(CdP,2,i_P+0))/(INDEX(CdP,1,i_P+1)-INDEX(CdP,1,i_P+0))*(t-pas/2-T_ini-INDEX(CdP,1,i_P+0))+INDEX(CdP,2,i_P+0)</f>
        <v>0</v>
      </c>
      <c r="R133" s="306">
        <f t="shared" ref="R133:R196" ca="1" si="78">Poussee/(g*ISP)</f>
        <v>0</v>
      </c>
      <c r="S133" s="307">
        <f t="shared" ref="S133:S196" ca="1" si="79">S132-Débit*pas</f>
        <v>4.341000000000002</v>
      </c>
      <c r="T133" s="304">
        <f t="shared" ca="1" si="59"/>
        <v>42.585210000000025</v>
      </c>
      <c r="U133" s="311">
        <f t="shared" ca="1" si="60"/>
        <v>0</v>
      </c>
      <c r="V133" s="306">
        <f t="shared" ca="1" si="61"/>
        <v>1.1103604542608705</v>
      </c>
      <c r="W133" s="304">
        <f t="shared" ca="1" si="62"/>
        <v>20.693162694174088</v>
      </c>
      <c r="Y133" s="314" t="str">
        <f t="shared" ref="Y133:Y196" ca="1" si="80">IF(AND(pos_z&lt;=0,K132&gt;0),"Impact balistique","") &amp; IF(AND(H134&lt;0,vit_z&gt;=0),"Apogée","") &amp; IF(AND(Poussee=0,Q132&gt;0),"Fin de propulsion","") &amp; IF(AND(L134&gt;L_rampe,pos_xz&lt;=L_rampe),"Sortie de rampe","")</f>
        <v/>
      </c>
      <c r="Z133" s="315" t="str">
        <f t="shared" ref="Z133:Z196" ca="1" si="81">IF(ABS(t-T_para)&lt;pas/2,"Para","")</f>
        <v/>
      </c>
      <c r="AA133" s="316" t="str">
        <f t="shared" ref="AA133:AA196" ca="1" si="82">IF(ABS(t-T_satellite)&lt;pas/2,"Satellite","")</f>
        <v/>
      </c>
      <c r="AC133" s="310" t="e">
        <f t="shared" ref="AC133:AC196" ca="1" si="83">IF(ABS(t-ROUND(t,0))&lt;0.001,t,NA())</f>
        <v>#N/A</v>
      </c>
      <c r="AD133" s="323" t="e">
        <f t="shared" ref="AD133:AD196" ca="1" si="84">IF(ABS(t-ROUND(t,0))&lt;0.001,pos_x,NA())</f>
        <v>#N/A</v>
      </c>
      <c r="AE133" s="324">
        <f t="shared" ca="1" si="63"/>
        <v>981.77174774000912</v>
      </c>
      <c r="AG133" s="306">
        <f t="shared" ref="AG133:AG196" ca="1" si="85">IF(AND(L132&lt;L_rampe,Poussee&lt;Poids*SIN(M132)),0,(-W132+Poussee)/m-Poids*SIN(M132)/m)</f>
        <v>-14.138227543528586</v>
      </c>
      <c r="AH133" s="304">
        <f t="shared" ref="AH133:AH196" ca="1" si="86">IF(AND(L132&lt;L_rampe,Poussee&lt;Poids*SIN(M132)), g*SIN(M132), (-W132+Poussee)/m)</f>
        <v>-4.9498703859667268</v>
      </c>
    </row>
    <row r="134" spans="1:34" x14ac:dyDescent="0.2">
      <c r="A134" s="347">
        <f t="shared" ca="1" si="64"/>
        <v>0.1</v>
      </c>
      <c r="B134" s="304">
        <f t="shared" ca="1" si="65"/>
        <v>4.0000000000000027</v>
      </c>
      <c r="D134" s="306">
        <f t="shared" ca="1" si="66"/>
        <v>-1.6901516145089357</v>
      </c>
      <c r="E134" s="307">
        <f t="shared" ca="1" si="67"/>
        <v>-14.267222508375415</v>
      </c>
      <c r="F134" s="304">
        <f t="shared" ca="1" si="68"/>
        <v>14.366984742231796</v>
      </c>
      <c r="G134" s="306">
        <f t="shared" ca="1" si="69"/>
        <v>26.702911890776708</v>
      </c>
      <c r="H134" s="307">
        <f t="shared" ca="1" si="70"/>
        <v>69.439203073507258</v>
      </c>
      <c r="I134" s="304">
        <f t="shared" ca="1" si="71"/>
        <v>74.396561929502923</v>
      </c>
      <c r="J134" s="306">
        <f t="shared" ca="1" si="72"/>
        <v>258.62661711421714</v>
      </c>
      <c r="K134" s="307">
        <f t="shared" ca="1" si="73"/>
        <v>988.7870041599017</v>
      </c>
      <c r="L134" s="304">
        <f t="shared" ca="1" si="58"/>
        <v>1022.0506184506995</v>
      </c>
      <c r="M134" s="306">
        <f t="shared" ca="1" si="74"/>
        <v>1.203678620586331</v>
      </c>
      <c r="N134" s="304">
        <f t="shared" ca="1" si="75"/>
        <v>68.965704849725498</v>
      </c>
      <c r="P134" s="310">
        <f t="shared" ca="1" si="76"/>
        <v>23</v>
      </c>
      <c r="Q134" s="304">
        <f t="shared" ca="1" si="77"/>
        <v>0</v>
      </c>
      <c r="R134" s="306">
        <f t="shared" ca="1" si="78"/>
        <v>0</v>
      </c>
      <c r="S134" s="307">
        <f t="shared" ca="1" si="79"/>
        <v>4.341000000000002</v>
      </c>
      <c r="T134" s="304">
        <f t="shared" ca="1" si="59"/>
        <v>42.585210000000025</v>
      </c>
      <c r="U134" s="311">
        <f t="shared" ca="1" si="60"/>
        <v>0</v>
      </c>
      <c r="V134" s="306">
        <f t="shared" ca="1" si="61"/>
        <v>1.1095798873602549</v>
      </c>
      <c r="W134" s="304">
        <f t="shared" ca="1" si="62"/>
        <v>19.925385248860106</v>
      </c>
      <c r="Y134" s="314" t="str">
        <f t="shared" ca="1" si="80"/>
        <v/>
      </c>
      <c r="Z134" s="315" t="str">
        <f t="shared" ca="1" si="81"/>
        <v/>
      </c>
      <c r="AA134" s="316" t="str">
        <f t="shared" ca="1" si="82"/>
        <v/>
      </c>
      <c r="AC134" s="310">
        <f t="shared" ca="1" si="83"/>
        <v>4.0000000000000027</v>
      </c>
      <c r="AD134" s="323">
        <f t="shared" ca="1" si="84"/>
        <v>258.62661711421714</v>
      </c>
      <c r="AE134" s="324">
        <f t="shared" ca="1" si="63"/>
        <v>988.7870041599017</v>
      </c>
      <c r="AG134" s="306">
        <f t="shared" ca="1" si="85"/>
        <v>-13.939591323484967</v>
      </c>
      <c r="AH134" s="304">
        <f t="shared" ca="1" si="86"/>
        <v>-4.7669114706689886</v>
      </c>
    </row>
    <row r="135" spans="1:34" x14ac:dyDescent="0.2">
      <c r="A135" s="347">
        <f t="shared" ca="1" si="64"/>
        <v>0.1</v>
      </c>
      <c r="B135" s="304">
        <f t="shared" ca="1" si="65"/>
        <v>4.1000000000000023</v>
      </c>
      <c r="D135" s="306">
        <f t="shared" ca="1" si="66"/>
        <v>-1.6474896613428904</v>
      </c>
      <c r="E135" s="307">
        <f t="shared" ca="1" si="67"/>
        <v>-14.0941907887584</v>
      </c>
      <c r="F135" s="304">
        <f t="shared" ca="1" si="68"/>
        <v>14.19015278896439</v>
      </c>
      <c r="G135" s="306">
        <f t="shared" ca="1" si="69"/>
        <v>26.538162924642418</v>
      </c>
      <c r="H135" s="307">
        <f t="shared" ca="1" si="70"/>
        <v>68.029783994631416</v>
      </c>
      <c r="I135" s="304">
        <f t="shared" ca="1" si="71"/>
        <v>73.02277454172139</v>
      </c>
      <c r="J135" s="306">
        <f t="shared" ca="1" si="72"/>
        <v>261.28867085498808</v>
      </c>
      <c r="K135" s="307">
        <f t="shared" ca="1" si="73"/>
        <v>995.66045351330865</v>
      </c>
      <c r="L135" s="304">
        <f t="shared" ca="1" si="58"/>
        <v>1029.3743285158678</v>
      </c>
      <c r="M135" s="306">
        <f t="shared" ca="1" si="74"/>
        <v>1.1988567215034447</v>
      </c>
      <c r="N135" s="304">
        <f t="shared" ca="1" si="75"/>
        <v>68.689430383038101</v>
      </c>
      <c r="P135" s="310">
        <f t="shared" ca="1" si="76"/>
        <v>23</v>
      </c>
      <c r="Q135" s="304">
        <f t="shared" ca="1" si="77"/>
        <v>0</v>
      </c>
      <c r="R135" s="306">
        <f t="shared" ca="1" si="78"/>
        <v>0</v>
      </c>
      <c r="S135" s="307">
        <f t="shared" ca="1" si="79"/>
        <v>4.341000000000002</v>
      </c>
      <c r="T135" s="304">
        <f t="shared" ca="1" si="59"/>
        <v>42.585210000000025</v>
      </c>
      <c r="U135" s="311">
        <f t="shared" ca="1" si="60"/>
        <v>0</v>
      </c>
      <c r="V135" s="306">
        <f t="shared" ca="1" si="61"/>
        <v>1.1088156048242144</v>
      </c>
      <c r="W135" s="304">
        <f t="shared" ca="1" si="62"/>
        <v>19.183083123313658</v>
      </c>
      <c r="Y135" s="314" t="str">
        <f t="shared" ca="1" si="80"/>
        <v/>
      </c>
      <c r="Z135" s="315" t="str">
        <f t="shared" ca="1" si="81"/>
        <v/>
      </c>
      <c r="AA135" s="316" t="str">
        <f t="shared" ca="1" si="82"/>
        <v/>
      </c>
      <c r="AC135" s="310" t="e">
        <f t="shared" ca="1" si="83"/>
        <v>#N/A</v>
      </c>
      <c r="AD135" s="323" t="e">
        <f t="shared" ca="1" si="84"/>
        <v>#N/A</v>
      </c>
      <c r="AE135" s="324">
        <f t="shared" ca="1" si="63"/>
        <v>995.66045351330865</v>
      </c>
      <c r="AG135" s="306">
        <f t="shared" ca="1" si="85"/>
        <v>-13.746363018417881</v>
      </c>
      <c r="AH135" s="304">
        <f t="shared" ca="1" si="86"/>
        <v>-4.5900449778530517</v>
      </c>
    </row>
    <row r="136" spans="1:34" x14ac:dyDescent="0.2">
      <c r="A136" s="347">
        <f t="shared" ca="1" si="64"/>
        <v>0.1</v>
      </c>
      <c r="B136" s="304">
        <f t="shared" ca="1" si="65"/>
        <v>4.200000000000002</v>
      </c>
      <c r="D136" s="306">
        <f t="shared" ca="1" si="66"/>
        <v>-1.6059837575666196</v>
      </c>
      <c r="E136" s="307">
        <f t="shared" ca="1" si="67"/>
        <v>-13.92689115167401</v>
      </c>
      <c r="F136" s="304">
        <f t="shared" ca="1" si="68"/>
        <v>14.019182607418438</v>
      </c>
      <c r="G136" s="306">
        <f t="shared" ca="1" si="69"/>
        <v>26.377564548885754</v>
      </c>
      <c r="H136" s="307">
        <f t="shared" ca="1" si="70"/>
        <v>66.637094879464016</v>
      </c>
      <c r="I136" s="304">
        <f t="shared" ca="1" si="71"/>
        <v>71.667833269224232</v>
      </c>
      <c r="J136" s="306">
        <f t="shared" ca="1" si="72"/>
        <v>263.93445722866448</v>
      </c>
      <c r="K136" s="307">
        <f t="shared" ca="1" si="73"/>
        <v>1002.3937974570134</v>
      </c>
      <c r="L136" s="304">
        <f t="shared" ca="1" si="58"/>
        <v>1036.5590783418386</v>
      </c>
      <c r="M136" s="306">
        <f t="shared" ca="1" si="74"/>
        <v>1.1938821113749931</v>
      </c>
      <c r="N136" s="304">
        <f t="shared" ca="1" si="75"/>
        <v>68.404406217954801</v>
      </c>
      <c r="P136" s="310">
        <f t="shared" ca="1" si="76"/>
        <v>23</v>
      </c>
      <c r="Q136" s="304">
        <f t="shared" ca="1" si="77"/>
        <v>0</v>
      </c>
      <c r="R136" s="306">
        <f t="shared" ca="1" si="78"/>
        <v>0</v>
      </c>
      <c r="S136" s="307">
        <f t="shared" ca="1" si="79"/>
        <v>4.341000000000002</v>
      </c>
      <c r="T136" s="304">
        <f t="shared" ca="1" si="59"/>
        <v>42.585210000000025</v>
      </c>
      <c r="U136" s="311">
        <f t="shared" ca="1" si="60"/>
        <v>0</v>
      </c>
      <c r="V136" s="306">
        <f t="shared" ca="1" si="61"/>
        <v>1.1080673861535231</v>
      </c>
      <c r="W136" s="304">
        <f t="shared" ca="1" si="62"/>
        <v>18.465332859046963</v>
      </c>
      <c r="Y136" s="314" t="str">
        <f t="shared" ca="1" si="80"/>
        <v/>
      </c>
      <c r="Z136" s="315" t="str">
        <f t="shared" ca="1" si="81"/>
        <v/>
      </c>
      <c r="AA136" s="316" t="str">
        <f t="shared" ca="1" si="82"/>
        <v/>
      </c>
      <c r="AC136" s="310" t="e">
        <f t="shared" ca="1" si="83"/>
        <v>#N/A</v>
      </c>
      <c r="AD136" s="323" t="e">
        <f t="shared" ca="1" si="84"/>
        <v>#N/A</v>
      </c>
      <c r="AE136" s="324">
        <f t="shared" ca="1" si="63"/>
        <v>1002.3937974570134</v>
      </c>
      <c r="AG136" s="306">
        <f t="shared" ca="1" si="85"/>
        <v>-13.558280434990712</v>
      </c>
      <c r="AH136" s="304">
        <f t="shared" ca="1" si="86"/>
        <v>-4.4190470221869731</v>
      </c>
    </row>
    <row r="137" spans="1:34" x14ac:dyDescent="0.2">
      <c r="A137" s="347">
        <f t="shared" ca="1" si="64"/>
        <v>0.1</v>
      </c>
      <c r="B137" s="304">
        <f t="shared" ca="1" si="65"/>
        <v>4.3000000000000016</v>
      </c>
      <c r="D137" s="306">
        <f t="shared" ca="1" si="66"/>
        <v>-1.5655890484438888</v>
      </c>
      <c r="E137" s="307">
        <f t="shared" ca="1" si="67"/>
        <v>-13.765115180177322</v>
      </c>
      <c r="F137" s="304">
        <f t="shared" ca="1" si="68"/>
        <v>13.853861013889073</v>
      </c>
      <c r="G137" s="306">
        <f t="shared" ca="1" si="69"/>
        <v>26.221005644041366</v>
      </c>
      <c r="H137" s="307">
        <f t="shared" ca="1" si="70"/>
        <v>65.26058336144628</v>
      </c>
      <c r="I137" s="304">
        <f t="shared" ca="1" si="71"/>
        <v>70.331251074192679</v>
      </c>
      <c r="J137" s="306">
        <f t="shared" ca="1" si="72"/>
        <v>266.56438573831082</v>
      </c>
      <c r="K137" s="307">
        <f t="shared" ca="1" si="73"/>
        <v>1008.9886813690589</v>
      </c>
      <c r="L137" s="304">
        <f t="shared" ca="1" si="58"/>
        <v>1043.6065977536339</v>
      </c>
      <c r="M137" s="306">
        <f t="shared" ca="1" si="74"/>
        <v>1.1887483817525053</v>
      </c>
      <c r="N137" s="304">
        <f t="shared" ca="1" si="75"/>
        <v>68.110265177424964</v>
      </c>
      <c r="P137" s="310">
        <f t="shared" ca="1" si="76"/>
        <v>23</v>
      </c>
      <c r="Q137" s="304">
        <f t="shared" ca="1" si="77"/>
        <v>0</v>
      </c>
      <c r="R137" s="306">
        <f t="shared" ca="1" si="78"/>
        <v>0</v>
      </c>
      <c r="S137" s="307">
        <f t="shared" ca="1" si="79"/>
        <v>4.341000000000002</v>
      </c>
      <c r="T137" s="304">
        <f t="shared" ca="1" si="59"/>
        <v>42.585210000000025</v>
      </c>
      <c r="U137" s="311">
        <f t="shared" ca="1" si="60"/>
        <v>0</v>
      </c>
      <c r="V137" s="306">
        <f t="shared" ca="1" si="61"/>
        <v>1.1073350182702322</v>
      </c>
      <c r="W137" s="304">
        <f t="shared" ca="1" si="62"/>
        <v>17.771256647665755</v>
      </c>
      <c r="Y137" s="314" t="str">
        <f t="shared" ca="1" si="80"/>
        <v/>
      </c>
      <c r="Z137" s="315" t="str">
        <f t="shared" ca="1" si="81"/>
        <v/>
      </c>
      <c r="AA137" s="316" t="str">
        <f t="shared" ca="1" si="82"/>
        <v/>
      </c>
      <c r="AC137" s="310" t="e">
        <f t="shared" ca="1" si="83"/>
        <v>#N/A</v>
      </c>
      <c r="AD137" s="323" t="e">
        <f t="shared" ca="1" si="84"/>
        <v>#N/A</v>
      </c>
      <c r="AE137" s="324">
        <f t="shared" ca="1" si="63"/>
        <v>1008.9886813690589</v>
      </c>
      <c r="AG137" s="306">
        <f t="shared" ca="1" si="85"/>
        <v>-13.375089893811714</v>
      </c>
      <c r="AH137" s="304">
        <f t="shared" ca="1" si="86"/>
        <v>-4.2537048742333461</v>
      </c>
    </row>
    <row r="138" spans="1:34" x14ac:dyDescent="0.2">
      <c r="A138" s="347">
        <f t="shared" ca="1" si="64"/>
        <v>0.1</v>
      </c>
      <c r="B138" s="304">
        <f t="shared" ca="1" si="65"/>
        <v>4.4000000000000012</v>
      </c>
      <c r="D138" s="306">
        <f t="shared" ca="1" si="66"/>
        <v>-1.5262629230713991</v>
      </c>
      <c r="E138" s="307">
        <f t="shared" ca="1" si="67"/>
        <v>-13.608664707019752</v>
      </c>
      <c r="F138" s="304">
        <f t="shared" ca="1" si="68"/>
        <v>13.693985308098862</v>
      </c>
      <c r="G138" s="306">
        <f t="shared" ca="1" si="69"/>
        <v>26.068379351734226</v>
      </c>
      <c r="H138" s="307">
        <f t="shared" ca="1" si="70"/>
        <v>63.899716890744301</v>
      </c>
      <c r="I138" s="304">
        <f t="shared" ca="1" si="71"/>
        <v>69.012565672804797</v>
      </c>
      <c r="J138" s="306">
        <f t="shared" ca="1" si="72"/>
        <v>269.1788549880996</v>
      </c>
      <c r="K138" s="307">
        <f t="shared" ca="1" si="73"/>
        <v>1015.4466963816684</v>
      </c>
      <c r="L138" s="304">
        <f t="shared" ca="1" si="58"/>
        <v>1050.5185620278912</v>
      </c>
      <c r="M138" s="306">
        <f t="shared" ca="1" si="74"/>
        <v>1.1834487722756961</v>
      </c>
      <c r="N138" s="304">
        <f t="shared" ca="1" si="75"/>
        <v>67.806619921336264</v>
      </c>
      <c r="P138" s="310">
        <f t="shared" ca="1" si="76"/>
        <v>23</v>
      </c>
      <c r="Q138" s="304">
        <f t="shared" ca="1" si="77"/>
        <v>0</v>
      </c>
      <c r="R138" s="306">
        <f t="shared" ca="1" si="78"/>
        <v>0</v>
      </c>
      <c r="S138" s="307">
        <f t="shared" ca="1" si="79"/>
        <v>4.341000000000002</v>
      </c>
      <c r="T138" s="304">
        <f t="shared" ca="1" si="59"/>
        <v>42.585210000000025</v>
      </c>
      <c r="U138" s="311">
        <f t="shared" ca="1" si="60"/>
        <v>0</v>
      </c>
      <c r="V138" s="306">
        <f t="shared" ca="1" si="61"/>
        <v>1.1066182952435921</v>
      </c>
      <c r="W138" s="304">
        <f t="shared" ca="1" si="62"/>
        <v>17.100019740799681</v>
      </c>
      <c r="Y138" s="314" t="str">
        <f t="shared" ca="1" si="80"/>
        <v/>
      </c>
      <c r="Z138" s="315" t="str">
        <f t="shared" ca="1" si="81"/>
        <v/>
      </c>
      <c r="AA138" s="316" t="str">
        <f t="shared" ca="1" si="82"/>
        <v/>
      </c>
      <c r="AC138" s="310" t="e">
        <f t="shared" ca="1" si="83"/>
        <v>#N/A</v>
      </c>
      <c r="AD138" s="323" t="e">
        <f t="shared" ca="1" si="84"/>
        <v>#N/A</v>
      </c>
      <c r="AE138" s="324">
        <f t="shared" ca="1" si="63"/>
        <v>1015.4466963816684</v>
      </c>
      <c r="AG138" s="306">
        <f t="shared" ca="1" si="85"/>
        <v>-13.196545377694104</v>
      </c>
      <c r="AH138" s="304">
        <f t="shared" ca="1" si="86"/>
        <v>-4.0938163205864422</v>
      </c>
    </row>
    <row r="139" spans="1:34" x14ac:dyDescent="0.2">
      <c r="A139" s="347">
        <f t="shared" ca="1" si="64"/>
        <v>0.1</v>
      </c>
      <c r="B139" s="304">
        <f t="shared" ca="1" si="65"/>
        <v>4.5000000000000009</v>
      </c>
      <c r="D139" s="306">
        <f t="shared" ca="1" si="66"/>
        <v>-1.4879648936591625</v>
      </c>
      <c r="E139" s="307">
        <f t="shared" ca="1" si="67"/>
        <v>-13.457351228294197</v>
      </c>
      <c r="F139" s="304">
        <f t="shared" ca="1" si="68"/>
        <v>13.539362673568998</v>
      </c>
      <c r="G139" s="306">
        <f t="shared" ca="1" si="69"/>
        <v>25.919582862368308</v>
      </c>
      <c r="H139" s="307">
        <f t="shared" ca="1" si="70"/>
        <v>62.553981767914884</v>
      </c>
      <c r="I139" s="304">
        <f t="shared" ca="1" si="71"/>
        <v>67.711338864179936</v>
      </c>
      <c r="J139" s="306">
        <f t="shared" ca="1" si="72"/>
        <v>271.77825309880473</v>
      </c>
      <c r="K139" s="307">
        <f t="shared" ca="1" si="73"/>
        <v>1021.7693813146013</v>
      </c>
      <c r="L139" s="304">
        <f t="shared" ca="1" si="58"/>
        <v>1057.2965938890852</v>
      </c>
      <c r="M139" s="306">
        <f t="shared" ca="1" si="74"/>
        <v>1.1779761479966162</v>
      </c>
      <c r="N139" s="304">
        <f t="shared" ca="1" si="75"/>
        <v>67.493061647284151</v>
      </c>
      <c r="P139" s="310">
        <f t="shared" ca="1" si="76"/>
        <v>23</v>
      </c>
      <c r="Q139" s="304">
        <f t="shared" ca="1" si="77"/>
        <v>0</v>
      </c>
      <c r="R139" s="306">
        <f t="shared" ca="1" si="78"/>
        <v>0</v>
      </c>
      <c r="S139" s="307">
        <f t="shared" ca="1" si="79"/>
        <v>4.341000000000002</v>
      </c>
      <c r="T139" s="304">
        <f t="shared" ca="1" si="59"/>
        <v>42.585210000000025</v>
      </c>
      <c r="U139" s="311">
        <f t="shared" ca="1" si="60"/>
        <v>0</v>
      </c>
      <c r="V139" s="306">
        <f t="shared" ca="1" si="61"/>
        <v>1.1059170180296107</v>
      </c>
      <c r="W139" s="304">
        <f t="shared" ca="1" si="62"/>
        <v>16.450828033317922</v>
      </c>
      <c r="Y139" s="314" t="str">
        <f t="shared" ca="1" si="80"/>
        <v/>
      </c>
      <c r="Z139" s="315" t="str">
        <f t="shared" ca="1" si="81"/>
        <v/>
      </c>
      <c r="AA139" s="316" t="str">
        <f t="shared" ca="1" si="82"/>
        <v/>
      </c>
      <c r="AC139" s="310" t="e">
        <f t="shared" ca="1" si="83"/>
        <v>#N/A</v>
      </c>
      <c r="AD139" s="323" t="e">
        <f t="shared" ca="1" si="84"/>
        <v>#N/A</v>
      </c>
      <c r="AE139" s="324">
        <f t="shared" ca="1" si="63"/>
        <v>1021.7693813146013</v>
      </c>
      <c r="AG139" s="306">
        <f t="shared" ca="1" si="85"/>
        <v>-13.022407704100564</v>
      </c>
      <c r="AH139" s="304">
        <f t="shared" ca="1" si="86"/>
        <v>-3.9391890672194592</v>
      </c>
    </row>
    <row r="140" spans="1:34" x14ac:dyDescent="0.2">
      <c r="A140" s="347">
        <f t="shared" ca="1" si="64"/>
        <v>0.1</v>
      </c>
      <c r="B140" s="304">
        <f t="shared" ca="1" si="65"/>
        <v>4.6000000000000005</v>
      </c>
      <c r="D140" s="306">
        <f t="shared" ca="1" si="66"/>
        <v>-1.4506564835821436</v>
      </c>
      <c r="E140" s="307">
        <f t="shared" ca="1" si="67"/>
        <v>-13.310995355803094</v>
      </c>
      <c r="F140" s="304">
        <f t="shared" ca="1" si="68"/>
        <v>13.389809617599887</v>
      </c>
      <c r="G140" s="306">
        <f t="shared" ca="1" si="69"/>
        <v>25.774517214010093</v>
      </c>
      <c r="H140" s="307">
        <f t="shared" ca="1" si="70"/>
        <v>61.222882232334577</v>
      </c>
      <c r="I140" s="304">
        <f t="shared" ca="1" si="71"/>
        <v>66.427155941298679</v>
      </c>
      <c r="J140" s="306">
        <f t="shared" ca="1" si="72"/>
        <v>274.36295810262362</v>
      </c>
      <c r="K140" s="307">
        <f t="shared" ca="1" si="73"/>
        <v>1027.9582245146139</v>
      </c>
      <c r="L140" s="304">
        <f t="shared" ca="1" si="58"/>
        <v>1063.9422654101395</v>
      </c>
      <c r="M140" s="306">
        <f t="shared" ca="1" si="74"/>
        <v>1.172322975093294</v>
      </c>
      <c r="N140" s="304">
        <f t="shared" ca="1" si="75"/>
        <v>67.169158699066074</v>
      </c>
      <c r="P140" s="310">
        <f t="shared" ca="1" si="76"/>
        <v>23</v>
      </c>
      <c r="Q140" s="304">
        <f t="shared" ca="1" si="77"/>
        <v>0</v>
      </c>
      <c r="R140" s="306">
        <f t="shared" ca="1" si="78"/>
        <v>0</v>
      </c>
      <c r="S140" s="307">
        <f t="shared" ca="1" si="79"/>
        <v>4.341000000000002</v>
      </c>
      <c r="T140" s="304">
        <f t="shared" ca="1" si="59"/>
        <v>42.585210000000025</v>
      </c>
      <c r="U140" s="311">
        <f t="shared" ca="1" si="60"/>
        <v>0</v>
      </c>
      <c r="V140" s="306">
        <f t="shared" ca="1" si="61"/>
        <v>1.1052309942234566</v>
      </c>
      <c r="W140" s="304">
        <f t="shared" ca="1" si="62"/>
        <v>15.82292580675729</v>
      </c>
      <c r="Y140" s="314" t="str">
        <f t="shared" ca="1" si="80"/>
        <v/>
      </c>
      <c r="Z140" s="315" t="str">
        <f t="shared" ca="1" si="81"/>
        <v/>
      </c>
      <c r="AA140" s="316" t="str">
        <f t="shared" ca="1" si="82"/>
        <v/>
      </c>
      <c r="AC140" s="310" t="e">
        <f t="shared" ca="1" si="83"/>
        <v>#N/A</v>
      </c>
      <c r="AD140" s="323" t="e">
        <f t="shared" ca="1" si="84"/>
        <v>#N/A</v>
      </c>
      <c r="AE140" s="324">
        <f t="shared" ca="1" si="63"/>
        <v>1027.9582245146139</v>
      </c>
      <c r="AG140" s="306">
        <f t="shared" ca="1" si="85"/>
        <v>-12.852443716647892</v>
      </c>
      <c r="AH140" s="304">
        <f t="shared" ca="1" si="86"/>
        <v>-3.7896401827500381</v>
      </c>
    </row>
    <row r="141" spans="1:34" x14ac:dyDescent="0.2">
      <c r="A141" s="347">
        <f t="shared" ca="1" si="64"/>
        <v>0.1</v>
      </c>
      <c r="B141" s="304">
        <f t="shared" ca="1" si="65"/>
        <v>4.7</v>
      </c>
      <c r="D141" s="306">
        <f t="shared" ca="1" si="66"/>
        <v>-1.4143011236091816</v>
      </c>
      <c r="E141" s="307">
        <f t="shared" ca="1" si="67"/>
        <v>-13.16942630516926</v>
      </c>
      <c r="F141" s="304">
        <f t="shared" ca="1" si="68"/>
        <v>13.245151447813885</v>
      </c>
      <c r="G141" s="306">
        <f t="shared" ca="1" si="69"/>
        <v>25.633087101649174</v>
      </c>
      <c r="H141" s="307">
        <f t="shared" ca="1" si="70"/>
        <v>59.90593960181765</v>
      </c>
      <c r="I141" s="304">
        <f t="shared" ca="1" si="71"/>
        <v>65.159625182603349</v>
      </c>
      <c r="J141" s="306">
        <f t="shared" ca="1" si="72"/>
        <v>276.93333831840658</v>
      </c>
      <c r="K141" s="307">
        <f t="shared" ca="1" si="73"/>
        <v>1034.0146656063216</v>
      </c>
      <c r="L141" s="304">
        <f t="shared" ca="1" si="58"/>
        <v>1070.4570998228421</v>
      </c>
      <c r="M141" s="306">
        <f t="shared" ca="1" si="74"/>
        <v>1.166481294859633</v>
      </c>
      <c r="N141" s="304">
        <f t="shared" ca="1" si="75"/>
        <v>66.834455076412297</v>
      </c>
      <c r="P141" s="310">
        <f t="shared" ca="1" si="76"/>
        <v>23</v>
      </c>
      <c r="Q141" s="304">
        <f t="shared" ca="1" si="77"/>
        <v>0</v>
      </c>
      <c r="R141" s="306">
        <f t="shared" ca="1" si="78"/>
        <v>0</v>
      </c>
      <c r="S141" s="307">
        <f t="shared" ca="1" si="79"/>
        <v>4.341000000000002</v>
      </c>
      <c r="T141" s="304">
        <f t="shared" ca="1" si="59"/>
        <v>42.585210000000025</v>
      </c>
      <c r="U141" s="311">
        <f t="shared" ca="1" si="60"/>
        <v>0</v>
      </c>
      <c r="V141" s="306">
        <f t="shared" ca="1" si="61"/>
        <v>1.1045600378239795</v>
      </c>
      <c r="W141" s="304">
        <f t="shared" ca="1" si="62"/>
        <v>15.215593620993005</v>
      </c>
      <c r="Y141" s="314" t="str">
        <f t="shared" ca="1" si="80"/>
        <v/>
      </c>
      <c r="Z141" s="315" t="str">
        <f t="shared" ca="1" si="81"/>
        <v/>
      </c>
      <c r="AA141" s="316" t="str">
        <f t="shared" ca="1" si="82"/>
        <v>Satellite</v>
      </c>
      <c r="AC141" s="310" t="e">
        <f t="shared" ca="1" si="83"/>
        <v>#N/A</v>
      </c>
      <c r="AD141" s="323" t="e">
        <f t="shared" ca="1" si="84"/>
        <v>#N/A</v>
      </c>
      <c r="AE141" s="324">
        <f t="shared" ca="1" si="63"/>
        <v>1034.0146656063216</v>
      </c>
      <c r="AG141" s="306">
        <f t="shared" ca="1" si="85"/>
        <v>-12.686425490649569</v>
      </c>
      <c r="AH141" s="304">
        <f t="shared" ca="1" si="86"/>
        <v>-3.6449955786125967</v>
      </c>
    </row>
    <row r="142" spans="1:34" x14ac:dyDescent="0.2">
      <c r="A142" s="347">
        <f t="shared" ca="1" si="64"/>
        <v>0.1</v>
      </c>
      <c r="B142" s="304">
        <f t="shared" ca="1" si="65"/>
        <v>4.8</v>
      </c>
      <c r="D142" s="306">
        <f t="shared" ca="1" si="66"/>
        <v>-1.3788640557721872</v>
      </c>
      <c r="E142" s="307">
        <f t="shared" ca="1" si="67"/>
        <v>-13.03248141695315</v>
      </c>
      <c r="F142" s="304">
        <f t="shared" ca="1" si="68"/>
        <v>13.105221782462504</v>
      </c>
      <c r="G142" s="306">
        <f t="shared" ca="1" si="69"/>
        <v>25.495200696071954</v>
      </c>
      <c r="H142" s="307">
        <f t="shared" ca="1" si="70"/>
        <v>58.602691460122337</v>
      </c>
      <c r="I142" s="304">
        <f t="shared" ca="1" si="71"/>
        <v>63.908377423490293</v>
      </c>
      <c r="J142" s="306">
        <f t="shared" ca="1" si="72"/>
        <v>279.48975270829266</v>
      </c>
      <c r="K142" s="307">
        <f t="shared" ca="1" si="73"/>
        <v>1039.9400971594187</v>
      </c>
      <c r="L142" s="304">
        <f t="shared" ca="1" si="58"/>
        <v>1076.842573243129</v>
      </c>
      <c r="M142" s="306">
        <f t="shared" ca="1" si="74"/>
        <v>1.1604426958525957</v>
      </c>
      <c r="N142" s="304">
        <f t="shared" ca="1" si="75"/>
        <v>66.48846883913717</v>
      </c>
      <c r="P142" s="310">
        <f t="shared" ca="1" si="76"/>
        <v>23</v>
      </c>
      <c r="Q142" s="304">
        <f t="shared" ca="1" si="77"/>
        <v>0</v>
      </c>
      <c r="R142" s="306">
        <f t="shared" ca="1" si="78"/>
        <v>0</v>
      </c>
      <c r="S142" s="307">
        <f t="shared" ca="1" si="79"/>
        <v>4.341000000000002</v>
      </c>
      <c r="T142" s="304">
        <f t="shared" ca="1" si="59"/>
        <v>42.585210000000025</v>
      </c>
      <c r="U142" s="311">
        <f t="shared" ca="1" si="60"/>
        <v>0</v>
      </c>
      <c r="V142" s="306">
        <f t="shared" ca="1" si="61"/>
        <v>1.103903969009657</v>
      </c>
      <c r="W142" s="304">
        <f t="shared" ca="1" si="62"/>
        <v>14.628146343182081</v>
      </c>
      <c r="Y142" s="314" t="str">
        <f t="shared" ca="1" si="80"/>
        <v/>
      </c>
      <c r="Z142" s="315" t="str">
        <f t="shared" ca="1" si="81"/>
        <v/>
      </c>
      <c r="AA142" s="316" t="str">
        <f t="shared" ca="1" si="82"/>
        <v/>
      </c>
      <c r="AC142" s="310" t="e">
        <f t="shared" ca="1" si="83"/>
        <v>#N/A</v>
      </c>
      <c r="AD142" s="323" t="e">
        <f t="shared" ca="1" si="84"/>
        <v>#N/A</v>
      </c>
      <c r="AE142" s="324">
        <f t="shared" ca="1" si="63"/>
        <v>1039.9400971594187</v>
      </c>
      <c r="AG142" s="306">
        <f t="shared" ca="1" si="85"/>
        <v>-12.524129547734507</v>
      </c>
      <c r="AH142" s="304">
        <f t="shared" ca="1" si="86"/>
        <v>-3.5050895233800961</v>
      </c>
    </row>
    <row r="143" spans="1:34" x14ac:dyDescent="0.2">
      <c r="A143" s="347">
        <f t="shared" ca="1" si="64"/>
        <v>0.1</v>
      </c>
      <c r="B143" s="304">
        <f t="shared" ca="1" si="65"/>
        <v>4.8999999999999995</v>
      </c>
      <c r="D143" s="306">
        <f t="shared" ca="1" si="66"/>
        <v>-1.3443122443908591</v>
      </c>
      <c r="E143" s="307">
        <f t="shared" ca="1" si="67"/>
        <v>-12.900005708260213</v>
      </c>
      <c r="F143" s="304">
        <f t="shared" ca="1" si="68"/>
        <v>12.969862091925467</v>
      </c>
      <c r="G143" s="306">
        <f t="shared" ca="1" si="69"/>
        <v>25.360769471632867</v>
      </c>
      <c r="H143" s="307">
        <f t="shared" ca="1" si="70"/>
        <v>57.312690889296313</v>
      </c>
      <c r="I143" s="304">
        <f t="shared" ca="1" si="71"/>
        <v>62.673065707410025</v>
      </c>
      <c r="J143" s="306">
        <f t="shared" ca="1" si="72"/>
        <v>282.03255121667792</v>
      </c>
      <c r="K143" s="307">
        <f t="shared" ca="1" si="73"/>
        <v>1045.7358662768895</v>
      </c>
      <c r="L143" s="304">
        <f t="shared" ca="1" si="58"/>
        <v>1083.1001163159685</v>
      </c>
      <c r="M143" s="306">
        <f t="shared" ca="1" si="74"/>
        <v>1.1541982840723579</v>
      </c>
      <c r="N143" s="304">
        <f t="shared" ca="1" si="75"/>
        <v>66.130690398587774</v>
      </c>
      <c r="P143" s="310">
        <f t="shared" ca="1" si="76"/>
        <v>23</v>
      </c>
      <c r="Q143" s="304">
        <f t="shared" ca="1" si="77"/>
        <v>0</v>
      </c>
      <c r="R143" s="306">
        <f t="shared" ca="1" si="78"/>
        <v>0</v>
      </c>
      <c r="S143" s="307">
        <f t="shared" ca="1" si="79"/>
        <v>4.341000000000002</v>
      </c>
      <c r="T143" s="304">
        <f t="shared" ca="1" si="59"/>
        <v>42.585210000000025</v>
      </c>
      <c r="U143" s="311">
        <f t="shared" ca="1" si="60"/>
        <v>0</v>
      </c>
      <c r="V143" s="306">
        <f t="shared" ca="1" si="61"/>
        <v>1.103262613925335</v>
      </c>
      <c r="W143" s="304">
        <f t="shared" ca="1" si="62"/>
        <v>14.059931303916835</v>
      </c>
      <c r="Y143" s="314" t="str">
        <f t="shared" ca="1" si="80"/>
        <v/>
      </c>
      <c r="Z143" s="315" t="str">
        <f t="shared" ca="1" si="81"/>
        <v/>
      </c>
      <c r="AA143" s="316" t="str">
        <f t="shared" ca="1" si="82"/>
        <v/>
      </c>
      <c r="AC143" s="310" t="e">
        <f t="shared" ca="1" si="83"/>
        <v>#N/A</v>
      </c>
      <c r="AD143" s="323" t="e">
        <f t="shared" ca="1" si="84"/>
        <v>#N/A</v>
      </c>
      <c r="AE143" s="324">
        <f t="shared" ca="1" si="63"/>
        <v>1045.7358662768895</v>
      </c>
      <c r="AG143" s="306">
        <f t="shared" ca="1" si="85"/>
        <v>-12.365336074601338</v>
      </c>
      <c r="AH143" s="304">
        <f t="shared" ca="1" si="86"/>
        <v>-3.3697641887081491</v>
      </c>
    </row>
    <row r="144" spans="1:34" x14ac:dyDescent="0.2">
      <c r="A144" s="347">
        <f t="shared" ca="1" si="64"/>
        <v>0.1</v>
      </c>
      <c r="B144" s="304">
        <f t="shared" ca="1" si="65"/>
        <v>4.9999999999999991</v>
      </c>
      <c r="D144" s="306">
        <f t="shared" ca="1" si="66"/>
        <v>-1.3106142938164249</v>
      </c>
      <c r="E144" s="307">
        <f t="shared" ca="1" si="67"/>
        <v>-12.771851452520531</v>
      </c>
      <c r="F144" s="304">
        <f t="shared" ca="1" si="68"/>
        <v>12.838921269032173</v>
      </c>
      <c r="G144" s="306">
        <f t="shared" ca="1" si="69"/>
        <v>25.229708042251225</v>
      </c>
      <c r="H144" s="307">
        <f t="shared" ca="1" si="70"/>
        <v>56.035505744044258</v>
      </c>
      <c r="I144" s="304">
        <f t="shared" ca="1" si="71"/>
        <v>61.453365016799964</v>
      </c>
      <c r="J144" s="306">
        <f t="shared" ca="1" si="72"/>
        <v>284.56207509237214</v>
      </c>
      <c r="K144" s="307">
        <f t="shared" ca="1" si="73"/>
        <v>1051.4032761085566</v>
      </c>
      <c r="L144" s="304">
        <f t="shared" ca="1" si="58"/>
        <v>1089.2311157842869</v>
      </c>
      <c r="M144" s="306">
        <f t="shared" ca="1" si="74"/>
        <v>1.1477386510464431</v>
      </c>
      <c r="N144" s="304">
        <f t="shared" ca="1" si="75"/>
        <v>65.760580688999539</v>
      </c>
      <c r="P144" s="310">
        <f t="shared" ca="1" si="76"/>
        <v>23</v>
      </c>
      <c r="Q144" s="304">
        <f t="shared" ca="1" si="77"/>
        <v>0</v>
      </c>
      <c r="R144" s="306">
        <f t="shared" ca="1" si="78"/>
        <v>0</v>
      </c>
      <c r="S144" s="307">
        <f t="shared" ca="1" si="79"/>
        <v>4.341000000000002</v>
      </c>
      <c r="T144" s="304">
        <f t="shared" ca="1" si="59"/>
        <v>42.585210000000025</v>
      </c>
      <c r="U144" s="311">
        <f t="shared" ca="1" si="60"/>
        <v>0</v>
      </c>
      <c r="V144" s="306">
        <f t="shared" ca="1" si="61"/>
        <v>1.1026358044791522</v>
      </c>
      <c r="W144" s="304">
        <f t="shared" ca="1" si="62"/>
        <v>13.510326571351051</v>
      </c>
      <c r="Y144" s="314" t="str">
        <f t="shared" ca="1" si="80"/>
        <v/>
      </c>
      <c r="Z144" s="315" t="str">
        <f t="shared" ca="1" si="81"/>
        <v/>
      </c>
      <c r="AA144" s="316" t="str">
        <f t="shared" ca="1" si="82"/>
        <v/>
      </c>
      <c r="AC144" s="310">
        <f t="shared" ca="1" si="83"/>
        <v>4.9999999999999991</v>
      </c>
      <c r="AD144" s="323">
        <f t="shared" ca="1" si="84"/>
        <v>284.56207509237214</v>
      </c>
      <c r="AE144" s="324">
        <f t="shared" ca="1" si="63"/>
        <v>1051.4032761085566</v>
      </c>
      <c r="AG144" s="306">
        <f t="shared" ca="1" si="85"/>
        <v>-12.209828140951299</v>
      </c>
      <c r="AH144" s="304">
        <f t="shared" ca="1" si="86"/>
        <v>-3.2388692245834667</v>
      </c>
    </row>
    <row r="145" spans="1:34" x14ac:dyDescent="0.2">
      <c r="A145" s="347">
        <f t="shared" ca="1" si="64"/>
        <v>0.1</v>
      </c>
      <c r="B145" s="304">
        <f t="shared" ca="1" si="65"/>
        <v>5.0999999999999988</v>
      </c>
      <c r="D145" s="306">
        <f t="shared" ca="1" si="66"/>
        <v>-1.277740372502508</v>
      </c>
      <c r="E145" s="307">
        <f t="shared" ca="1" si="67"/>
        <v>-12.647877785302063</v>
      </c>
      <c r="F145" s="304">
        <f t="shared" ca="1" si="68"/>
        <v>12.712255226019506</v>
      </c>
      <c r="G145" s="306">
        <f t="shared" ca="1" si="69"/>
        <v>25.101934005000974</v>
      </c>
      <c r="H145" s="307">
        <f t="shared" ca="1" si="70"/>
        <v>54.770717965514052</v>
      </c>
      <c r="I145" s="304">
        <f t="shared" ca="1" si="71"/>
        <v>60.248972084586704</v>
      </c>
      <c r="J145" s="306">
        <f t="shared" ca="1" si="72"/>
        <v>287.07865719473477</v>
      </c>
      <c r="K145" s="307">
        <f t="shared" ca="1" si="73"/>
        <v>1056.9435872940346</v>
      </c>
      <c r="L145" s="304">
        <f t="shared" ca="1" si="58"/>
        <v>1095.2369159860868</v>
      </c>
      <c r="M145" s="306">
        <f t="shared" ca="1" si="74"/>
        <v>1.1410538396851135</v>
      </c>
      <c r="N145" s="304">
        <f t="shared" ca="1" si="75"/>
        <v>65.377569211154253</v>
      </c>
      <c r="P145" s="310">
        <f t="shared" ca="1" si="76"/>
        <v>23</v>
      </c>
      <c r="Q145" s="304">
        <f t="shared" ca="1" si="77"/>
        <v>0</v>
      </c>
      <c r="R145" s="306">
        <f t="shared" ca="1" si="78"/>
        <v>0</v>
      </c>
      <c r="S145" s="307">
        <f t="shared" ca="1" si="79"/>
        <v>4.341000000000002</v>
      </c>
      <c r="T145" s="304">
        <f t="shared" ca="1" si="59"/>
        <v>42.585210000000025</v>
      </c>
      <c r="U145" s="311">
        <f t="shared" ca="1" si="60"/>
        <v>0</v>
      </c>
      <c r="V145" s="306">
        <f t="shared" ca="1" si="61"/>
        <v>1.1020233781491005</v>
      </c>
      <c r="W145" s="304">
        <f t="shared" ca="1" si="62"/>
        <v>12.978739334810562</v>
      </c>
      <c r="Y145" s="314" t="str">
        <f t="shared" ca="1" si="80"/>
        <v/>
      </c>
      <c r="Z145" s="315" t="str">
        <f t="shared" ca="1" si="81"/>
        <v/>
      </c>
      <c r="AA145" s="316" t="str">
        <f t="shared" ca="1" si="82"/>
        <v/>
      </c>
      <c r="AC145" s="310" t="e">
        <f t="shared" ca="1" si="83"/>
        <v>#N/A</v>
      </c>
      <c r="AD145" s="323" t="e">
        <f t="shared" ca="1" si="84"/>
        <v>#N/A</v>
      </c>
      <c r="AE145" s="324">
        <f t="shared" ca="1" si="63"/>
        <v>1056.9435872940346</v>
      </c>
      <c r="AG145" s="306">
        <f t="shared" ca="1" si="85"/>
        <v>-12.057390911591831</v>
      </c>
      <c r="AH145" s="304">
        <f t="shared" ca="1" si="86"/>
        <v>-3.1122613617486858</v>
      </c>
    </row>
    <row r="146" spans="1:34" x14ac:dyDescent="0.2">
      <c r="A146" s="347">
        <f t="shared" ca="1" si="64"/>
        <v>0.1</v>
      </c>
      <c r="B146" s="304">
        <f t="shared" ca="1" si="65"/>
        <v>5.1999999999999984</v>
      </c>
      <c r="D146" s="306">
        <f t="shared" ca="1" si="66"/>
        <v>-1.2456621430526238</v>
      </c>
      <c r="E146" s="307">
        <f t="shared" ca="1" si="67"/>
        <v>-12.527950334179856</v>
      </c>
      <c r="F146" s="304">
        <f t="shared" ca="1" si="68"/>
        <v>12.589726516104772</v>
      </c>
      <c r="G146" s="306">
        <f t="shared" ca="1" si="69"/>
        <v>24.977367790695713</v>
      </c>
      <c r="H146" s="307">
        <f t="shared" ca="1" si="70"/>
        <v>53.51792293209607</v>
      </c>
      <c r="I146" s="304">
        <f t="shared" ca="1" si="71"/>
        <v>59.059605287518288</v>
      </c>
      <c r="J146" s="306">
        <f t="shared" ca="1" si="72"/>
        <v>289.58262228451963</v>
      </c>
      <c r="K146" s="307">
        <f t="shared" ca="1" si="73"/>
        <v>1062.358019338915</v>
      </c>
      <c r="L146" s="304">
        <f t="shared" ca="1" si="58"/>
        <v>1101.1188202836611</v>
      </c>
      <c r="M146" s="306">
        <f t="shared" ca="1" si="74"/>
        <v>1.1341333077729383</v>
      </c>
      <c r="N146" s="304">
        <f t="shared" ca="1" si="75"/>
        <v>64.981051940601006</v>
      </c>
      <c r="P146" s="310">
        <f t="shared" ca="1" si="76"/>
        <v>23</v>
      </c>
      <c r="Q146" s="304">
        <f t="shared" ca="1" si="77"/>
        <v>0</v>
      </c>
      <c r="R146" s="306">
        <f t="shared" ca="1" si="78"/>
        <v>0</v>
      </c>
      <c r="S146" s="307">
        <f t="shared" ca="1" si="79"/>
        <v>4.341000000000002</v>
      </c>
      <c r="T146" s="304">
        <f t="shared" ca="1" si="59"/>
        <v>42.585210000000025</v>
      </c>
      <c r="U146" s="311">
        <f t="shared" ca="1" si="60"/>
        <v>0</v>
      </c>
      <c r="V146" s="306">
        <f t="shared" ca="1" si="61"/>
        <v>1.1014251777986808</v>
      </c>
      <c r="W146" s="304">
        <f t="shared" ca="1" si="62"/>
        <v>12.464604390082823</v>
      </c>
      <c r="Y146" s="314" t="str">
        <f t="shared" ca="1" si="80"/>
        <v/>
      </c>
      <c r="Z146" s="315" t="str">
        <f t="shared" ca="1" si="81"/>
        <v/>
      </c>
      <c r="AA146" s="316" t="str">
        <f t="shared" ca="1" si="82"/>
        <v/>
      </c>
      <c r="AC146" s="310" t="e">
        <f t="shared" ca="1" si="83"/>
        <v>#N/A</v>
      </c>
      <c r="AD146" s="323" t="e">
        <f t="shared" ca="1" si="84"/>
        <v>#N/A</v>
      </c>
      <c r="AE146" s="324">
        <f t="shared" ca="1" si="63"/>
        <v>1062.358019338915</v>
      </c>
      <c r="AG146" s="306">
        <f t="shared" ca="1" si="85"/>
        <v>-11.907810847619524</v>
      </c>
      <c r="AH146" s="304">
        <f t="shared" ca="1" si="86"/>
        <v>-2.9898040393482046</v>
      </c>
    </row>
    <row r="147" spans="1:34" x14ac:dyDescent="0.2">
      <c r="A147" s="347">
        <f t="shared" ca="1" si="64"/>
        <v>0.1</v>
      </c>
      <c r="B147" s="304">
        <f t="shared" ca="1" si="65"/>
        <v>5.299999999999998</v>
      </c>
      <c r="D147" s="306">
        <f t="shared" ca="1" si="66"/>
        <v>-1.2143526979324484</v>
      </c>
      <c r="E147" s="307">
        <f t="shared" ca="1" si="67"/>
        <v>-12.411940870828708</v>
      </c>
      <c r="F147" s="304">
        <f t="shared" ca="1" si="68"/>
        <v>12.471203977801178</v>
      </c>
      <c r="G147" s="306">
        <f t="shared" ca="1" si="69"/>
        <v>24.855932520902467</v>
      </c>
      <c r="H147" s="307">
        <f t="shared" ca="1" si="70"/>
        <v>52.276728845013196</v>
      </c>
      <c r="I147" s="304">
        <f t="shared" ca="1" si="71"/>
        <v>57.885004623120587</v>
      </c>
      <c r="J147" s="306">
        <f t="shared" ca="1" si="72"/>
        <v>292.07428730009951</v>
      </c>
      <c r="K147" s="307">
        <f t="shared" ca="1" si="73"/>
        <v>1067.6477519277705</v>
      </c>
      <c r="L147" s="304">
        <f t="shared" ca="1" si="58"/>
        <v>1106.8780924285579</v>
      </c>
      <c r="M147" s="306">
        <f t="shared" ca="1" si="74"/>
        <v>1.1269658889609815</v>
      </c>
      <c r="N147" s="304">
        <f t="shared" ca="1" si="75"/>
        <v>64.57038909267321</v>
      </c>
      <c r="P147" s="310">
        <f t="shared" ca="1" si="76"/>
        <v>23</v>
      </c>
      <c r="Q147" s="304">
        <f t="shared" ca="1" si="77"/>
        <v>0</v>
      </c>
      <c r="R147" s="306">
        <f t="shared" ca="1" si="78"/>
        <v>0</v>
      </c>
      <c r="S147" s="307">
        <f t="shared" ca="1" si="79"/>
        <v>4.341000000000002</v>
      </c>
      <c r="T147" s="304">
        <f t="shared" ca="1" si="59"/>
        <v>42.585210000000025</v>
      </c>
      <c r="U147" s="311">
        <f t="shared" ca="1" si="60"/>
        <v>0</v>
      </c>
      <c r="V147" s="306">
        <f t="shared" ca="1" si="61"/>
        <v>1.1008410515011728</v>
      </c>
      <c r="W147" s="304">
        <f t="shared" ca="1" si="62"/>
        <v>11.96738271920122</v>
      </c>
      <c r="Y147" s="314" t="str">
        <f t="shared" ca="1" si="80"/>
        <v/>
      </c>
      <c r="Z147" s="315" t="str">
        <f t="shared" ca="1" si="81"/>
        <v/>
      </c>
      <c r="AA147" s="316" t="str">
        <f t="shared" ca="1" si="82"/>
        <v/>
      </c>
      <c r="AC147" s="310" t="e">
        <f t="shared" ca="1" si="83"/>
        <v>#N/A</v>
      </c>
      <c r="AD147" s="323" t="e">
        <f t="shared" ca="1" si="84"/>
        <v>#N/A</v>
      </c>
      <c r="AE147" s="324">
        <f t="shared" ca="1" si="63"/>
        <v>1067.6477519277705</v>
      </c>
      <c r="AG147" s="306">
        <f t="shared" ca="1" si="85"/>
        <v>-11.760874891478871</v>
      </c>
      <c r="AH147" s="304">
        <f t="shared" ca="1" si="86"/>
        <v>-2.8713670559969633</v>
      </c>
    </row>
    <row r="148" spans="1:34" x14ac:dyDescent="0.2">
      <c r="A148" s="347">
        <f t="shared" ca="1" si="64"/>
        <v>0.1</v>
      </c>
      <c r="B148" s="304">
        <f t="shared" ca="1" si="65"/>
        <v>5.3999999999999977</v>
      </c>
      <c r="D148" s="306">
        <f t="shared" ca="1" si="66"/>
        <v>-1.1837865005711008</v>
      </c>
      <c r="E148" s="307">
        <f t="shared" ca="1" si="67"/>
        <v>-12.299726983636646</v>
      </c>
      <c r="F148" s="304">
        <f t="shared" ca="1" si="68"/>
        <v>12.356562400236314</v>
      </c>
      <c r="G148" s="306">
        <f t="shared" ca="1" si="69"/>
        <v>24.737553870845357</v>
      </c>
      <c r="H148" s="307">
        <f t="shared" ca="1" si="70"/>
        <v>51.046756146649528</v>
      </c>
      <c r="I148" s="304">
        <f t="shared" ca="1" si="71"/>
        <v>56.724931772620735</v>
      </c>
      <c r="J148" s="306">
        <f t="shared" ca="1" si="72"/>
        <v>294.5539616196869</v>
      </c>
      <c r="K148" s="307">
        <f t="shared" ca="1" si="73"/>
        <v>1072.8139261773536</v>
      </c>
      <c r="L148" s="304">
        <f t="shared" ca="1" si="58"/>
        <v>1112.5159578657378</v>
      </c>
      <c r="M148" s="306">
        <f t="shared" ca="1" si="74"/>
        <v>1.1195397511260774</v>
      </c>
      <c r="N148" s="304">
        <f t="shared" ca="1" si="75"/>
        <v>64.144902736650792</v>
      </c>
      <c r="P148" s="310">
        <f t="shared" ca="1" si="76"/>
        <v>23</v>
      </c>
      <c r="Q148" s="304">
        <f t="shared" ca="1" si="77"/>
        <v>0</v>
      </c>
      <c r="R148" s="306">
        <f t="shared" ca="1" si="78"/>
        <v>0</v>
      </c>
      <c r="S148" s="307">
        <f t="shared" ca="1" si="79"/>
        <v>4.341000000000002</v>
      </c>
      <c r="T148" s="304">
        <f t="shared" ca="1" si="59"/>
        <v>42.585210000000025</v>
      </c>
      <c r="U148" s="311">
        <f t="shared" ca="1" si="60"/>
        <v>0</v>
      </c>
      <c r="V148" s="306">
        <f t="shared" ca="1" si="61"/>
        <v>1.100270852372049</v>
      </c>
      <c r="W148" s="304">
        <f t="shared" ca="1" si="62"/>
        <v>11.486560158106464</v>
      </c>
      <c r="Y148" s="314" t="str">
        <f t="shared" ca="1" si="80"/>
        <v/>
      </c>
      <c r="Z148" s="315" t="str">
        <f t="shared" ca="1" si="81"/>
        <v/>
      </c>
      <c r="AA148" s="316" t="str">
        <f t="shared" ca="1" si="82"/>
        <v/>
      </c>
      <c r="AC148" s="310" t="e">
        <f t="shared" ca="1" si="83"/>
        <v>#N/A</v>
      </c>
      <c r="AD148" s="323" t="e">
        <f t="shared" ca="1" si="84"/>
        <v>#N/A</v>
      </c>
      <c r="AE148" s="324">
        <f t="shared" ca="1" si="63"/>
        <v>1072.8139261773536</v>
      </c>
      <c r="AG148" s="306">
        <f t="shared" ca="1" si="85"/>
        <v>-11.61636963055607</v>
      </c>
      <c r="AH148" s="304">
        <f t="shared" ca="1" si="86"/>
        <v>-2.7568262426171883</v>
      </c>
    </row>
    <row r="149" spans="1:34" x14ac:dyDescent="0.2">
      <c r="A149" s="347">
        <f t="shared" ca="1" si="64"/>
        <v>0.1</v>
      </c>
      <c r="B149" s="304">
        <f t="shared" ca="1" si="65"/>
        <v>5.4999999999999973</v>
      </c>
      <c r="D149" s="306">
        <f t="shared" ca="1" si="66"/>
        <v>-1.1539393316096622</v>
      </c>
      <c r="E149" s="307">
        <f t="shared" ca="1" si="67"/>
        <v>-12.191191769252859</v>
      </c>
      <c r="F149" s="304">
        <f t="shared" ca="1" si="68"/>
        <v>12.24568220785328</v>
      </c>
      <c r="G149" s="306">
        <f t="shared" ca="1" si="69"/>
        <v>24.62215993768439</v>
      </c>
      <c r="H149" s="307">
        <f t="shared" ca="1" si="70"/>
        <v>49.827636969724239</v>
      </c>
      <c r="I149" s="304">
        <f t="shared" ca="1" si="71"/>
        <v>55.579170252744326</v>
      </c>
      <c r="J149" s="306">
        <f t="shared" ca="1" si="72"/>
        <v>297.02194731011338</v>
      </c>
      <c r="K149" s="307">
        <f t="shared" ca="1" si="73"/>
        <v>1077.8576458331722</v>
      </c>
      <c r="L149" s="304">
        <f t="shared" ca="1" si="58"/>
        <v>1118.0336049801545</v>
      </c>
      <c r="M149" s="306">
        <f t="shared" ca="1" si="74"/>
        <v>1.1118423519690186</v>
      </c>
      <c r="N149" s="304">
        <f t="shared" ca="1" si="75"/>
        <v>63.703874251723761</v>
      </c>
      <c r="P149" s="310">
        <f t="shared" ca="1" si="76"/>
        <v>23</v>
      </c>
      <c r="Q149" s="304">
        <f t="shared" ca="1" si="77"/>
        <v>0</v>
      </c>
      <c r="R149" s="306">
        <f t="shared" ca="1" si="78"/>
        <v>0</v>
      </c>
      <c r="S149" s="307">
        <f t="shared" ca="1" si="79"/>
        <v>4.341000000000002</v>
      </c>
      <c r="T149" s="304">
        <f t="shared" ca="1" si="59"/>
        <v>42.585210000000025</v>
      </c>
      <c r="U149" s="311">
        <f t="shared" ca="1" si="60"/>
        <v>0</v>
      </c>
      <c r="V149" s="306">
        <f t="shared" ca="1" si="61"/>
        <v>1.0997144384090991</v>
      </c>
      <c r="W149" s="304">
        <f t="shared" ca="1" si="62"/>
        <v>11.021646146083897</v>
      </c>
      <c r="Y149" s="314" t="str">
        <f t="shared" ca="1" si="80"/>
        <v/>
      </c>
      <c r="Z149" s="315" t="str">
        <f t="shared" ca="1" si="81"/>
        <v/>
      </c>
      <c r="AA149" s="316" t="str">
        <f t="shared" ca="1" si="82"/>
        <v/>
      </c>
      <c r="AC149" s="310" t="e">
        <f t="shared" ca="1" si="83"/>
        <v>#N/A</v>
      </c>
      <c r="AD149" s="323" t="e">
        <f t="shared" ca="1" si="84"/>
        <v>#N/A</v>
      </c>
      <c r="AE149" s="324">
        <f t="shared" ca="1" si="63"/>
        <v>1077.8576458331722</v>
      </c>
      <c r="AG149" s="306">
        <f t="shared" ca="1" si="85"/>
        <v>-11.474080433810672</v>
      </c>
      <c r="AH149" s="304">
        <f t="shared" ca="1" si="86"/>
        <v>-2.6460631555186498</v>
      </c>
    </row>
    <row r="150" spans="1:34" x14ac:dyDescent="0.2">
      <c r="A150" s="347">
        <f t="shared" ca="1" si="64"/>
        <v>0.1</v>
      </c>
      <c r="B150" s="304">
        <f t="shared" ca="1" si="65"/>
        <v>5.599999999999997</v>
      </c>
      <c r="D150" s="306">
        <f t="shared" ca="1" si="66"/>
        <v>-1.1247882400871614</v>
      </c>
      <c r="E150" s="307">
        <f t="shared" ca="1" si="67"/>
        <v>-12.086223541587024</v>
      </c>
      <c r="F150" s="304">
        <f t="shared" ca="1" si="68"/>
        <v>12.138449162980036</v>
      </c>
      <c r="G150" s="306">
        <f t="shared" ca="1" si="69"/>
        <v>24.509681113675676</v>
      </c>
      <c r="H150" s="307">
        <f t="shared" ca="1" si="70"/>
        <v>48.619014615565533</v>
      </c>
      <c r="I150" s="304">
        <f t="shared" ca="1" si="71"/>
        <v>54.447525659874067</v>
      </c>
      <c r="J150" s="306">
        <f t="shared" ca="1" si="72"/>
        <v>299.47853936268137</v>
      </c>
      <c r="K150" s="307">
        <f t="shared" ca="1" si="73"/>
        <v>1082.7799784124368</v>
      </c>
      <c r="L150" s="304">
        <f t="shared" ca="1" si="58"/>
        <v>1123.4321862888039</v>
      </c>
      <c r="M150" s="306">
        <f t="shared" ca="1" si="74"/>
        <v>1.1038603917331493</v>
      </c>
      <c r="N150" s="304">
        <f t="shared" ca="1" si="75"/>
        <v>63.246541617967203</v>
      </c>
      <c r="P150" s="310">
        <f t="shared" ca="1" si="76"/>
        <v>23</v>
      </c>
      <c r="Q150" s="304">
        <f t="shared" ca="1" si="77"/>
        <v>0</v>
      </c>
      <c r="R150" s="306">
        <f t="shared" ca="1" si="78"/>
        <v>0</v>
      </c>
      <c r="S150" s="307">
        <f t="shared" ca="1" si="79"/>
        <v>4.341000000000002</v>
      </c>
      <c r="T150" s="304">
        <f t="shared" ca="1" si="59"/>
        <v>42.585210000000025</v>
      </c>
      <c r="U150" s="311">
        <f t="shared" ca="1" si="60"/>
        <v>0</v>
      </c>
      <c r="V150" s="306">
        <f t="shared" ca="1" si="61"/>
        <v>1.0991716723398528</v>
      </c>
      <c r="W150" s="304">
        <f t="shared" ca="1" si="62"/>
        <v>10.572172551347254</v>
      </c>
      <c r="Y150" s="314" t="str">
        <f t="shared" ca="1" si="80"/>
        <v/>
      </c>
      <c r="Z150" s="315" t="str">
        <f t="shared" ca="1" si="81"/>
        <v/>
      </c>
      <c r="AA150" s="316" t="str">
        <f t="shared" ca="1" si="82"/>
        <v/>
      </c>
      <c r="AC150" s="310" t="e">
        <f t="shared" ca="1" si="83"/>
        <v>#N/A</v>
      </c>
      <c r="AD150" s="323" t="e">
        <f t="shared" ca="1" si="84"/>
        <v>#N/A</v>
      </c>
      <c r="AE150" s="324">
        <f t="shared" ca="1" si="63"/>
        <v>1082.7799784124368</v>
      </c>
      <c r="AG150" s="306">
        <f t="shared" ca="1" si="85"/>
        <v>-11.333790555778981</v>
      </c>
      <c r="AH150" s="304">
        <f t="shared" ca="1" si="86"/>
        <v>-2.538964788316953</v>
      </c>
    </row>
    <row r="151" spans="1:34" x14ac:dyDescent="0.2">
      <c r="A151" s="347">
        <f t="shared" ca="1" si="64"/>
        <v>0.1</v>
      </c>
      <c r="B151" s="304">
        <f t="shared" ca="1" si="65"/>
        <v>5.6999999999999966</v>
      </c>
      <c r="D151" s="306">
        <f t="shared" ca="1" si="66"/>
        <v>-1.0963114993846181</v>
      </c>
      <c r="E151" s="307">
        <f t="shared" ca="1" si="67"/>
        <v>-11.984715556868368</v>
      </c>
      <c r="F151" s="304">
        <f t="shared" ca="1" si="68"/>
        <v>12.034754084846337</v>
      </c>
      <c r="G151" s="306">
        <f t="shared" ca="1" si="69"/>
        <v>24.400049963737214</v>
      </c>
      <c r="H151" s="307">
        <f t="shared" ca="1" si="70"/>
        <v>47.420543059878696</v>
      </c>
      <c r="I151" s="304">
        <f t="shared" ca="1" si="71"/>
        <v>53.329826010654507</v>
      </c>
      <c r="J151" s="306">
        <f t="shared" ca="1" si="72"/>
        <v>301.92402591655201</v>
      </c>
      <c r="K151" s="307">
        <f t="shared" ca="1" si="73"/>
        <v>1087.581956296209</v>
      </c>
      <c r="L151" s="304">
        <f t="shared" ca="1" si="58"/>
        <v>1128.7128195811138</v>
      </c>
      <c r="M151" s="306">
        <f t="shared" ca="1" si="74"/>
        <v>1.0955797629401147</v>
      </c>
      <c r="N151" s="304">
        <f t="shared" ca="1" si="75"/>
        <v>62.772096536411816</v>
      </c>
      <c r="P151" s="310">
        <f t="shared" ca="1" si="76"/>
        <v>23</v>
      </c>
      <c r="Q151" s="304">
        <f t="shared" ca="1" si="77"/>
        <v>0</v>
      </c>
      <c r="R151" s="306">
        <f t="shared" ca="1" si="78"/>
        <v>0</v>
      </c>
      <c r="S151" s="307">
        <f t="shared" ca="1" si="79"/>
        <v>4.341000000000002</v>
      </c>
      <c r="T151" s="304">
        <f t="shared" ca="1" si="59"/>
        <v>42.585210000000025</v>
      </c>
      <c r="U151" s="311">
        <f t="shared" ca="1" si="60"/>
        <v>0</v>
      </c>
      <c r="V151" s="306">
        <f t="shared" ca="1" si="61"/>
        <v>1.0986424214759181</v>
      </c>
      <c r="W151" s="304">
        <f t="shared" ca="1" si="62"/>
        <v>10.137692567569852</v>
      </c>
      <c r="Y151" s="314" t="str">
        <f t="shared" ca="1" si="80"/>
        <v/>
      </c>
      <c r="Z151" s="315" t="str">
        <f t="shared" ca="1" si="81"/>
        <v/>
      </c>
      <c r="AA151" s="316" t="str">
        <f t="shared" ca="1" si="82"/>
        <v/>
      </c>
      <c r="AC151" s="310" t="e">
        <f t="shared" ca="1" si="83"/>
        <v>#N/A</v>
      </c>
      <c r="AD151" s="323" t="e">
        <f t="shared" ca="1" si="84"/>
        <v>#N/A</v>
      </c>
      <c r="AE151" s="324">
        <f t="shared" ca="1" si="63"/>
        <v>1087.581956296209</v>
      </c>
      <c r="AG151" s="306">
        <f t="shared" ca="1" si="85"/>
        <v>-11.195280202111601</v>
      </c>
      <c r="AH151" s="304">
        <f t="shared" ca="1" si="86"/>
        <v>-2.4354233013930546</v>
      </c>
    </row>
    <row r="152" spans="1:34" x14ac:dyDescent="0.2">
      <c r="A152" s="347">
        <f t="shared" ca="1" si="64"/>
        <v>0.1</v>
      </c>
      <c r="B152" s="304">
        <f t="shared" ca="1" si="65"/>
        <v>5.7999999999999963</v>
      </c>
      <c r="D152" s="306">
        <f t="shared" ca="1" si="66"/>
        <v>-1.0684885677764875</v>
      </c>
      <c r="E152" s="307">
        <f t="shared" ca="1" si="67"/>
        <v>-11.886565753452764</v>
      </c>
      <c r="F152" s="304">
        <f t="shared" ca="1" si="68"/>
        <v>11.934492583709838</v>
      </c>
      <c r="G152" s="306">
        <f t="shared" ca="1" si="69"/>
        <v>24.293201106959565</v>
      </c>
      <c r="H152" s="307">
        <f t="shared" ca="1" si="70"/>
        <v>46.231886484533419</v>
      </c>
      <c r="I152" s="304">
        <f t="shared" ca="1" si="71"/>
        <v>52.225922183739037</v>
      </c>
      <c r="J152" s="306">
        <f t="shared" ca="1" si="72"/>
        <v>304.35868847008686</v>
      </c>
      <c r="K152" s="307">
        <f t="shared" ca="1" si="73"/>
        <v>1092.2645777734297</v>
      </c>
      <c r="L152" s="304">
        <f t="shared" ca="1" si="58"/>
        <v>1133.8765890103737</v>
      </c>
      <c r="M152" s="306">
        <f t="shared" ca="1" si="74"/>
        <v>1.0869854970618744</v>
      </c>
      <c r="N152" s="304">
        <f t="shared" ca="1" si="75"/>
        <v>62.27968137357535</v>
      </c>
      <c r="P152" s="310">
        <f t="shared" ca="1" si="76"/>
        <v>23</v>
      </c>
      <c r="Q152" s="304">
        <f t="shared" ca="1" si="77"/>
        <v>0</v>
      </c>
      <c r="R152" s="306">
        <f t="shared" ca="1" si="78"/>
        <v>0</v>
      </c>
      <c r="S152" s="307">
        <f t="shared" ca="1" si="79"/>
        <v>4.341000000000002</v>
      </c>
      <c r="T152" s="304">
        <f t="shared" ca="1" si="59"/>
        <v>42.585210000000025</v>
      </c>
      <c r="U152" s="311">
        <f t="shared" ca="1" si="60"/>
        <v>0</v>
      </c>
      <c r="V152" s="306">
        <f t="shared" ca="1" si="61"/>
        <v>1.098126557573867</v>
      </c>
      <c r="W152" s="304">
        <f t="shared" ca="1" si="62"/>
        <v>9.7177796765578854</v>
      </c>
      <c r="Y152" s="314" t="str">
        <f t="shared" ca="1" si="80"/>
        <v/>
      </c>
      <c r="Z152" s="315" t="str">
        <f t="shared" ca="1" si="81"/>
        <v/>
      </c>
      <c r="AA152" s="316" t="str">
        <f t="shared" ca="1" si="82"/>
        <v/>
      </c>
      <c r="AC152" s="310" t="e">
        <f t="shared" ca="1" si="83"/>
        <v>#N/A</v>
      </c>
      <c r="AD152" s="323" t="e">
        <f t="shared" ca="1" si="84"/>
        <v>#N/A</v>
      </c>
      <c r="AE152" s="324">
        <f t="shared" ca="1" si="63"/>
        <v>1092.2645777734297</v>
      </c>
      <c r="AG152" s="306">
        <f t="shared" ca="1" si="85"/>
        <v>-11.058325550645778</v>
      </c>
      <c r="AH152" s="304">
        <f t="shared" ca="1" si="86"/>
        <v>-2.335335767696348</v>
      </c>
    </row>
    <row r="153" spans="1:34" x14ac:dyDescent="0.2">
      <c r="A153" s="347">
        <f t="shared" ca="1" si="64"/>
        <v>0.1</v>
      </c>
      <c r="B153" s="304">
        <f t="shared" ca="1" si="65"/>
        <v>5.8999999999999959</v>
      </c>
      <c r="D153" s="306">
        <f t="shared" ca="1" si="66"/>
        <v>-1.0413000534662966</v>
      </c>
      <c r="E153" s="307">
        <f t="shared" ca="1" si="67"/>
        <v>-11.791676505135456</v>
      </c>
      <c r="F153" s="304">
        <f t="shared" ca="1" si="68"/>
        <v>11.837564808824171</v>
      </c>
      <c r="G153" s="306">
        <f t="shared" ca="1" si="69"/>
        <v>24.189071101612935</v>
      </c>
      <c r="H153" s="307">
        <f t="shared" ca="1" si="70"/>
        <v>45.052718834019871</v>
      </c>
      <c r="I153" s="304">
        <f t="shared" ca="1" si="71"/>
        <v>51.135688467997916</v>
      </c>
      <c r="J153" s="306">
        <f t="shared" ca="1" si="72"/>
        <v>306.78280208051547</v>
      </c>
      <c r="K153" s="307">
        <f t="shared" ca="1" si="73"/>
        <v>1096.8288080393572</v>
      </c>
      <c r="L153" s="304">
        <f t="shared" ca="1" si="58"/>
        <v>1138.9245461387729</v>
      </c>
      <c r="M153" s="306">
        <f t="shared" ca="1" si="74"/>
        <v>1.0780617080794903</v>
      </c>
      <c r="N153" s="304">
        <f t="shared" ca="1" si="75"/>
        <v>61.768385927619399</v>
      </c>
      <c r="P153" s="310">
        <f t="shared" ca="1" si="76"/>
        <v>23</v>
      </c>
      <c r="Q153" s="304">
        <f t="shared" ca="1" si="77"/>
        <v>0</v>
      </c>
      <c r="R153" s="306">
        <f t="shared" ca="1" si="78"/>
        <v>0</v>
      </c>
      <c r="S153" s="307">
        <f t="shared" ca="1" si="79"/>
        <v>4.341000000000002</v>
      </c>
      <c r="T153" s="304">
        <f t="shared" ca="1" si="59"/>
        <v>42.585210000000025</v>
      </c>
      <c r="U153" s="311">
        <f t="shared" ca="1" si="60"/>
        <v>0</v>
      </c>
      <c r="V153" s="306">
        <f t="shared" ca="1" si="61"/>
        <v>1.0976239567023267</v>
      </c>
      <c r="W153" s="304">
        <f t="shared" ca="1" si="62"/>
        <v>9.312026672619993</v>
      </c>
      <c r="Y153" s="314" t="str">
        <f t="shared" ca="1" si="80"/>
        <v/>
      </c>
      <c r="Z153" s="315" t="str">
        <f t="shared" ca="1" si="81"/>
        <v/>
      </c>
      <c r="AA153" s="316" t="str">
        <f t="shared" ca="1" si="82"/>
        <v/>
      </c>
      <c r="AC153" s="310" t="e">
        <f t="shared" ca="1" si="83"/>
        <v>#N/A</v>
      </c>
      <c r="AD153" s="323" t="e">
        <f t="shared" ca="1" si="84"/>
        <v>#N/A</v>
      </c>
      <c r="AE153" s="324">
        <f t="shared" ca="1" si="63"/>
        <v>1096.8288080393572</v>
      </c>
      <c r="AG153" s="306">
        <f t="shared" ca="1" si="85"/>
        <v>-10.92269772187805</v>
      </c>
      <c r="AH153" s="304">
        <f t="shared" ca="1" si="86"/>
        <v>-2.2386039337843542</v>
      </c>
    </row>
    <row r="154" spans="1:34" x14ac:dyDescent="0.2">
      <c r="A154" s="347">
        <f t="shared" ca="1" si="64"/>
        <v>0.1</v>
      </c>
      <c r="B154" s="304">
        <f t="shared" ca="1" si="65"/>
        <v>5.9999999999999956</v>
      </c>
      <c r="D154" s="306">
        <f t="shared" ca="1" si="66"/>
        <v>-1.0147276840093062</v>
      </c>
      <c r="E154" s="307">
        <f t="shared" ca="1" si="67"/>
        <v>-11.699954386785819</v>
      </c>
      <c r="F154" s="304">
        <f t="shared" ca="1" si="68"/>
        <v>11.743875209042525</v>
      </c>
      <c r="G154" s="306">
        <f t="shared" ca="1" si="69"/>
        <v>24.087598333212004</v>
      </c>
      <c r="H154" s="307">
        <f t="shared" ca="1" si="70"/>
        <v>43.882723395341287</v>
      </c>
      <c r="I154" s="304">
        <f t="shared" ca="1" si="71"/>
        <v>50.059023223133224</v>
      </c>
      <c r="J154" s="306">
        <f t="shared" ca="1" si="72"/>
        <v>309.19663555225674</v>
      </c>
      <c r="K154" s="307">
        <f t="shared" ca="1" si="73"/>
        <v>1101.2755801508254</v>
      </c>
      <c r="L154" s="304">
        <f t="shared" ca="1" si="58"/>
        <v>1143.8577109384594</v>
      </c>
      <c r="M154" s="306">
        <f t="shared" ca="1" si="74"/>
        <v>1.0687915329219753</v>
      </c>
      <c r="N154" s="304">
        <f t="shared" ca="1" si="75"/>
        <v>61.237244015746761</v>
      </c>
      <c r="P154" s="310">
        <f t="shared" ca="1" si="76"/>
        <v>23</v>
      </c>
      <c r="Q154" s="304">
        <f t="shared" ca="1" si="77"/>
        <v>0</v>
      </c>
      <c r="R154" s="306">
        <f t="shared" ca="1" si="78"/>
        <v>0</v>
      </c>
      <c r="S154" s="307">
        <f t="shared" ca="1" si="79"/>
        <v>4.341000000000002</v>
      </c>
      <c r="T154" s="304">
        <f t="shared" ca="1" si="59"/>
        <v>42.585210000000025</v>
      </c>
      <c r="U154" s="311">
        <f t="shared" ca="1" si="60"/>
        <v>0</v>
      </c>
      <c r="V154" s="306">
        <f t="shared" ca="1" si="61"/>
        <v>1.0971344991149472</v>
      </c>
      <c r="W154" s="304">
        <f t="shared" ca="1" si="62"/>
        <v>8.9200447445163089</v>
      </c>
      <c r="Y154" s="314" t="str">
        <f t="shared" ca="1" si="80"/>
        <v/>
      </c>
      <c r="Z154" s="315" t="str">
        <f t="shared" ca="1" si="81"/>
        <v/>
      </c>
      <c r="AA154" s="316" t="str">
        <f t="shared" ca="1" si="82"/>
        <v/>
      </c>
      <c r="AC154" s="310">
        <f t="shared" ca="1" si="83"/>
        <v>5.9999999999999956</v>
      </c>
      <c r="AD154" s="323">
        <f t="shared" ca="1" si="84"/>
        <v>309.19663555225674</v>
      </c>
      <c r="AE154" s="324">
        <f t="shared" ca="1" si="63"/>
        <v>1101.2755801508254</v>
      </c>
      <c r="AG154" s="306">
        <f t="shared" ca="1" si="85"/>
        <v>-10.788161692615887</v>
      </c>
      <c r="AH154" s="304">
        <f t="shared" ca="1" si="86"/>
        <v>-2.1451339950748651</v>
      </c>
    </row>
    <row r="155" spans="1:34" x14ac:dyDescent="0.2">
      <c r="A155" s="347">
        <f t="shared" ca="1" si="64"/>
        <v>0.1</v>
      </c>
      <c r="B155" s="304">
        <f t="shared" ca="1" si="65"/>
        <v>6.0999999999999952</v>
      </c>
      <c r="D155" s="306">
        <f t="shared" ca="1" si="66"/>
        <v>-0.98875428004981958</v>
      </c>
      <c r="E155" s="307">
        <f t="shared" ca="1" si="67"/>
        <v>-11.611309951169392</v>
      </c>
      <c r="F155" s="304">
        <f t="shared" ca="1" si="68"/>
        <v>11.653332304900697</v>
      </c>
      <c r="G155" s="306">
        <f t="shared" ca="1" si="69"/>
        <v>23.988722905207023</v>
      </c>
      <c r="H155" s="307">
        <f t="shared" ca="1" si="70"/>
        <v>42.721592400224345</v>
      </c>
      <c r="I155" s="304">
        <f t="shared" ca="1" si="71"/>
        <v>48.995849659269204</v>
      </c>
      <c r="J155" s="306">
        <f t="shared" ca="1" si="72"/>
        <v>311.6004516141777</v>
      </c>
      <c r="K155" s="307">
        <f t="shared" ca="1" si="73"/>
        <v>1105.6057959406037</v>
      </c>
      <c r="L155" s="304">
        <f t="shared" ca="1" si="58"/>
        <v>1148.677072750917</v>
      </c>
      <c r="M155" s="306">
        <f t="shared" ca="1" si="74"/>
        <v>1.0591570688355119</v>
      </c>
      <c r="N155" s="304">
        <f t="shared" ca="1" si="75"/>
        <v>60.685229885722045</v>
      </c>
      <c r="P155" s="310">
        <f t="shared" ca="1" si="76"/>
        <v>23</v>
      </c>
      <c r="Q155" s="304">
        <f t="shared" ca="1" si="77"/>
        <v>0</v>
      </c>
      <c r="R155" s="306">
        <f t="shared" ca="1" si="78"/>
        <v>0</v>
      </c>
      <c r="S155" s="307">
        <f t="shared" ca="1" si="79"/>
        <v>4.341000000000002</v>
      </c>
      <c r="T155" s="304">
        <f t="shared" ca="1" si="59"/>
        <v>42.585210000000025</v>
      </c>
      <c r="U155" s="311">
        <f t="shared" ca="1" si="60"/>
        <v>0</v>
      </c>
      <c r="V155" s="306">
        <f t="shared" ca="1" si="61"/>
        <v>1.0966580691289389</v>
      </c>
      <c r="W155" s="304">
        <f t="shared" ca="1" si="62"/>
        <v>8.5414626111710064</v>
      </c>
      <c r="Y155" s="314" t="str">
        <f t="shared" ca="1" si="80"/>
        <v/>
      </c>
      <c r="Z155" s="315" t="str">
        <f t="shared" ca="1" si="81"/>
        <v/>
      </c>
      <c r="AA155" s="316" t="str">
        <f t="shared" ca="1" si="82"/>
        <v/>
      </c>
      <c r="AC155" s="310" t="e">
        <f t="shared" ca="1" si="83"/>
        <v>#N/A</v>
      </c>
      <c r="AD155" s="323" t="e">
        <f t="shared" ca="1" si="84"/>
        <v>#N/A</v>
      </c>
      <c r="AE155" s="324">
        <f t="shared" ca="1" si="63"/>
        <v>1105.6057959406037</v>
      </c>
      <c r="AG155" s="306">
        <f t="shared" ca="1" si="85"/>
        <v>-10.654475146577614</v>
      </c>
      <c r="AH155" s="304">
        <f t="shared" ca="1" si="86"/>
        <v>-2.0548363843621988</v>
      </c>
    </row>
    <row r="156" spans="1:34" x14ac:dyDescent="0.2">
      <c r="A156" s="347">
        <f t="shared" ca="1" si="64"/>
        <v>0.1</v>
      </c>
      <c r="B156" s="304">
        <f t="shared" ca="1" si="65"/>
        <v>6.1999999999999948</v>
      </c>
      <c r="D156" s="306">
        <f t="shared" ca="1" si="66"/>
        <v>-0.96336373332416969</v>
      </c>
      <c r="E156" s="307">
        <f t="shared" ca="1" si="67"/>
        <v>-11.525657515861344</v>
      </c>
      <c r="F156" s="304">
        <f t="shared" ca="1" si="68"/>
        <v>11.565848471064083</v>
      </c>
      <c r="G156" s="306">
        <f t="shared" ca="1" si="69"/>
        <v>23.892386531874607</v>
      </c>
      <c r="H156" s="307">
        <f t="shared" ca="1" si="70"/>
        <v>41.569026648638214</v>
      </c>
      <c r="I156" s="304">
        <f t="shared" ca="1" si="71"/>
        <v>47.9461167426904</v>
      </c>
      <c r="J156" s="306">
        <f t="shared" ca="1" si="72"/>
        <v>313.99450708603177</v>
      </c>
      <c r="K156" s="307">
        <f t="shared" ca="1" si="73"/>
        <v>1109.8203268930467</v>
      </c>
      <c r="L156" s="304">
        <f t="shared" ca="1" si="58"/>
        <v>1153.3835912068409</v>
      </c>
      <c r="M156" s="306">
        <f t="shared" ca="1" si="74"/>
        <v>1.0491393078081348</v>
      </c>
      <c r="N156" s="304">
        <f t="shared" ca="1" si="75"/>
        <v>60.111254458682701</v>
      </c>
      <c r="P156" s="310">
        <f t="shared" ca="1" si="76"/>
        <v>23</v>
      </c>
      <c r="Q156" s="304">
        <f t="shared" ca="1" si="77"/>
        <v>0</v>
      </c>
      <c r="R156" s="306">
        <f t="shared" ca="1" si="78"/>
        <v>0</v>
      </c>
      <c r="S156" s="307">
        <f t="shared" ca="1" si="79"/>
        <v>4.341000000000002</v>
      </c>
      <c r="T156" s="304">
        <f t="shared" ca="1" si="59"/>
        <v>42.585210000000025</v>
      </c>
      <c r="U156" s="311">
        <f t="shared" ca="1" si="60"/>
        <v>0</v>
      </c>
      <c r="V156" s="306">
        <f t="shared" ca="1" si="61"/>
        <v>1.0961945550088839</v>
      </c>
      <c r="W156" s="304">
        <f t="shared" ca="1" si="62"/>
        <v>8.1759257076075205</v>
      </c>
      <c r="Y156" s="314" t="str">
        <f t="shared" ca="1" si="80"/>
        <v/>
      </c>
      <c r="Z156" s="315" t="str">
        <f t="shared" ca="1" si="81"/>
        <v/>
      </c>
      <c r="AA156" s="316" t="str">
        <f t="shared" ca="1" si="82"/>
        <v/>
      </c>
      <c r="AC156" s="310" t="e">
        <f t="shared" ca="1" si="83"/>
        <v>#N/A</v>
      </c>
      <c r="AD156" s="323" t="e">
        <f t="shared" ca="1" si="84"/>
        <v>#N/A</v>
      </c>
      <c r="AE156" s="324">
        <f t="shared" ca="1" si="63"/>
        <v>1109.8203268930467</v>
      </c>
      <c r="AG156" s="306">
        <f t="shared" ca="1" si="85"/>
        <v>-10.521387255814737</v>
      </c>
      <c r="AH156" s="304">
        <f t="shared" ca="1" si="86"/>
        <v>-1.9676255727184986</v>
      </c>
    </row>
    <row r="157" spans="1:34" x14ac:dyDescent="0.2">
      <c r="A157" s="347">
        <f t="shared" ca="1" si="64"/>
        <v>0.1</v>
      </c>
      <c r="B157" s="304">
        <f t="shared" ca="1" si="65"/>
        <v>6.2999999999999945</v>
      </c>
      <c r="D157" s="306">
        <f t="shared" ca="1" si="66"/>
        <v>-0.93854098890233373</v>
      </c>
      <c r="E157" s="307">
        <f t="shared" ca="1" si="67"/>
        <v>-11.442914959184671</v>
      </c>
      <c r="F157" s="304">
        <f t="shared" ca="1" si="68"/>
        <v>11.481339728053609</v>
      </c>
      <c r="G157" s="306">
        <f t="shared" ca="1" si="69"/>
        <v>23.798532432984373</v>
      </c>
      <c r="H157" s="307">
        <f t="shared" ca="1" si="70"/>
        <v>40.424735152719748</v>
      </c>
      <c r="I157" s="304">
        <f t="shared" ca="1" si="71"/>
        <v>46.9098002354662</v>
      </c>
      <c r="J157" s="306">
        <f t="shared" ca="1" si="72"/>
        <v>316.3790530342747</v>
      </c>
      <c r="K157" s="307">
        <f t="shared" ca="1" si="73"/>
        <v>1113.9200149831147</v>
      </c>
      <c r="L157" s="304">
        <f t="shared" ca="1" si="58"/>
        <v>1157.9781971085843</v>
      </c>
      <c r="M157" s="306">
        <f t="shared" ca="1" si="74"/>
        <v>1.0387180682717612</v>
      </c>
      <c r="N157" s="304">
        <f t="shared" ca="1" si="75"/>
        <v>59.514161415953616</v>
      </c>
      <c r="P157" s="310">
        <f t="shared" ca="1" si="76"/>
        <v>23</v>
      </c>
      <c r="Q157" s="304">
        <f t="shared" ca="1" si="77"/>
        <v>0</v>
      </c>
      <c r="R157" s="306">
        <f t="shared" ca="1" si="78"/>
        <v>0</v>
      </c>
      <c r="S157" s="307">
        <f t="shared" ca="1" si="79"/>
        <v>4.341000000000002</v>
      </c>
      <c r="T157" s="304">
        <f t="shared" ca="1" si="59"/>
        <v>42.585210000000025</v>
      </c>
      <c r="U157" s="311">
        <f t="shared" ca="1" si="60"/>
        <v>0</v>
      </c>
      <c r="V157" s="306">
        <f t="shared" ca="1" si="61"/>
        <v>1.0957438488555431</v>
      </c>
      <c r="W157" s="304">
        <f t="shared" ca="1" si="62"/>
        <v>7.8230954178173366</v>
      </c>
      <c r="Y157" s="314" t="str">
        <f t="shared" ca="1" si="80"/>
        <v/>
      </c>
      <c r="Z157" s="315" t="str">
        <f t="shared" ca="1" si="81"/>
        <v/>
      </c>
      <c r="AA157" s="316" t="str">
        <f t="shared" ca="1" si="82"/>
        <v/>
      </c>
      <c r="AC157" s="310" t="e">
        <f t="shared" ca="1" si="83"/>
        <v>#N/A</v>
      </c>
      <c r="AD157" s="323" t="e">
        <f t="shared" ca="1" si="84"/>
        <v>#N/A</v>
      </c>
      <c r="AE157" s="324">
        <f t="shared" ca="1" si="63"/>
        <v>1113.9200149831147</v>
      </c>
      <c r="AG157" s="306">
        <f t="shared" ca="1" si="85"/>
        <v>-10.388637387098667</v>
      </c>
      <c r="AH157" s="304">
        <f t="shared" ca="1" si="86"/>
        <v>-1.883419881964413</v>
      </c>
    </row>
    <row r="158" spans="1:34" x14ac:dyDescent="0.2">
      <c r="A158" s="347">
        <f t="shared" ca="1" si="64"/>
        <v>0.1</v>
      </c>
      <c r="B158" s="304">
        <f t="shared" ca="1" si="65"/>
        <v>6.3999999999999941</v>
      </c>
      <c r="D158" s="306">
        <f t="shared" ca="1" si="66"/>
        <v>-0.9142720316612688</v>
      </c>
      <c r="E158" s="307">
        <f t="shared" ca="1" si="67"/>
        <v>-11.363003524125755</v>
      </c>
      <c r="F158" s="304">
        <f t="shared" ca="1" si="68"/>
        <v>11.399725542186196</v>
      </c>
      <c r="G158" s="306">
        <f t="shared" ca="1" si="69"/>
        <v>23.707105229818247</v>
      </c>
      <c r="H158" s="307">
        <f t="shared" ca="1" si="70"/>
        <v>39.288434800307172</v>
      </c>
      <c r="I158" s="304">
        <f t="shared" ca="1" si="71"/>
        <v>45.886903877202954</v>
      </c>
      <c r="J158" s="306">
        <f t="shared" ca="1" si="72"/>
        <v>318.75433491741484</v>
      </c>
      <c r="K158" s="307">
        <f t="shared" ca="1" si="73"/>
        <v>1117.9056734807662</v>
      </c>
      <c r="L158" s="304">
        <f t="shared" ca="1" si="58"/>
        <v>1162.4617932771505</v>
      </c>
      <c r="M158" s="306">
        <f t="shared" ca="1" si="74"/>
        <v>1.0278719244273684</v>
      </c>
      <c r="N158" s="304">
        <f t="shared" ca="1" si="75"/>
        <v>58.892723149678119</v>
      </c>
      <c r="P158" s="310">
        <f t="shared" ca="1" si="76"/>
        <v>23</v>
      </c>
      <c r="Q158" s="304">
        <f t="shared" ca="1" si="77"/>
        <v>0</v>
      </c>
      <c r="R158" s="306">
        <f t="shared" ca="1" si="78"/>
        <v>0</v>
      </c>
      <c r="S158" s="307">
        <f t="shared" ca="1" si="79"/>
        <v>4.341000000000002</v>
      </c>
      <c r="T158" s="304">
        <f t="shared" ca="1" si="59"/>
        <v>42.585210000000025</v>
      </c>
      <c r="U158" s="311">
        <f t="shared" ca="1" si="60"/>
        <v>0</v>
      </c>
      <c r="V158" s="306">
        <f t="shared" ca="1" si="61"/>
        <v>1.0953058464993872</v>
      </c>
      <c r="W158" s="304">
        <f t="shared" ca="1" si="62"/>
        <v>7.4826483515033084</v>
      </c>
      <c r="Y158" s="314" t="str">
        <f t="shared" ca="1" si="80"/>
        <v/>
      </c>
      <c r="Z158" s="315" t="str">
        <f t="shared" ca="1" si="81"/>
        <v/>
      </c>
      <c r="AA158" s="316" t="str">
        <f t="shared" ca="1" si="82"/>
        <v/>
      </c>
      <c r="AC158" s="310" t="e">
        <f t="shared" ca="1" si="83"/>
        <v>#N/A</v>
      </c>
      <c r="AD158" s="323" t="e">
        <f t="shared" ca="1" si="84"/>
        <v>#N/A</v>
      </c>
      <c r="AE158" s="324">
        <f t="shared" ca="1" si="63"/>
        <v>1117.9056734807662</v>
      </c>
      <c r="AG158" s="306">
        <f t="shared" ca="1" si="85"/>
        <v>-10.255953727906228</v>
      </c>
      <c r="AH158" s="304">
        <f t="shared" ca="1" si="86"/>
        <v>-1.8021413079514703</v>
      </c>
    </row>
    <row r="159" spans="1:34" x14ac:dyDescent="0.2">
      <c r="A159" s="347">
        <f t="shared" ca="1" si="64"/>
        <v>0.1</v>
      </c>
      <c r="B159" s="304">
        <f t="shared" ca="1" si="65"/>
        <v>6.4999999999999938</v>
      </c>
      <c r="D159" s="306">
        <f t="shared" ca="1" si="66"/>
        <v>-0.89054387700109217</v>
      </c>
      <c r="E159" s="307">
        <f t="shared" ca="1" si="67"/>
        <v>-11.285847629189371</v>
      </c>
      <c r="F159" s="304">
        <f t="shared" ca="1" si="68"/>
        <v>11.320928632676008</v>
      </c>
      <c r="G159" s="306">
        <f t="shared" ca="1" si="69"/>
        <v>23.618050842118137</v>
      </c>
      <c r="H159" s="307">
        <f t="shared" ca="1" si="70"/>
        <v>38.159850037388232</v>
      </c>
      <c r="I159" s="304">
        <f t="shared" ca="1" si="71"/>
        <v>44.877460717567743</v>
      </c>
      <c r="J159" s="306">
        <f t="shared" ca="1" si="72"/>
        <v>321.12059272101163</v>
      </c>
      <c r="K159" s="307">
        <f t="shared" ca="1" si="73"/>
        <v>1121.778087722651</v>
      </c>
      <c r="L159" s="304">
        <f t="shared" ca="1" si="58"/>
        <v>1166.8352553656327</v>
      </c>
      <c r="M159" s="306">
        <f t="shared" ca="1" si="74"/>
        <v>1.0165781336963151</v>
      </c>
      <c r="N159" s="304">
        <f t="shared" ca="1" si="75"/>
        <v>58.245636606084794</v>
      </c>
      <c r="P159" s="310">
        <f t="shared" ca="1" si="76"/>
        <v>23</v>
      </c>
      <c r="Q159" s="304">
        <f t="shared" ca="1" si="77"/>
        <v>0</v>
      </c>
      <c r="R159" s="306">
        <f t="shared" ca="1" si="78"/>
        <v>0</v>
      </c>
      <c r="S159" s="307">
        <f t="shared" ca="1" si="79"/>
        <v>4.341000000000002</v>
      </c>
      <c r="T159" s="304">
        <f t="shared" ca="1" si="59"/>
        <v>42.585210000000025</v>
      </c>
      <c r="U159" s="311">
        <f t="shared" ca="1" si="60"/>
        <v>0</v>
      </c>
      <c r="V159" s="306">
        <f t="shared" ca="1" si="61"/>
        <v>1.0948804473986016</v>
      </c>
      <c r="W159" s="304">
        <f t="shared" ca="1" si="62"/>
        <v>7.1542756618487644</v>
      </c>
      <c r="Y159" s="314" t="str">
        <f t="shared" ca="1" si="80"/>
        <v/>
      </c>
      <c r="Z159" s="315" t="str">
        <f t="shared" ca="1" si="81"/>
        <v/>
      </c>
      <c r="AA159" s="316" t="str">
        <f t="shared" ca="1" si="82"/>
        <v/>
      </c>
      <c r="AC159" s="310" t="e">
        <f t="shared" ca="1" si="83"/>
        <v>#N/A</v>
      </c>
      <c r="AD159" s="323" t="e">
        <f t="shared" ca="1" si="84"/>
        <v>#N/A</v>
      </c>
      <c r="AE159" s="324">
        <f t="shared" ca="1" si="63"/>
        <v>1121.778087722651</v>
      </c>
      <c r="AG159" s="306">
        <f t="shared" ca="1" si="85"/>
        <v>-10.123051827434773</v>
      </c>
      <c r="AH159" s="304">
        <f t="shared" ca="1" si="86"/>
        <v>-1.723715353951464</v>
      </c>
    </row>
    <row r="160" spans="1:34" x14ac:dyDescent="0.2">
      <c r="A160" s="347">
        <f t="shared" ca="1" si="64"/>
        <v>0.1</v>
      </c>
      <c r="B160" s="304">
        <f t="shared" ca="1" si="65"/>
        <v>6.5999999999999934</v>
      </c>
      <c r="D160" s="306">
        <f t="shared" ca="1" si="66"/>
        <v>-0.8673445658305613</v>
      </c>
      <c r="E160" s="307">
        <f t="shared" ca="1" si="67"/>
        <v>-11.211374685154565</v>
      </c>
      <c r="F160" s="304">
        <f t="shared" ca="1" si="68"/>
        <v>11.244874784843113</v>
      </c>
      <c r="G160" s="306">
        <f t="shared" ca="1" si="69"/>
        <v>23.531316385535082</v>
      </c>
      <c r="H160" s="307">
        <f t="shared" ca="1" si="70"/>
        <v>37.038712568872775</v>
      </c>
      <c r="I160" s="304">
        <f t="shared" ca="1" si="71"/>
        <v>43.881534608485673</v>
      </c>
      <c r="J160" s="306">
        <f t="shared" ca="1" si="72"/>
        <v>323.47806108239428</v>
      </c>
      <c r="K160" s="307">
        <f t="shared" ca="1" si="73"/>
        <v>1125.538015852964</v>
      </c>
      <c r="L160" s="304">
        <f t="shared" ca="1" si="58"/>
        <v>1171.0994326409061</v>
      </c>
      <c r="M160" s="306">
        <f t="shared" ca="1" si="74"/>
        <v>1.0048125629985807</v>
      </c>
      <c r="N160" s="304">
        <f t="shared" ca="1" si="75"/>
        <v>57.571519061541821</v>
      </c>
      <c r="P160" s="310">
        <f t="shared" ca="1" si="76"/>
        <v>23</v>
      </c>
      <c r="Q160" s="304">
        <f t="shared" ca="1" si="77"/>
        <v>0</v>
      </c>
      <c r="R160" s="306">
        <f t="shared" ca="1" si="78"/>
        <v>0</v>
      </c>
      <c r="S160" s="307">
        <f t="shared" ca="1" si="79"/>
        <v>4.341000000000002</v>
      </c>
      <c r="T160" s="304">
        <f t="shared" ca="1" si="59"/>
        <v>42.585210000000025</v>
      </c>
      <c r="U160" s="311">
        <f t="shared" ca="1" si="60"/>
        <v>0</v>
      </c>
      <c r="V160" s="306">
        <f t="shared" ca="1" si="61"/>
        <v>1.0944675545413125</v>
      </c>
      <c r="W160" s="304">
        <f t="shared" ca="1" si="62"/>
        <v>6.8376824016555311</v>
      </c>
      <c r="Y160" s="314" t="str">
        <f t="shared" ca="1" si="80"/>
        <v/>
      </c>
      <c r="Z160" s="315" t="str">
        <f t="shared" ca="1" si="81"/>
        <v/>
      </c>
      <c r="AA160" s="316" t="str">
        <f t="shared" ca="1" si="82"/>
        <v/>
      </c>
      <c r="AC160" s="310" t="e">
        <f t="shared" ca="1" si="83"/>
        <v>#N/A</v>
      </c>
      <c r="AD160" s="323" t="e">
        <f t="shared" ca="1" si="84"/>
        <v>#N/A</v>
      </c>
      <c r="AE160" s="324">
        <f t="shared" ca="1" si="63"/>
        <v>1125.538015852964</v>
      </c>
      <c r="AG160" s="306">
        <f t="shared" ca="1" si="85"/>
        <v>-9.9896330492780052</v>
      </c>
      <c r="AH160" s="304">
        <f t="shared" ca="1" si="86"/>
        <v>-1.6480708734966047</v>
      </c>
    </row>
    <row r="161" spans="1:34" x14ac:dyDescent="0.2">
      <c r="A161" s="347">
        <f t="shared" ca="1" si="64"/>
        <v>0.1</v>
      </c>
      <c r="B161" s="304">
        <f t="shared" ca="1" si="65"/>
        <v>6.6999999999999931</v>
      </c>
      <c r="D161" s="306">
        <f t="shared" ca="1" si="66"/>
        <v>-0.84466316386017681</v>
      </c>
      <c r="E161" s="307">
        <f t="shared" ca="1" si="67"/>
        <v>-11.139514916681971</v>
      </c>
      <c r="F161" s="304">
        <f t="shared" ca="1" si="68"/>
        <v>11.171492668366319</v>
      </c>
      <c r="G161" s="306">
        <f t="shared" ca="1" si="69"/>
        <v>23.446850069149065</v>
      </c>
      <c r="H161" s="307">
        <f t="shared" ca="1" si="70"/>
        <v>35.924761077204579</v>
      </c>
      <c r="I161" s="304">
        <f t="shared" ca="1" si="71"/>
        <v>42.899221864963806</v>
      </c>
      <c r="J161" s="306">
        <f t="shared" ca="1" si="72"/>
        <v>325.82696940512847</v>
      </c>
      <c r="K161" s="307">
        <f t="shared" ca="1" si="73"/>
        <v>1129.1861895352679</v>
      </c>
      <c r="L161" s="304">
        <f t="shared" ca="1" si="58"/>
        <v>1175.2551487353326</v>
      </c>
      <c r="M161" s="306">
        <f t="shared" ca="1" si="74"/>
        <v>0.99254961480568127</v>
      </c>
      <c r="N161" s="304">
        <f t="shared" ca="1" si="75"/>
        <v>56.868903885701101</v>
      </c>
      <c r="P161" s="310">
        <f t="shared" ca="1" si="76"/>
        <v>23</v>
      </c>
      <c r="Q161" s="304">
        <f t="shared" ca="1" si="77"/>
        <v>0</v>
      </c>
      <c r="R161" s="306">
        <f t="shared" ca="1" si="78"/>
        <v>0</v>
      </c>
      <c r="S161" s="307">
        <f t="shared" ca="1" si="79"/>
        <v>4.341000000000002</v>
      </c>
      <c r="T161" s="304">
        <f t="shared" ca="1" si="59"/>
        <v>42.585210000000025</v>
      </c>
      <c r="U161" s="311">
        <f t="shared" ca="1" si="60"/>
        <v>0</v>
      </c>
      <c r="V161" s="306">
        <f t="shared" ca="1" si="61"/>
        <v>1.0940670743517997</v>
      </c>
      <c r="W161" s="304">
        <f t="shared" ca="1" si="62"/>
        <v>6.5325869153689755</v>
      </c>
      <c r="Y161" s="314" t="str">
        <f t="shared" ca="1" si="80"/>
        <v/>
      </c>
      <c r="Z161" s="315" t="str">
        <f t="shared" ca="1" si="81"/>
        <v/>
      </c>
      <c r="AA161" s="316" t="str">
        <f t="shared" ca="1" si="82"/>
        <v/>
      </c>
      <c r="AC161" s="310" t="e">
        <f t="shared" ca="1" si="83"/>
        <v>#N/A</v>
      </c>
      <c r="AD161" s="323" t="e">
        <f t="shared" ca="1" si="84"/>
        <v>#N/A</v>
      </c>
      <c r="AE161" s="324">
        <f t="shared" ca="1" si="63"/>
        <v>1129.1861895352679</v>
      </c>
      <c r="AG161" s="306">
        <f t="shared" ca="1" si="85"/>
        <v>-9.8553829341243162</v>
      </c>
      <c r="AH161" s="304">
        <f t="shared" ca="1" si="86"/>
        <v>-1.575139922058403</v>
      </c>
    </row>
    <row r="162" spans="1:34" x14ac:dyDescent="0.2">
      <c r="A162" s="347">
        <f t="shared" ca="1" si="64"/>
        <v>0.1</v>
      </c>
      <c r="B162" s="304">
        <f t="shared" ca="1" si="65"/>
        <v>6.7999999999999927</v>
      </c>
      <c r="D162" s="306">
        <f t="shared" ca="1" si="66"/>
        <v>-0.82248976524866713</v>
      </c>
      <c r="E162" s="307">
        <f t="shared" ca="1" si="67"/>
        <v>-11.070201187701663</v>
      </c>
      <c r="F162" s="304">
        <f t="shared" ca="1" si="68"/>
        <v>11.100713659496408</v>
      </c>
      <c r="G162" s="306">
        <f t="shared" ca="1" si="69"/>
        <v>23.364601092624198</v>
      </c>
      <c r="H162" s="307">
        <f t="shared" ca="1" si="70"/>
        <v>34.817740958434413</v>
      </c>
      <c r="I162" s="304">
        <f t="shared" ca="1" si="71"/>
        <v>41.930653103262024</v>
      </c>
      <c r="J162" s="306">
        <f t="shared" ca="1" si="72"/>
        <v>328.1675419632171</v>
      </c>
      <c r="K162" s="307">
        <f t="shared" ca="1" si="73"/>
        <v>1132.7233146370497</v>
      </c>
      <c r="L162" s="304">
        <f t="shared" ca="1" si="58"/>
        <v>1179.3032023701642</v>
      </c>
      <c r="M162" s="306">
        <f t="shared" ca="1" si="74"/>
        <v>0.97976215422225565</v>
      </c>
      <c r="N162" s="304">
        <f t="shared" ca="1" si="75"/>
        <v>56.13623636358092</v>
      </c>
      <c r="P162" s="310">
        <f t="shared" ca="1" si="76"/>
        <v>23</v>
      </c>
      <c r="Q162" s="304">
        <f t="shared" ca="1" si="77"/>
        <v>0</v>
      </c>
      <c r="R162" s="306">
        <f t="shared" ca="1" si="78"/>
        <v>0</v>
      </c>
      <c r="S162" s="307">
        <f t="shared" ca="1" si="79"/>
        <v>4.341000000000002</v>
      </c>
      <c r="T162" s="304">
        <f t="shared" ca="1" si="59"/>
        <v>42.585210000000025</v>
      </c>
      <c r="U162" s="311">
        <f t="shared" ca="1" si="60"/>
        <v>0</v>
      </c>
      <c r="V162" s="306">
        <f t="shared" ca="1" si="61"/>
        <v>1.0936789166004641</v>
      </c>
      <c r="W162" s="304">
        <f t="shared" ca="1" si="62"/>
        <v>6.2387202646673918</v>
      </c>
      <c r="Y162" s="314" t="str">
        <f t="shared" ca="1" si="80"/>
        <v/>
      </c>
      <c r="Z162" s="315" t="str">
        <f t="shared" ca="1" si="81"/>
        <v/>
      </c>
      <c r="AA162" s="316" t="str">
        <f t="shared" ca="1" si="82"/>
        <v/>
      </c>
      <c r="AC162" s="310" t="e">
        <f t="shared" ca="1" si="83"/>
        <v>#N/A</v>
      </c>
      <c r="AD162" s="323" t="e">
        <f t="shared" ca="1" si="84"/>
        <v>#N/A</v>
      </c>
      <c r="AE162" s="324">
        <f t="shared" ca="1" si="63"/>
        <v>1132.7233146370497</v>
      </c>
      <c r="AG162" s="306">
        <f t="shared" ca="1" si="85"/>
        <v>-9.7199694732578461</v>
      </c>
      <c r="AH162" s="304">
        <f t="shared" ca="1" si="86"/>
        <v>-1.5048576169935435</v>
      </c>
    </row>
    <row r="163" spans="1:34" x14ac:dyDescent="0.2">
      <c r="A163" s="347">
        <f t="shared" ca="1" si="64"/>
        <v>0.1</v>
      </c>
      <c r="B163" s="304">
        <f t="shared" ca="1" si="65"/>
        <v>6.8999999999999924</v>
      </c>
      <c r="D163" s="306">
        <f t="shared" ca="1" si="66"/>
        <v>-0.80081550065025298</v>
      </c>
      <c r="E163" s="307">
        <f t="shared" ca="1" si="67"/>
        <v>-11.003368829478605</v>
      </c>
      <c r="F163" s="304">
        <f t="shared" ca="1" si="68"/>
        <v>11.032471666114674</v>
      </c>
      <c r="G163" s="306">
        <f t="shared" ca="1" si="69"/>
        <v>23.284519542559174</v>
      </c>
      <c r="H163" s="307">
        <f t="shared" ca="1" si="70"/>
        <v>33.717404075486556</v>
      </c>
      <c r="I163" s="304">
        <f t="shared" ca="1" si="71"/>
        <v>40.975995264513806</v>
      </c>
      <c r="J163" s="306">
        <f t="shared" ca="1" si="72"/>
        <v>330.4999979949763</v>
      </c>
      <c r="K163" s="307">
        <f t="shared" ca="1" si="73"/>
        <v>1136.1500718887457</v>
      </c>
      <c r="L163" s="304">
        <f t="shared" ca="1" si="58"/>
        <v>1183.2443680522977</v>
      </c>
      <c r="M163" s="306">
        <f t="shared" ca="1" si="74"/>
        <v>0.96642143872737873</v>
      </c>
      <c r="N163" s="304">
        <f t="shared" ca="1" si="75"/>
        <v>55.371869670039693</v>
      </c>
      <c r="P163" s="310">
        <f t="shared" ca="1" si="76"/>
        <v>23</v>
      </c>
      <c r="Q163" s="304">
        <f t="shared" ca="1" si="77"/>
        <v>0</v>
      </c>
      <c r="R163" s="306">
        <f t="shared" ca="1" si="78"/>
        <v>0</v>
      </c>
      <c r="S163" s="307">
        <f t="shared" ca="1" si="79"/>
        <v>4.341000000000002</v>
      </c>
      <c r="T163" s="304">
        <f t="shared" ca="1" si="59"/>
        <v>42.585210000000025</v>
      </c>
      <c r="U163" s="311">
        <f t="shared" ca="1" si="60"/>
        <v>0</v>
      </c>
      <c r="V163" s="306">
        <f t="shared" ca="1" si="61"/>
        <v>1.0933029943173238</v>
      </c>
      <c r="W163" s="304">
        <f t="shared" ca="1" si="62"/>
        <v>5.9558256854373965</v>
      </c>
      <c r="Y163" s="314" t="str">
        <f t="shared" ca="1" si="80"/>
        <v/>
      </c>
      <c r="Z163" s="315" t="str">
        <f t="shared" ca="1" si="81"/>
        <v/>
      </c>
      <c r="AA163" s="316" t="str">
        <f t="shared" ca="1" si="82"/>
        <v/>
      </c>
      <c r="AC163" s="310" t="e">
        <f t="shared" ca="1" si="83"/>
        <v>#N/A</v>
      </c>
      <c r="AD163" s="323" t="e">
        <f t="shared" ca="1" si="84"/>
        <v>#N/A</v>
      </c>
      <c r="AE163" s="324">
        <f t="shared" ca="1" si="63"/>
        <v>1136.1500718887457</v>
      </c>
      <c r="AG163" s="306">
        <f t="shared" ca="1" si="85"/>
        <v>-9.5830412969437138</v>
      </c>
      <c r="AH163" s="304">
        <f t="shared" ca="1" si="86"/>
        <v>-1.4371620052216976</v>
      </c>
    </row>
    <row r="164" spans="1:34" x14ac:dyDescent="0.2">
      <c r="A164" s="347">
        <f t="shared" ca="1" si="64"/>
        <v>0.1</v>
      </c>
      <c r="B164" s="304">
        <f t="shared" ca="1" si="65"/>
        <v>6.999999999999992</v>
      </c>
      <c r="D164" s="306">
        <f t="shared" ca="1" si="66"/>
        <v>-0.7796325497042339</v>
      </c>
      <c r="E164" s="307">
        <f t="shared" ca="1" si="67"/>
        <v>-10.938955470209816</v>
      </c>
      <c r="F164" s="304">
        <f t="shared" ca="1" si="68"/>
        <v>10.966702954479599</v>
      </c>
      <c r="G164" s="306">
        <f t="shared" ca="1" si="69"/>
        <v>23.20655628758875</v>
      </c>
      <c r="H164" s="307">
        <f t="shared" ca="1" si="70"/>
        <v>32.623508528465571</v>
      </c>
      <c r="I164" s="304">
        <f t="shared" ca="1" si="71"/>
        <v>40.035453830772177</v>
      </c>
      <c r="J164" s="306">
        <f t="shared" ca="1" si="72"/>
        <v>332.82455178648371</v>
      </c>
      <c r="K164" s="307">
        <f t="shared" ca="1" si="73"/>
        <v>1139.4671175189433</v>
      </c>
      <c r="L164" s="304">
        <f t="shared" ca="1" si="58"/>
        <v>1187.0793967459815</v>
      </c>
      <c r="M164" s="306">
        <f t="shared" ca="1" si="74"/>
        <v>0.9524970526676283</v>
      </c>
      <c r="N164" s="304">
        <f t="shared" ca="1" si="75"/>
        <v>54.574061116505192</v>
      </c>
      <c r="P164" s="310">
        <f t="shared" ca="1" si="76"/>
        <v>23</v>
      </c>
      <c r="Q164" s="304">
        <f t="shared" ca="1" si="77"/>
        <v>0</v>
      </c>
      <c r="R164" s="306">
        <f t="shared" ca="1" si="78"/>
        <v>0</v>
      </c>
      <c r="S164" s="307">
        <f t="shared" ca="1" si="79"/>
        <v>4.341000000000002</v>
      </c>
      <c r="T164" s="304">
        <f t="shared" ca="1" si="59"/>
        <v>42.585210000000025</v>
      </c>
      <c r="U164" s="311">
        <f t="shared" ca="1" si="60"/>
        <v>0</v>
      </c>
      <c r="V164" s="306">
        <f t="shared" ca="1" si="61"/>
        <v>1.0929392237088207</v>
      </c>
      <c r="W164" s="304">
        <f t="shared" ca="1" si="62"/>
        <v>5.683658074087683</v>
      </c>
      <c r="Y164" s="314" t="str">
        <f t="shared" ca="1" si="80"/>
        <v/>
      </c>
      <c r="Z164" s="315" t="str">
        <f t="shared" ca="1" si="81"/>
        <v/>
      </c>
      <c r="AA164" s="316" t="str">
        <f t="shared" ca="1" si="82"/>
        <v/>
      </c>
      <c r="AC164" s="310">
        <f t="shared" ca="1" si="83"/>
        <v>6.999999999999992</v>
      </c>
      <c r="AD164" s="323">
        <f t="shared" ca="1" si="84"/>
        <v>332.82455178648371</v>
      </c>
      <c r="AE164" s="324">
        <f t="shared" ca="1" si="63"/>
        <v>1139.4671175189433</v>
      </c>
      <c r="AG164" s="306">
        <f t="shared" ca="1" si="85"/>
        <v>-9.4442257862022334</v>
      </c>
      <c r="AH164" s="304">
        <f t="shared" ca="1" si="86"/>
        <v>-1.37199393813347</v>
      </c>
    </row>
    <row r="165" spans="1:34" x14ac:dyDescent="0.2">
      <c r="A165" s="347">
        <f t="shared" ca="1" si="64"/>
        <v>0.1</v>
      </c>
      <c r="B165" s="304">
        <f t="shared" ca="1" si="65"/>
        <v>7.0999999999999917</v>
      </c>
      <c r="D165" s="306">
        <f t="shared" ca="1" si="66"/>
        <v>-0.75893415799293007</v>
      </c>
      <c r="E165" s="307">
        <f t="shared" ca="1" si="67"/>
        <v>-10.876900864953745</v>
      </c>
      <c r="F165" s="304">
        <f t="shared" ca="1" si="68"/>
        <v>10.903345976451448</v>
      </c>
      <c r="G165" s="306">
        <f t="shared" ca="1" si="69"/>
        <v>23.130662871789458</v>
      </c>
      <c r="H165" s="307">
        <f t="shared" ca="1" si="70"/>
        <v>31.535818441970196</v>
      </c>
      <c r="I165" s="304">
        <f t="shared" ca="1" si="71"/>
        <v>39.109275238660288</v>
      </c>
      <c r="J165" s="306">
        <f t="shared" ca="1" si="72"/>
        <v>335.14141274445262</v>
      </c>
      <c r="K165" s="307">
        <f t="shared" ca="1" si="73"/>
        <v>1142.675083867465</v>
      </c>
      <c r="L165" s="304">
        <f t="shared" ca="1" si="58"/>
        <v>1190.8090165210649</v>
      </c>
      <c r="M165" s="306">
        <f t="shared" ca="1" si="74"/>
        <v>0.93795684915327315</v>
      </c>
      <c r="N165" s="304">
        <f t="shared" ca="1" si="75"/>
        <v>53.740968821871355</v>
      </c>
      <c r="P165" s="310">
        <f t="shared" ca="1" si="76"/>
        <v>23</v>
      </c>
      <c r="Q165" s="304">
        <f t="shared" ca="1" si="77"/>
        <v>0</v>
      </c>
      <c r="R165" s="306">
        <f t="shared" ca="1" si="78"/>
        <v>0</v>
      </c>
      <c r="S165" s="307">
        <f t="shared" ca="1" si="79"/>
        <v>4.341000000000002</v>
      </c>
      <c r="T165" s="304">
        <f t="shared" ca="1" si="59"/>
        <v>42.585210000000025</v>
      </c>
      <c r="U165" s="311">
        <f t="shared" ca="1" si="60"/>
        <v>0</v>
      </c>
      <c r="V165" s="306">
        <f t="shared" ca="1" si="61"/>
        <v>1.0925875240777154</v>
      </c>
      <c r="W165" s="304">
        <f t="shared" ca="1" si="62"/>
        <v>5.4219835012710647</v>
      </c>
      <c r="Y165" s="314" t="str">
        <f t="shared" ca="1" si="80"/>
        <v/>
      </c>
      <c r="Z165" s="315" t="str">
        <f t="shared" ca="1" si="81"/>
        <v/>
      </c>
      <c r="AA165" s="316" t="str">
        <f t="shared" ca="1" si="82"/>
        <v/>
      </c>
      <c r="AC165" s="310" t="e">
        <f t="shared" ca="1" si="83"/>
        <v>#N/A</v>
      </c>
      <c r="AD165" s="323" t="e">
        <f t="shared" ca="1" si="84"/>
        <v>#N/A</v>
      </c>
      <c r="AE165" s="324">
        <f t="shared" ca="1" si="63"/>
        <v>1142.675083867465</v>
      </c>
      <c r="AG165" s="306">
        <f t="shared" ca="1" si="85"/>
        <v>-9.3031271223120804</v>
      </c>
      <c r="AH165" s="304">
        <f t="shared" ca="1" si="86"/>
        <v>-1.3092969532567795</v>
      </c>
    </row>
    <row r="166" spans="1:34" x14ac:dyDescent="0.2">
      <c r="A166" s="347">
        <f t="shared" ca="1" si="64"/>
        <v>0.1</v>
      </c>
      <c r="B166" s="304">
        <f t="shared" ca="1" si="65"/>
        <v>7.1999999999999913</v>
      </c>
      <c r="D166" s="306">
        <f t="shared" ca="1" si="66"/>
        <v>-0.73871465846612228</v>
      </c>
      <c r="E166" s="307">
        <f t="shared" ca="1" si="67"/>
        <v>-10.817146724628538</v>
      </c>
      <c r="F166" s="304">
        <f t="shared" ca="1" si="68"/>
        <v>10.842341195921415</v>
      </c>
      <c r="G166" s="306">
        <f t="shared" ca="1" si="69"/>
        <v>23.056791405942846</v>
      </c>
      <c r="H166" s="307">
        <f t="shared" ca="1" si="70"/>
        <v>30.454103769507341</v>
      </c>
      <c r="I166" s="304">
        <f t="shared" ca="1" si="71"/>
        <v>38.197749493145288</v>
      </c>
      <c r="J166" s="306">
        <f t="shared" ca="1" si="72"/>
        <v>337.45078545833923</v>
      </c>
      <c r="K166" s="307">
        <f t="shared" ca="1" si="73"/>
        <v>1145.7745799780389</v>
      </c>
      <c r="L166" s="304">
        <f t="shared" ca="1" si="58"/>
        <v>1194.433933179354</v>
      </c>
      <c r="M166" s="306">
        <f t="shared" ca="1" si="74"/>
        <v>0.92276690268217987</v>
      </c>
      <c r="N166" s="304">
        <f t="shared" ca="1" si="75"/>
        <v>52.870648998048068</v>
      </c>
      <c r="P166" s="310">
        <f t="shared" ca="1" si="76"/>
        <v>23</v>
      </c>
      <c r="Q166" s="304">
        <f t="shared" ca="1" si="77"/>
        <v>0</v>
      </c>
      <c r="R166" s="306">
        <f t="shared" ca="1" si="78"/>
        <v>0</v>
      </c>
      <c r="S166" s="307">
        <f t="shared" ca="1" si="79"/>
        <v>4.341000000000002</v>
      </c>
      <c r="T166" s="304">
        <f t="shared" ca="1" si="59"/>
        <v>42.585210000000025</v>
      </c>
      <c r="U166" s="311">
        <f t="shared" ca="1" si="60"/>
        <v>0</v>
      </c>
      <c r="V166" s="306">
        <f t="shared" ca="1" si="61"/>
        <v>1.0922478177458605</v>
      </c>
      <c r="W166" s="304">
        <f t="shared" ca="1" si="62"/>
        <v>5.1705787511898649</v>
      </c>
      <c r="Y166" s="314" t="str">
        <f t="shared" ca="1" si="80"/>
        <v/>
      </c>
      <c r="Z166" s="315" t="str">
        <f t="shared" ca="1" si="81"/>
        <v/>
      </c>
      <c r="AA166" s="316" t="str">
        <f t="shared" ca="1" si="82"/>
        <v/>
      </c>
      <c r="AC166" s="310" t="e">
        <f t="shared" ca="1" si="83"/>
        <v>#N/A</v>
      </c>
      <c r="AD166" s="323" t="e">
        <f t="shared" ca="1" si="84"/>
        <v>#N/A</v>
      </c>
      <c r="AE166" s="324">
        <f t="shared" ca="1" si="63"/>
        <v>1145.7745799780389</v>
      </c>
      <c r="AG166" s="306">
        <f t="shared" ca="1" si="85"/>
        <v>-9.1593242959758321</v>
      </c>
      <c r="AH166" s="304">
        <f t="shared" ca="1" si="86"/>
        <v>-1.2490171622370565</v>
      </c>
    </row>
    <row r="167" spans="1:34" x14ac:dyDescent="0.2">
      <c r="A167" s="347">
        <f t="shared" ca="1" si="64"/>
        <v>0.1</v>
      </c>
      <c r="B167" s="304">
        <f t="shared" ca="1" si="65"/>
        <v>7.2999999999999909</v>
      </c>
      <c r="D167" s="306">
        <f t="shared" ca="1" si="66"/>
        <v>-0.71896949728646409</v>
      </c>
      <c r="E167" s="307">
        <f t="shared" ca="1" si="67"/>
        <v>-10.759636542742411</v>
      </c>
      <c r="F167" s="304">
        <f t="shared" ca="1" si="68"/>
        <v>10.783630913099087</v>
      </c>
      <c r="G167" s="306">
        <f t="shared" ca="1" si="69"/>
        <v>22.984894456214199</v>
      </c>
      <c r="H167" s="307">
        <f t="shared" ca="1" si="70"/>
        <v>29.378140115233101</v>
      </c>
      <c r="I167" s="304">
        <f t="shared" ca="1" si="71"/>
        <v>37.301212980191067</v>
      </c>
      <c r="J167" s="306">
        <f t="shared" ca="1" si="72"/>
        <v>339.75286975144707</v>
      </c>
      <c r="K167" s="307">
        <f t="shared" ca="1" si="73"/>
        <v>1148.7661921722759</v>
      </c>
      <c r="L167" s="304">
        <f t="shared" ca="1" si="58"/>
        <v>1197.9548308606354</v>
      </c>
      <c r="M167" s="306">
        <f t="shared" ca="1" si="74"/>
        <v>0.90689147661903236</v>
      </c>
      <c r="N167" s="304">
        <f t="shared" ca="1" si="75"/>
        <v>51.961054086657732</v>
      </c>
      <c r="P167" s="310">
        <f t="shared" ca="1" si="76"/>
        <v>23</v>
      </c>
      <c r="Q167" s="304">
        <f t="shared" ca="1" si="77"/>
        <v>0</v>
      </c>
      <c r="R167" s="306">
        <f t="shared" ca="1" si="78"/>
        <v>0</v>
      </c>
      <c r="S167" s="307">
        <f t="shared" ca="1" si="79"/>
        <v>4.341000000000002</v>
      </c>
      <c r="T167" s="304">
        <f t="shared" ca="1" si="59"/>
        <v>42.585210000000025</v>
      </c>
      <c r="U167" s="311">
        <f t="shared" ca="1" si="60"/>
        <v>0</v>
      </c>
      <c r="V167" s="306">
        <f t="shared" ca="1" si="61"/>
        <v>1.0919200299796312</v>
      </c>
      <c r="W167" s="304">
        <f t="shared" ca="1" si="62"/>
        <v>4.9292308847532125</v>
      </c>
      <c r="Y167" s="314" t="str">
        <f t="shared" ca="1" si="80"/>
        <v/>
      </c>
      <c r="Z167" s="315" t="str">
        <f t="shared" ca="1" si="81"/>
        <v/>
      </c>
      <c r="AA167" s="316" t="str">
        <f t="shared" ca="1" si="82"/>
        <v/>
      </c>
      <c r="AC167" s="310" t="e">
        <f t="shared" ca="1" si="83"/>
        <v>#N/A</v>
      </c>
      <c r="AD167" s="323" t="e">
        <f t="shared" ca="1" si="84"/>
        <v>#N/A</v>
      </c>
      <c r="AE167" s="324">
        <f t="shared" ca="1" si="63"/>
        <v>1148.7661921722759</v>
      </c>
      <c r="AG167" s="306">
        <f t="shared" ca="1" si="85"/>
        <v>-9.0123691078399109</v>
      </c>
      <c r="AH167" s="304">
        <f t="shared" ca="1" si="86"/>
        <v>-1.1911031447108644</v>
      </c>
    </row>
    <row r="168" spans="1:34" x14ac:dyDescent="0.2">
      <c r="A168" s="347">
        <f t="shared" ca="1" si="64"/>
        <v>0.1</v>
      </c>
      <c r="B168" s="304">
        <f t="shared" ca="1" si="65"/>
        <v>7.3999999999999906</v>
      </c>
      <c r="D168" s="306">
        <f t="shared" ca="1" si="66"/>
        <v>-0.69969526398680748</v>
      </c>
      <c r="E168" s="307">
        <f t="shared" ca="1" si="67"/>
        <v>-10.704315418438304</v>
      </c>
      <c r="F168" s="304">
        <f t="shared" ca="1" si="68"/>
        <v>10.727159085231353</v>
      </c>
      <c r="G168" s="306">
        <f t="shared" ca="1" si="69"/>
        <v>22.91492492981552</v>
      </c>
      <c r="H168" s="307">
        <f t="shared" ca="1" si="70"/>
        <v>28.30770857338927</v>
      </c>
      <c r="I168" s="304">
        <f t="shared" ca="1" si="71"/>
        <v>36.420051471888634</v>
      </c>
      <c r="J168" s="306">
        <f t="shared" ca="1" si="72"/>
        <v>342.04786072074853</v>
      </c>
      <c r="K168" s="307">
        <f t="shared" ca="1" si="73"/>
        <v>1151.6504846067069</v>
      </c>
      <c r="L168" s="304">
        <f t="shared" ca="1" si="58"/>
        <v>1201.3723726299449</v>
      </c>
      <c r="M168" s="306">
        <f t="shared" ca="1" si="74"/>
        <v>0.89029301060537391</v>
      </c>
      <c r="N168" s="304">
        <f t="shared" ca="1" si="75"/>
        <v>51.010032037683764</v>
      </c>
      <c r="P168" s="310">
        <f t="shared" ca="1" si="76"/>
        <v>23</v>
      </c>
      <c r="Q168" s="304">
        <f t="shared" ca="1" si="77"/>
        <v>0</v>
      </c>
      <c r="R168" s="306">
        <f t="shared" ca="1" si="78"/>
        <v>0</v>
      </c>
      <c r="S168" s="307">
        <f t="shared" ca="1" si="79"/>
        <v>4.341000000000002</v>
      </c>
      <c r="T168" s="304">
        <f t="shared" ca="1" si="59"/>
        <v>42.585210000000025</v>
      </c>
      <c r="U168" s="311">
        <f t="shared" ca="1" si="60"/>
        <v>0</v>
      </c>
      <c r="V168" s="306">
        <f t="shared" ca="1" si="61"/>
        <v>1.0916040889177971</v>
      </c>
      <c r="W168" s="304">
        <f t="shared" ca="1" si="62"/>
        <v>4.6977368249368006</v>
      </c>
      <c r="Y168" s="314" t="str">
        <f t="shared" ca="1" si="80"/>
        <v/>
      </c>
      <c r="Z168" s="315" t="str">
        <f t="shared" ca="1" si="81"/>
        <v/>
      </c>
      <c r="AA168" s="316" t="str">
        <f t="shared" ca="1" si="82"/>
        <v/>
      </c>
      <c r="AC168" s="310" t="e">
        <f t="shared" ca="1" si="83"/>
        <v>#N/A</v>
      </c>
      <c r="AD168" s="323" t="e">
        <f t="shared" ca="1" si="84"/>
        <v>#N/A</v>
      </c>
      <c r="AE168" s="324">
        <f t="shared" ca="1" si="63"/>
        <v>1151.6504846067069</v>
      </c>
      <c r="AG168" s="306">
        <f t="shared" ca="1" si="85"/>
        <v>-8.8617842044526203</v>
      </c>
      <c r="AH168" s="304">
        <f t="shared" ca="1" si="86"/>
        <v>-1.1355058476740867</v>
      </c>
    </row>
    <row r="169" spans="1:34" x14ac:dyDescent="0.2">
      <c r="A169" s="347">
        <f t="shared" ca="1" si="64"/>
        <v>0.1</v>
      </c>
      <c r="B169" s="304">
        <f t="shared" ca="1" si="65"/>
        <v>7.4999999999999902</v>
      </c>
      <c r="D169" s="306">
        <f t="shared" ca="1" si="66"/>
        <v>-0.68088972574196249</v>
      </c>
      <c r="E169" s="307">
        <f t="shared" ca="1" si="67"/>
        <v>-10.651129874348387</v>
      </c>
      <c r="F169" s="304">
        <f t="shared" ca="1" si="68"/>
        <v>10.67287114223992</v>
      </c>
      <c r="G169" s="306">
        <f t="shared" ca="1" si="69"/>
        <v>22.846835957241325</v>
      </c>
      <c r="H169" s="307">
        <f t="shared" ca="1" si="70"/>
        <v>27.242595585954433</v>
      </c>
      <c r="I169" s="304">
        <f t="shared" ca="1" si="71"/>
        <v>35.554703310771124</v>
      </c>
      <c r="J169" s="306">
        <f t="shared" ca="1" si="72"/>
        <v>344.33594876510136</v>
      </c>
      <c r="K169" s="307">
        <f t="shared" ca="1" si="73"/>
        <v>1154.427999814674</v>
      </c>
      <c r="L169" s="304">
        <f t="shared" ca="1" si="58"/>
        <v>1204.6872010476709</v>
      </c>
      <c r="M169" s="306">
        <f t="shared" ca="1" si="74"/>
        <v>0.87293213408146653</v>
      </c>
      <c r="N169" s="304">
        <f t="shared" ca="1" si="75"/>
        <v>50.015327084216118</v>
      </c>
      <c r="P169" s="310">
        <f t="shared" ca="1" si="76"/>
        <v>23</v>
      </c>
      <c r="Q169" s="304">
        <f t="shared" ca="1" si="77"/>
        <v>0</v>
      </c>
      <c r="R169" s="306">
        <f t="shared" ca="1" si="78"/>
        <v>0</v>
      </c>
      <c r="S169" s="307">
        <f t="shared" ca="1" si="79"/>
        <v>4.341000000000002</v>
      </c>
      <c r="T169" s="304">
        <f t="shared" ca="1" si="59"/>
        <v>42.585210000000025</v>
      </c>
      <c r="U169" s="311">
        <f t="shared" ca="1" si="60"/>
        <v>0</v>
      </c>
      <c r="V169" s="306">
        <f t="shared" ca="1" si="61"/>
        <v>1.0912999255016147</v>
      </c>
      <c r="W169" s="304">
        <f t="shared" ca="1" si="62"/>
        <v>4.4759029627667966</v>
      </c>
      <c r="Y169" s="314" t="str">
        <f t="shared" ca="1" si="80"/>
        <v/>
      </c>
      <c r="Z169" s="315" t="str">
        <f t="shared" ca="1" si="81"/>
        <v/>
      </c>
      <c r="AA169" s="316" t="str">
        <f t="shared" ca="1" si="82"/>
        <v/>
      </c>
      <c r="AC169" s="310" t="e">
        <f t="shared" ca="1" si="83"/>
        <v>#N/A</v>
      </c>
      <c r="AD169" s="323" t="e">
        <f t="shared" ca="1" si="84"/>
        <v>#N/A</v>
      </c>
      <c r="AE169" s="324">
        <f t="shared" ca="1" si="63"/>
        <v>1154.427999814674</v>
      </c>
      <c r="AG169" s="306">
        <f t="shared" ca="1" si="85"/>
        <v>-8.707061209290206</v>
      </c>
      <c r="AH169" s="304">
        <f t="shared" ca="1" si="86"/>
        <v>-1.0821784899647082</v>
      </c>
    </row>
    <row r="170" spans="1:34" x14ac:dyDescent="0.2">
      <c r="A170" s="347">
        <f t="shared" ca="1" si="64"/>
        <v>0.1</v>
      </c>
      <c r="B170" s="304">
        <f t="shared" ca="1" si="65"/>
        <v>7.5999999999999899</v>
      </c>
      <c r="D170" s="306">
        <f t="shared" ca="1" si="66"/>
        <v>-0.66255186543823263</v>
      </c>
      <c r="E170" s="307">
        <f t="shared" ca="1" si="67"/>
        <v>-10.60002766766628</v>
      </c>
      <c r="F170" s="304">
        <f t="shared" ca="1" si="68"/>
        <v>10.620713795677121</v>
      </c>
      <c r="G170" s="306">
        <f t="shared" ca="1" si="69"/>
        <v>22.780580770697501</v>
      </c>
      <c r="H170" s="307">
        <f t="shared" ca="1" si="70"/>
        <v>26.182592819187803</v>
      </c>
      <c r="I170" s="304">
        <f t="shared" ca="1" si="71"/>
        <v>34.705662750992921</v>
      </c>
      <c r="J170" s="306">
        <f t="shared" ca="1" si="72"/>
        <v>346.61731960149831</v>
      </c>
      <c r="K170" s="307">
        <f t="shared" ca="1" si="73"/>
        <v>1157.099259234931</v>
      </c>
      <c r="L170" s="304">
        <f t="shared" ca="1" si="58"/>
        <v>1207.8999387241286</v>
      </c>
      <c r="M170" s="306">
        <f t="shared" ca="1" si="74"/>
        <v>0.85476771337149582</v>
      </c>
      <c r="N170" s="304">
        <f t="shared" ca="1" si="75"/>
        <v>48.974582440234776</v>
      </c>
      <c r="P170" s="310">
        <f t="shared" ca="1" si="76"/>
        <v>23</v>
      </c>
      <c r="Q170" s="304">
        <f t="shared" ca="1" si="77"/>
        <v>0</v>
      </c>
      <c r="R170" s="306">
        <f t="shared" ca="1" si="78"/>
        <v>0</v>
      </c>
      <c r="S170" s="307">
        <f t="shared" ca="1" si="79"/>
        <v>4.341000000000002</v>
      </c>
      <c r="T170" s="304">
        <f t="shared" ca="1" si="59"/>
        <v>42.585210000000025</v>
      </c>
      <c r="U170" s="311">
        <f t="shared" ca="1" si="60"/>
        <v>0</v>
      </c>
      <c r="V170" s="306">
        <f t="shared" ca="1" si="61"/>
        <v>1.0910074734069146</v>
      </c>
      <c r="W170" s="304">
        <f t="shared" ca="1" si="62"/>
        <v>4.2635447824101451</v>
      </c>
      <c r="Y170" s="314" t="str">
        <f t="shared" ca="1" si="80"/>
        <v/>
      </c>
      <c r="Z170" s="315" t="str">
        <f t="shared" ca="1" si="81"/>
        <v/>
      </c>
      <c r="AA170" s="316" t="str">
        <f t="shared" ca="1" si="82"/>
        <v/>
      </c>
      <c r="AC170" s="310" t="e">
        <f t="shared" ca="1" si="83"/>
        <v>#N/A</v>
      </c>
      <c r="AD170" s="323" t="e">
        <f t="shared" ca="1" si="84"/>
        <v>#N/A</v>
      </c>
      <c r="AE170" s="324">
        <f t="shared" ca="1" si="63"/>
        <v>1157.099259234931</v>
      </c>
      <c r="AG170" s="306">
        <f t="shared" ca="1" si="85"/>
        <v>-8.5476590277417372</v>
      </c>
      <c r="AH170" s="304">
        <f t="shared" ca="1" si="86"/>
        <v>-1.0310764714966125</v>
      </c>
    </row>
    <row r="171" spans="1:34" x14ac:dyDescent="0.2">
      <c r="A171" s="347">
        <f t="shared" ca="1" si="64"/>
        <v>0.1</v>
      </c>
      <c r="B171" s="304">
        <f t="shared" ca="1" si="65"/>
        <v>7.6999999999999895</v>
      </c>
      <c r="D171" s="306">
        <f t="shared" ca="1" si="66"/>
        <v>-0.64468192306729621</v>
      </c>
      <c r="E171" s="307">
        <f t="shared" ca="1" si="67"/>
        <v>-10.550957592761371</v>
      </c>
      <c r="F171" s="304">
        <f t="shared" ca="1" si="68"/>
        <v>10.570634839316822</v>
      </c>
      <c r="G171" s="306">
        <f t="shared" ca="1" si="69"/>
        <v>22.716112578390771</v>
      </c>
      <c r="H171" s="307">
        <f t="shared" ca="1" si="70"/>
        <v>25.127497059911665</v>
      </c>
      <c r="I171" s="304">
        <f t="shared" ca="1" si="71"/>
        <v>33.873483422435207</v>
      </c>
      <c r="J171" s="306">
        <f t="shared" ca="1" si="72"/>
        <v>348.89215426895271</v>
      </c>
      <c r="K171" s="307">
        <f t="shared" ca="1" si="73"/>
        <v>1159.6647637288859</v>
      </c>
      <c r="L171" s="304">
        <f t="shared" ca="1" si="58"/>
        <v>1211.011188860286</v>
      </c>
      <c r="M171" s="306">
        <f t="shared" ca="1" si="74"/>
        <v>0.83575694121776301</v>
      </c>
      <c r="N171" s="304">
        <f t="shared" ca="1" si="75"/>
        <v>47.885345430541051</v>
      </c>
      <c r="P171" s="310">
        <f t="shared" ca="1" si="76"/>
        <v>23</v>
      </c>
      <c r="Q171" s="304">
        <f t="shared" ca="1" si="77"/>
        <v>0</v>
      </c>
      <c r="R171" s="306">
        <f t="shared" ca="1" si="78"/>
        <v>0</v>
      </c>
      <c r="S171" s="307">
        <f t="shared" ca="1" si="79"/>
        <v>4.341000000000002</v>
      </c>
      <c r="T171" s="304">
        <f t="shared" ca="1" si="59"/>
        <v>42.585210000000025</v>
      </c>
      <c r="U171" s="311">
        <f t="shared" ca="1" si="60"/>
        <v>0</v>
      </c>
      <c r="V171" s="306">
        <f t="shared" ca="1" si="61"/>
        <v>1.0907266689779505</v>
      </c>
      <c r="W171" s="304">
        <f t="shared" ca="1" si="62"/>
        <v>4.0604865039035998</v>
      </c>
      <c r="Y171" s="314" t="str">
        <f t="shared" ca="1" si="80"/>
        <v/>
      </c>
      <c r="Z171" s="315" t="str">
        <f t="shared" ca="1" si="81"/>
        <v/>
      </c>
      <c r="AA171" s="316" t="str">
        <f t="shared" ca="1" si="82"/>
        <v/>
      </c>
      <c r="AC171" s="310" t="e">
        <f t="shared" ca="1" si="83"/>
        <v>#N/A</v>
      </c>
      <c r="AD171" s="323" t="e">
        <f t="shared" ca="1" si="84"/>
        <v>#N/A</v>
      </c>
      <c r="AE171" s="324">
        <f t="shared" ca="1" si="63"/>
        <v>1159.6647637288859</v>
      </c>
      <c r="AG171" s="306">
        <f t="shared" ca="1" si="85"/>
        <v>-8.3830024284814542</v>
      </c>
      <c r="AH171" s="304">
        <f t="shared" ca="1" si="86"/>
        <v>-0.98215728689475768</v>
      </c>
    </row>
    <row r="172" spans="1:34" x14ac:dyDescent="0.2">
      <c r="A172" s="347">
        <f t="shared" ca="1" si="64"/>
        <v>0.1</v>
      </c>
      <c r="B172" s="304">
        <f t="shared" ca="1" si="65"/>
        <v>7.7999999999999892</v>
      </c>
      <c r="D172" s="306">
        <f t="shared" ca="1" si="66"/>
        <v>-0.6272814397688613</v>
      </c>
      <c r="E172" s="307">
        <f t="shared" ca="1" si="67"/>
        <v>-10.503869273588792</v>
      </c>
      <c r="F172" s="304">
        <f t="shared" ca="1" si="68"/>
        <v>10.522582939626622</v>
      </c>
      <c r="G172" s="306">
        <f t="shared" ca="1" si="69"/>
        <v>22.653384434413883</v>
      </c>
      <c r="H172" s="307">
        <f t="shared" ca="1" si="70"/>
        <v>24.077110132552786</v>
      </c>
      <c r="I172" s="304">
        <f t="shared" ca="1" si="71"/>
        <v>33.058781869095256</v>
      </c>
      <c r="J172" s="306">
        <f t="shared" ca="1" si="72"/>
        <v>351.16062911959295</v>
      </c>
      <c r="K172" s="307">
        <f t="shared" ca="1" si="73"/>
        <v>1162.1249940885091</v>
      </c>
      <c r="L172" s="304">
        <f t="shared" ca="1" si="58"/>
        <v>1214.0215357763987</v>
      </c>
      <c r="M172" s="306">
        <f t="shared" ca="1" si="74"/>
        <v>0.8158554792314151</v>
      </c>
      <c r="N172" s="304">
        <f t="shared" ca="1" si="75"/>
        <v>46.745075652583274</v>
      </c>
      <c r="P172" s="310">
        <f t="shared" ca="1" si="76"/>
        <v>23</v>
      </c>
      <c r="Q172" s="304">
        <f t="shared" ca="1" si="77"/>
        <v>0</v>
      </c>
      <c r="R172" s="306">
        <f t="shared" ca="1" si="78"/>
        <v>0</v>
      </c>
      <c r="S172" s="307">
        <f t="shared" ca="1" si="79"/>
        <v>4.341000000000002</v>
      </c>
      <c r="T172" s="304">
        <f t="shared" ca="1" si="59"/>
        <v>42.585210000000025</v>
      </c>
      <c r="U172" s="311">
        <f t="shared" ca="1" si="60"/>
        <v>0</v>
      </c>
      <c r="V172" s="306">
        <f t="shared" ca="1" si="61"/>
        <v>1.0904574511627638</v>
      </c>
      <c r="W172" s="304">
        <f t="shared" ca="1" si="62"/>
        <v>3.8665607420939465</v>
      </c>
      <c r="Y172" s="314" t="str">
        <f t="shared" ca="1" si="80"/>
        <v/>
      </c>
      <c r="Z172" s="315" t="str">
        <f t="shared" ca="1" si="81"/>
        <v/>
      </c>
      <c r="AA172" s="316" t="str">
        <f t="shared" ca="1" si="82"/>
        <v/>
      </c>
      <c r="AC172" s="310" t="e">
        <f t="shared" ca="1" si="83"/>
        <v>#N/A</v>
      </c>
      <c r="AD172" s="323" t="e">
        <f t="shared" ca="1" si="84"/>
        <v>#N/A</v>
      </c>
      <c r="AE172" s="324">
        <f t="shared" ca="1" si="63"/>
        <v>1162.1249940885091</v>
      </c>
      <c r="AG172" s="306">
        <f t="shared" ca="1" si="85"/>
        <v>-8.2124810319825183</v>
      </c>
      <c r="AH172" s="304">
        <f t="shared" ca="1" si="86"/>
        <v>-0.93538044319364155</v>
      </c>
    </row>
    <row r="173" spans="1:34" x14ac:dyDescent="0.2">
      <c r="A173" s="347">
        <f t="shared" ca="1" si="64"/>
        <v>0.1</v>
      </c>
      <c r="B173" s="304">
        <f t="shared" ca="1" si="65"/>
        <v>7.8999999999999888</v>
      </c>
      <c r="D173" s="306">
        <f t="shared" ca="1" si="66"/>
        <v>-0.61035330359061857</v>
      </c>
      <c r="E173" s="307">
        <f t="shared" ca="1" si="67"/>
        <v>-10.45871294410181</v>
      </c>
      <c r="F173" s="304">
        <f t="shared" ca="1" si="68"/>
        <v>10.476507414321183</v>
      </c>
      <c r="G173" s="306">
        <f t="shared" ca="1" si="69"/>
        <v>22.592349104054822</v>
      </c>
      <c r="H173" s="307">
        <f t="shared" ca="1" si="70"/>
        <v>23.031238838142606</v>
      </c>
      <c r="I173" s="304">
        <f t="shared" ca="1" si="71"/>
        <v>32.262241094800828</v>
      </c>
      <c r="J173" s="306">
        <f t="shared" ca="1" si="72"/>
        <v>353.42291579651641</v>
      </c>
      <c r="K173" s="307">
        <f t="shared" ca="1" si="73"/>
        <v>1164.4804115370439</v>
      </c>
      <c r="L173" s="304">
        <f t="shared" ca="1" si="58"/>
        <v>1216.931545430389</v>
      </c>
      <c r="M173" s="306">
        <f t="shared" ca="1" si="74"/>
        <v>0.79501766541979935</v>
      </c>
      <c r="N173" s="304">
        <f t="shared" ca="1" si="75"/>
        <v>45.551156866898275</v>
      </c>
      <c r="P173" s="310">
        <f t="shared" ca="1" si="76"/>
        <v>23</v>
      </c>
      <c r="Q173" s="304">
        <f t="shared" ca="1" si="77"/>
        <v>0</v>
      </c>
      <c r="R173" s="306">
        <f t="shared" ca="1" si="78"/>
        <v>0</v>
      </c>
      <c r="S173" s="307">
        <f t="shared" ca="1" si="79"/>
        <v>4.341000000000002</v>
      </c>
      <c r="T173" s="304">
        <f t="shared" ca="1" si="59"/>
        <v>42.585210000000025</v>
      </c>
      <c r="U173" s="311">
        <f t="shared" ca="1" si="60"/>
        <v>0</v>
      </c>
      <c r="V173" s="306">
        <f t="shared" ca="1" si="61"/>
        <v>1.0901997614498224</v>
      </c>
      <c r="W173" s="304">
        <f t="shared" ca="1" si="62"/>
        <v>3.6816081803921654</v>
      </c>
      <c r="Y173" s="314" t="str">
        <f t="shared" ca="1" si="80"/>
        <v/>
      </c>
      <c r="Z173" s="315" t="str">
        <f t="shared" ca="1" si="81"/>
        <v/>
      </c>
      <c r="AA173" s="316" t="str">
        <f t="shared" ca="1" si="82"/>
        <v/>
      </c>
      <c r="AC173" s="310" t="e">
        <f t="shared" ca="1" si="83"/>
        <v>#N/A</v>
      </c>
      <c r="AD173" s="323" t="e">
        <f t="shared" ca="1" si="84"/>
        <v>#N/A</v>
      </c>
      <c r="AE173" s="324">
        <f t="shared" ca="1" si="63"/>
        <v>1164.4804115370439</v>
      </c>
      <c r="AG173" s="306">
        <f t="shared" ca="1" si="85"/>
        <v>-8.0354488704038136</v>
      </c>
      <c r="AH173" s="304">
        <f t="shared" ca="1" si="86"/>
        <v>-0.89070738127020155</v>
      </c>
    </row>
    <row r="174" spans="1:34" x14ac:dyDescent="0.2">
      <c r="A174" s="347">
        <f t="shared" ca="1" si="64"/>
        <v>0.1</v>
      </c>
      <c r="B174" s="304">
        <f t="shared" ca="1" si="65"/>
        <v>7.9999999999999885</v>
      </c>
      <c r="D174" s="306">
        <f t="shared" ca="1" si="66"/>
        <v>-0.59390179571554591</v>
      </c>
      <c r="E174" s="307">
        <f t="shared" ca="1" si="67"/>
        <v>-10.415439214865513</v>
      </c>
      <c r="F174" s="304">
        <f t="shared" ca="1" si="68"/>
        <v>10.43235799718896</v>
      </c>
      <c r="G174" s="306">
        <f t="shared" ca="1" si="69"/>
        <v>22.532958924483268</v>
      </c>
      <c r="H174" s="307">
        <f t="shared" ca="1" si="70"/>
        <v>21.989694916656056</v>
      </c>
      <c r="I174" s="304">
        <f t="shared" ca="1" si="71"/>
        <v>31.484614026855393</v>
      </c>
      <c r="J174" s="306">
        <f t="shared" ca="1" si="72"/>
        <v>355.67918119794331</v>
      </c>
      <c r="K174" s="307">
        <f t="shared" ca="1" si="73"/>
        <v>1166.7314582247839</v>
      </c>
      <c r="L174" s="304">
        <f t="shared" ca="1" si="58"/>
        <v>1219.7417659279238</v>
      </c>
      <c r="M174" s="306">
        <f t="shared" ca="1" si="74"/>
        <v>0.77319680068582497</v>
      </c>
      <c r="N174" s="304">
        <f t="shared" ca="1" si="75"/>
        <v>44.300913412315687</v>
      </c>
      <c r="P174" s="310">
        <f t="shared" ca="1" si="76"/>
        <v>23</v>
      </c>
      <c r="Q174" s="304">
        <f t="shared" ca="1" si="77"/>
        <v>0</v>
      </c>
      <c r="R174" s="306">
        <f t="shared" ca="1" si="78"/>
        <v>0</v>
      </c>
      <c r="S174" s="307">
        <f t="shared" ca="1" si="79"/>
        <v>4.341000000000002</v>
      </c>
      <c r="T174" s="304">
        <f t="shared" ca="1" si="59"/>
        <v>42.585210000000025</v>
      </c>
      <c r="U174" s="311">
        <f t="shared" ca="1" si="60"/>
        <v>0</v>
      </c>
      <c r="V174" s="306">
        <f t="shared" ca="1" si="61"/>
        <v>1.08995354380565</v>
      </c>
      <c r="W174" s="304">
        <f t="shared" ca="1" si="62"/>
        <v>3.5054772579649298</v>
      </c>
      <c r="Y174" s="314" t="str">
        <f t="shared" ca="1" si="80"/>
        <v/>
      </c>
      <c r="Z174" s="315" t="str">
        <f t="shared" ca="1" si="81"/>
        <v/>
      </c>
      <c r="AA174" s="316" t="str">
        <f t="shared" ca="1" si="82"/>
        <v/>
      </c>
      <c r="AC174" s="310">
        <f t="shared" ca="1" si="83"/>
        <v>7.9999999999999885</v>
      </c>
      <c r="AD174" s="323">
        <f t="shared" ca="1" si="84"/>
        <v>355.67918119794331</v>
      </c>
      <c r="AE174" s="324">
        <f t="shared" ca="1" si="63"/>
        <v>1166.7314582247839</v>
      </c>
      <c r="AG174" s="306">
        <f t="shared" ca="1" si="85"/>
        <v>-7.8512247217963642</v>
      </c>
      <c r="AH174" s="304">
        <f t="shared" ca="1" si="86"/>
        <v>-0.84810140068927986</v>
      </c>
    </row>
    <row r="175" spans="1:34" x14ac:dyDescent="0.2">
      <c r="A175" s="347">
        <f t="shared" ca="1" si="64"/>
        <v>0.1</v>
      </c>
      <c r="B175" s="304">
        <f t="shared" ca="1" si="65"/>
        <v>8.099999999999989</v>
      </c>
      <c r="D175" s="306">
        <f t="shared" ca="1" si="66"/>
        <v>-0.57793263551716945</v>
      </c>
      <c r="E175" s="307">
        <f t="shared" ca="1" si="67"/>
        <v>-10.373998824122163</v>
      </c>
      <c r="F175" s="304">
        <f t="shared" ca="1" si="68"/>
        <v>10.390084587436419</v>
      </c>
      <c r="G175" s="306">
        <f t="shared" ca="1" si="69"/>
        <v>22.475165660931552</v>
      </c>
      <c r="H175" s="307">
        <f t="shared" ca="1" si="70"/>
        <v>20.952295034243839</v>
      </c>
      <c r="I175" s="304">
        <f t="shared" ca="1" si="71"/>
        <v>30.726726781229331</v>
      </c>
      <c r="J175" s="306">
        <f t="shared" ca="1" si="72"/>
        <v>357.92958742721407</v>
      </c>
      <c r="K175" s="307">
        <f t="shared" ca="1" si="73"/>
        <v>1168.8785577223289</v>
      </c>
      <c r="L175" s="304">
        <f t="shared" ca="1" si="58"/>
        <v>1222.452728026261</v>
      </c>
      <c r="M175" s="306">
        <f t="shared" ca="1" si="74"/>
        <v>0.75034552986287473</v>
      </c>
      <c r="N175" s="304">
        <f t="shared" ca="1" si="75"/>
        <v>42.991632037650199</v>
      </c>
      <c r="P175" s="310">
        <f t="shared" ca="1" si="76"/>
        <v>23</v>
      </c>
      <c r="Q175" s="304">
        <f t="shared" ca="1" si="77"/>
        <v>0</v>
      </c>
      <c r="R175" s="306">
        <f t="shared" ca="1" si="78"/>
        <v>0</v>
      </c>
      <c r="S175" s="307">
        <f t="shared" ca="1" si="79"/>
        <v>4.341000000000002</v>
      </c>
      <c r="T175" s="304">
        <f t="shared" ca="1" si="59"/>
        <v>42.585210000000025</v>
      </c>
      <c r="U175" s="311">
        <f t="shared" ca="1" si="60"/>
        <v>0</v>
      </c>
      <c r="V175" s="306">
        <f t="shared" ca="1" si="61"/>
        <v>1.0897187446131853</v>
      </c>
      <c r="W175" s="304">
        <f t="shared" ca="1" si="62"/>
        <v>3.3380238689986994</v>
      </c>
      <c r="Y175" s="314" t="str">
        <f t="shared" ca="1" si="80"/>
        <v/>
      </c>
      <c r="Z175" s="315" t="str">
        <f t="shared" ca="1" si="81"/>
        <v/>
      </c>
      <c r="AA175" s="316" t="str">
        <f t="shared" ca="1" si="82"/>
        <v/>
      </c>
      <c r="AC175" s="310" t="e">
        <f t="shared" ca="1" si="83"/>
        <v>#N/A</v>
      </c>
      <c r="AD175" s="323" t="e">
        <f t="shared" ca="1" si="84"/>
        <v>#N/A</v>
      </c>
      <c r="AE175" s="324">
        <f t="shared" ca="1" si="63"/>
        <v>1168.8785577223289</v>
      </c>
      <c r="AG175" s="306">
        <f t="shared" ca="1" si="85"/>
        <v>-7.6590934651361389</v>
      </c>
      <c r="AH175" s="304">
        <f t="shared" ca="1" si="86"/>
        <v>-0.80752758764453536</v>
      </c>
    </row>
    <row r="176" spans="1:34" x14ac:dyDescent="0.2">
      <c r="A176" s="347">
        <f t="shared" ca="1" si="64"/>
        <v>0.1</v>
      </c>
      <c r="B176" s="304">
        <f t="shared" ca="1" si="65"/>
        <v>8.1999999999999886</v>
      </c>
      <c r="D176" s="306">
        <f t="shared" ca="1" si="66"/>
        <v>-0.56245302233602057</v>
      </c>
      <c r="E176" s="307">
        <f t="shared" ca="1" si="67"/>
        <v>-10.334342371694802</v>
      </c>
      <c r="F176" s="304">
        <f t="shared" ca="1" si="68"/>
        <v>10.349636981930404</v>
      </c>
      <c r="G176" s="306">
        <f t="shared" ca="1" si="69"/>
        <v>22.41892035869795</v>
      </c>
      <c r="H176" s="307">
        <f t="shared" ca="1" si="70"/>
        <v>19.918860797074359</v>
      </c>
      <c r="I176" s="304">
        <f t="shared" ca="1" si="71"/>
        <v>29.989481581095514</v>
      </c>
      <c r="J176" s="306">
        <f t="shared" ca="1" si="72"/>
        <v>360.17429172819556</v>
      </c>
      <c r="K176" s="307">
        <f t="shared" ca="1" si="73"/>
        <v>1170.9221155138948</v>
      </c>
      <c r="L176" s="304">
        <f t="shared" ca="1" si="58"/>
        <v>1225.0649456340843</v>
      </c>
      <c r="M176" s="306">
        <f t="shared" ca="1" si="74"/>
        <v>0.72641633428444341</v>
      </c>
      <c r="N176" s="304">
        <f t="shared" ca="1" si="75"/>
        <v>41.620590123862975</v>
      </c>
      <c r="P176" s="310">
        <f t="shared" ca="1" si="76"/>
        <v>23</v>
      </c>
      <c r="Q176" s="304">
        <f t="shared" ca="1" si="77"/>
        <v>0</v>
      </c>
      <c r="R176" s="306">
        <f t="shared" ca="1" si="78"/>
        <v>0</v>
      </c>
      <c r="S176" s="307">
        <f t="shared" ca="1" si="79"/>
        <v>4.341000000000002</v>
      </c>
      <c r="T176" s="304">
        <f t="shared" ca="1" si="59"/>
        <v>42.585210000000025</v>
      </c>
      <c r="U176" s="311">
        <f t="shared" ca="1" si="60"/>
        <v>0</v>
      </c>
      <c r="V176" s="306">
        <f t="shared" ca="1" si="61"/>
        <v>1.0894953126105529</v>
      </c>
      <c r="W176" s="304">
        <f t="shared" ca="1" si="62"/>
        <v>3.1791110726746488</v>
      </c>
      <c r="Y176" s="314" t="str">
        <f t="shared" ca="1" si="80"/>
        <v/>
      </c>
      <c r="Z176" s="315" t="str">
        <f t="shared" ca="1" si="81"/>
        <v/>
      </c>
      <c r="AA176" s="316" t="str">
        <f t="shared" ca="1" si="82"/>
        <v/>
      </c>
      <c r="AC176" s="310" t="e">
        <f t="shared" ca="1" si="83"/>
        <v>#N/A</v>
      </c>
      <c r="AD176" s="323" t="e">
        <f t="shared" ca="1" si="84"/>
        <v>#N/A</v>
      </c>
      <c r="AE176" s="324">
        <f t="shared" ca="1" si="63"/>
        <v>1170.9221155138948</v>
      </c>
      <c r="AG176" s="306">
        <f t="shared" ca="1" si="85"/>
        <v>-7.4583087499618692</v>
      </c>
      <c r="AH176" s="304">
        <f t="shared" ca="1" si="86"/>
        <v>-0.76895274568041883</v>
      </c>
    </row>
    <row r="177" spans="1:34" x14ac:dyDescent="0.2">
      <c r="A177" s="347">
        <f t="shared" ca="1" si="64"/>
        <v>0.1</v>
      </c>
      <c r="B177" s="304">
        <f t="shared" ca="1" si="65"/>
        <v>8.2999999999999883</v>
      </c>
      <c r="D177" s="306">
        <f t="shared" ca="1" si="66"/>
        <v>-0.54747167132121288</v>
      </c>
      <c r="E177" s="307">
        <f t="shared" ca="1" si="67"/>
        <v>-10.296420034368785</v>
      </c>
      <c r="F177" s="304">
        <f t="shared" ca="1" si="68"/>
        <v>10.310964588972757</v>
      </c>
      <c r="G177" s="306">
        <f t="shared" ca="1" si="69"/>
        <v>22.364173191565829</v>
      </c>
      <c r="H177" s="307">
        <f t="shared" ca="1" si="70"/>
        <v>18.889218793637479</v>
      </c>
      <c r="I177" s="304">
        <f t="shared" ca="1" si="71"/>
        <v>29.273859143889094</v>
      </c>
      <c r="J177" s="306">
        <f t="shared" ca="1" si="72"/>
        <v>362.41344640570873</v>
      </c>
      <c r="K177" s="307">
        <f t="shared" ca="1" si="73"/>
        <v>1172.8625194934305</v>
      </c>
      <c r="L177" s="304">
        <f t="shared" ca="1" si="58"/>
        <v>1227.5789163097177</v>
      </c>
      <c r="M177" s="306">
        <f t="shared" ca="1" si="74"/>
        <v>0.70136215385550971</v>
      </c>
      <c r="N177" s="304">
        <f t="shared" ca="1" si="75"/>
        <v>40.185091326125807</v>
      </c>
      <c r="P177" s="310">
        <f t="shared" ca="1" si="76"/>
        <v>23</v>
      </c>
      <c r="Q177" s="304">
        <f t="shared" ca="1" si="77"/>
        <v>0</v>
      </c>
      <c r="R177" s="306">
        <f t="shared" ca="1" si="78"/>
        <v>0</v>
      </c>
      <c r="S177" s="307">
        <f t="shared" ca="1" si="79"/>
        <v>4.341000000000002</v>
      </c>
      <c r="T177" s="304">
        <f t="shared" ca="1" si="59"/>
        <v>42.585210000000025</v>
      </c>
      <c r="U177" s="311">
        <f t="shared" ca="1" si="60"/>
        <v>0</v>
      </c>
      <c r="V177" s="306">
        <f t="shared" ca="1" si="61"/>
        <v>1.0892831988299494</v>
      </c>
      <c r="W177" s="304">
        <f t="shared" ca="1" si="62"/>
        <v>3.0286088124884425</v>
      </c>
      <c r="Y177" s="314" t="str">
        <f t="shared" ca="1" si="80"/>
        <v/>
      </c>
      <c r="Z177" s="315" t="str">
        <f t="shared" ca="1" si="81"/>
        <v/>
      </c>
      <c r="AA177" s="316" t="str">
        <f t="shared" ca="1" si="82"/>
        <v/>
      </c>
      <c r="AC177" s="310" t="e">
        <f t="shared" ca="1" si="83"/>
        <v>#N/A</v>
      </c>
      <c r="AD177" s="323" t="e">
        <f t="shared" ca="1" si="84"/>
        <v>#N/A</v>
      </c>
      <c r="AE177" s="324">
        <f t="shared" ca="1" si="63"/>
        <v>1172.8625194934305</v>
      </c>
      <c r="AG177" s="306">
        <f t="shared" ca="1" si="85"/>
        <v>-7.248097323156613</v>
      </c>
      <c r="AH177" s="304">
        <f t="shared" ca="1" si="86"/>
        <v>-0.73234532888151282</v>
      </c>
    </row>
    <row r="178" spans="1:34" x14ac:dyDescent="0.2">
      <c r="A178" s="347">
        <f t="shared" ca="1" si="64"/>
        <v>0.1</v>
      </c>
      <c r="B178" s="304">
        <f t="shared" ca="1" si="65"/>
        <v>8.3999999999999879</v>
      </c>
      <c r="D178" s="306">
        <f t="shared" ca="1" si="66"/>
        <v>-0.53299884005128628</v>
      </c>
      <c r="E178" s="307">
        <f t="shared" ca="1" si="67"/>
        <v>-10.260181261799593</v>
      </c>
      <c r="F178" s="304">
        <f t="shared" ca="1" si="68"/>
        <v>10.274016122650359</v>
      </c>
      <c r="G178" s="306">
        <f t="shared" ca="1" si="69"/>
        <v>22.310873307560701</v>
      </c>
      <c r="H178" s="307">
        <f t="shared" ca="1" si="70"/>
        <v>17.863200667457519</v>
      </c>
      <c r="I178" s="304">
        <f t="shared" ca="1" si="71"/>
        <v>28.580920311142524</v>
      </c>
      <c r="J178" s="306">
        <f t="shared" ca="1" si="72"/>
        <v>364.64719873066502</v>
      </c>
      <c r="K178" s="307">
        <f t="shared" ca="1" si="73"/>
        <v>1174.7001404664852</v>
      </c>
      <c r="L178" s="304">
        <f t="shared" ca="1" si="58"/>
        <v>1229.9951217602861</v>
      </c>
      <c r="M178" s="306">
        <f t="shared" ca="1" si="74"/>
        <v>0.67513715677385899</v>
      </c>
      <c r="N178" s="304">
        <f t="shared" ca="1" si="75"/>
        <v>38.682509675604315</v>
      </c>
      <c r="P178" s="310">
        <f t="shared" ca="1" si="76"/>
        <v>23</v>
      </c>
      <c r="Q178" s="304">
        <f t="shared" ca="1" si="77"/>
        <v>0</v>
      </c>
      <c r="R178" s="306">
        <f t="shared" ca="1" si="78"/>
        <v>0</v>
      </c>
      <c r="S178" s="307">
        <f t="shared" ca="1" si="79"/>
        <v>4.341000000000002</v>
      </c>
      <c r="T178" s="304">
        <f t="shared" ca="1" si="59"/>
        <v>42.585210000000025</v>
      </c>
      <c r="U178" s="311">
        <f t="shared" ca="1" si="60"/>
        <v>0</v>
      </c>
      <c r="V178" s="306">
        <f t="shared" ca="1" si="61"/>
        <v>1.0890823565362904</v>
      </c>
      <c r="W178" s="304">
        <f t="shared" ca="1" si="62"/>
        <v>2.8863936435378612</v>
      </c>
      <c r="Y178" s="314" t="str">
        <f t="shared" ca="1" si="80"/>
        <v/>
      </c>
      <c r="Z178" s="315" t="str">
        <f t="shared" ca="1" si="81"/>
        <v/>
      </c>
      <c r="AA178" s="316" t="str">
        <f t="shared" ca="1" si="82"/>
        <v/>
      </c>
      <c r="AC178" s="310" t="e">
        <f t="shared" ca="1" si="83"/>
        <v>#N/A</v>
      </c>
      <c r="AD178" s="323" t="e">
        <f t="shared" ca="1" si="84"/>
        <v>#N/A</v>
      </c>
      <c r="AE178" s="324">
        <f t="shared" ca="1" si="63"/>
        <v>1174.7001404664852</v>
      </c>
      <c r="AG178" s="306">
        <f t="shared" ca="1" si="85"/>
        <v>-7.0276654019245717</v>
      </c>
      <c r="AH178" s="304">
        <f t="shared" ca="1" si="86"/>
        <v>-0.69767537721456829</v>
      </c>
    </row>
    <row r="179" spans="1:34" x14ac:dyDescent="0.2">
      <c r="A179" s="347">
        <f t="shared" ca="1" si="64"/>
        <v>0.1</v>
      </c>
      <c r="B179" s="304">
        <f t="shared" ca="1" si="65"/>
        <v>8.4999999999999876</v>
      </c>
      <c r="D179" s="306">
        <f t="shared" ca="1" si="66"/>
        <v>-0.51904634194783428</v>
      </c>
      <c r="E179" s="307">
        <f t="shared" ca="1" si="67"/>
        <v>-10.225574452604771</v>
      </c>
      <c r="F179" s="304">
        <f t="shared" ca="1" si="68"/>
        <v>10.238739277413639</v>
      </c>
      <c r="G179" s="306">
        <f t="shared" ca="1" si="69"/>
        <v>22.258968673365917</v>
      </c>
      <c r="H179" s="307">
        <f t="shared" ca="1" si="70"/>
        <v>16.840643222197041</v>
      </c>
      <c r="I179" s="304">
        <f t="shared" ca="1" si="71"/>
        <v>27.911806651293933</v>
      </c>
      <c r="J179" s="306">
        <f t="shared" ca="1" si="72"/>
        <v>366.87569082971135</v>
      </c>
      <c r="K179" s="307">
        <f t="shared" ca="1" si="73"/>
        <v>1176.435332660968</v>
      </c>
      <c r="L179" s="304">
        <f t="shared" ca="1" si="58"/>
        <v>1232.3140283446019</v>
      </c>
      <c r="M179" s="306">
        <f t="shared" ca="1" si="74"/>
        <v>0.64769767403219025</v>
      </c>
      <c r="N179" s="304">
        <f t="shared" ca="1" si="75"/>
        <v>37.110343122484636</v>
      </c>
      <c r="P179" s="310">
        <f t="shared" ca="1" si="76"/>
        <v>23</v>
      </c>
      <c r="Q179" s="304">
        <f t="shared" ca="1" si="77"/>
        <v>0</v>
      </c>
      <c r="R179" s="306">
        <f t="shared" ca="1" si="78"/>
        <v>0</v>
      </c>
      <c r="S179" s="307">
        <f t="shared" ca="1" si="79"/>
        <v>4.341000000000002</v>
      </c>
      <c r="T179" s="304">
        <f t="shared" ca="1" si="59"/>
        <v>42.585210000000025</v>
      </c>
      <c r="U179" s="311">
        <f t="shared" ca="1" si="60"/>
        <v>0</v>
      </c>
      <c r="V179" s="306">
        <f t="shared" ca="1" si="61"/>
        <v>1.0888927411652718</v>
      </c>
      <c r="W179" s="304">
        <f t="shared" ca="1" si="62"/>
        <v>2.7523484663857793</v>
      </c>
      <c r="Y179" s="314" t="str">
        <f t="shared" ca="1" si="80"/>
        <v/>
      </c>
      <c r="Z179" s="315" t="str">
        <f t="shared" ca="1" si="81"/>
        <v/>
      </c>
      <c r="AA179" s="316" t="str">
        <f t="shared" ca="1" si="82"/>
        <v/>
      </c>
      <c r="AC179" s="310" t="e">
        <f t="shared" ca="1" si="83"/>
        <v>#N/A</v>
      </c>
      <c r="AD179" s="323" t="e">
        <f t="shared" ca="1" si="84"/>
        <v>#N/A</v>
      </c>
      <c r="AE179" s="324">
        <f t="shared" ca="1" si="63"/>
        <v>1176.435332660968</v>
      </c>
      <c r="AG179" s="306">
        <f t="shared" ca="1" si="85"/>
        <v>-6.796207520551051</v>
      </c>
      <c r="AH179" s="304">
        <f t="shared" ca="1" si="86"/>
        <v>-0.6649144537060262</v>
      </c>
    </row>
    <row r="180" spans="1:34" x14ac:dyDescent="0.2">
      <c r="A180" s="347">
        <f t="shared" ca="1" si="64"/>
        <v>0.1</v>
      </c>
      <c r="B180" s="304">
        <f t="shared" ca="1" si="65"/>
        <v>8.5999999999999872</v>
      </c>
      <c r="D180" s="306">
        <f t="shared" ca="1" si="66"/>
        <v>-0.50562754174604119</v>
      </c>
      <c r="E180" s="307">
        <f t="shared" ca="1" si="67"/>
        <v>-10.192546611157704</v>
      </c>
      <c r="F180" s="304">
        <f t="shared" ca="1" si="68"/>
        <v>10.205080383397014</v>
      </c>
      <c r="G180" s="306">
        <f t="shared" ca="1" si="69"/>
        <v>22.208405919191314</v>
      </c>
      <c r="H180" s="307">
        <f t="shared" ca="1" si="70"/>
        <v>15.821388561081271</v>
      </c>
      <c r="I180" s="304">
        <f t="shared" ca="1" si="71"/>
        <v>27.267739720634804</v>
      </c>
      <c r="J180" s="306">
        <f t="shared" ca="1" si="72"/>
        <v>369.0990595593392</v>
      </c>
      <c r="K180" s="307">
        <f t="shared" ca="1" si="73"/>
        <v>1178.068434250132</v>
      </c>
      <c r="L180" s="304">
        <f t="shared" ca="1" si="58"/>
        <v>1234.5360875827591</v>
      </c>
      <c r="M180" s="306">
        <f t="shared" ca="1" si="74"/>
        <v>0.61900331311058743</v>
      </c>
      <c r="N180" s="304">
        <f t="shared" ca="1" si="75"/>
        <v>35.46627734585168</v>
      </c>
      <c r="P180" s="310">
        <f t="shared" ca="1" si="76"/>
        <v>23</v>
      </c>
      <c r="Q180" s="304">
        <f t="shared" ca="1" si="77"/>
        <v>0</v>
      </c>
      <c r="R180" s="306">
        <f t="shared" ca="1" si="78"/>
        <v>0</v>
      </c>
      <c r="S180" s="307">
        <f t="shared" ca="1" si="79"/>
        <v>4.341000000000002</v>
      </c>
      <c r="T180" s="304">
        <f t="shared" ca="1" si="59"/>
        <v>42.585210000000025</v>
      </c>
      <c r="U180" s="311">
        <f t="shared" ca="1" si="60"/>
        <v>0</v>
      </c>
      <c r="V180" s="306">
        <f t="shared" ca="1" si="61"/>
        <v>1.0887143102604662</v>
      </c>
      <c r="W180" s="304">
        <f t="shared" ca="1" si="62"/>
        <v>2.6263622660879902</v>
      </c>
      <c r="Y180" s="314" t="str">
        <f t="shared" ca="1" si="80"/>
        <v/>
      </c>
      <c r="Z180" s="315" t="str">
        <f t="shared" ca="1" si="81"/>
        <v/>
      </c>
      <c r="AA180" s="316" t="str">
        <f t="shared" ca="1" si="82"/>
        <v/>
      </c>
      <c r="AC180" s="310" t="e">
        <f t="shared" ca="1" si="83"/>
        <v>#N/A</v>
      </c>
      <c r="AD180" s="323" t="e">
        <f t="shared" ca="1" si="84"/>
        <v>#N/A</v>
      </c>
      <c r="AE180" s="324">
        <f t="shared" ca="1" si="63"/>
        <v>1178.068434250132</v>
      </c>
      <c r="AG180" s="306">
        <f t="shared" ca="1" si="85"/>
        <v>-6.5529183008924843</v>
      </c>
      <c r="AH180" s="304">
        <f t="shared" ca="1" si="86"/>
        <v>-0.63403558313424968</v>
      </c>
    </row>
    <row r="181" spans="1:34" x14ac:dyDescent="0.2">
      <c r="A181" s="347">
        <f t="shared" ca="1" si="64"/>
        <v>0.1</v>
      </c>
      <c r="B181" s="304">
        <f t="shared" ca="1" si="65"/>
        <v>8.6999999999999869</v>
      </c>
      <c r="D181" s="306">
        <f t="shared" ca="1" si="66"/>
        <v>-0.49275732752682444</v>
      </c>
      <c r="E181" s="307">
        <f t="shared" ca="1" si="67"/>
        <v>-10.161042986763174</v>
      </c>
      <c r="F181" s="304">
        <f t="shared" ca="1" si="68"/>
        <v>10.172984044157371</v>
      </c>
      <c r="G181" s="306">
        <f t="shared" ca="1" si="69"/>
        <v>22.159130186438631</v>
      </c>
      <c r="H181" s="307">
        <f t="shared" ca="1" si="70"/>
        <v>14.805284262404953</v>
      </c>
      <c r="I181" s="304">
        <f t="shared" ca="1" si="71"/>
        <v>26.650018624949428</v>
      </c>
      <c r="J181" s="306">
        <f t="shared" ca="1" si="72"/>
        <v>371.31743636462068</v>
      </c>
      <c r="K181" s="307">
        <f t="shared" ca="1" si="73"/>
        <v>1179.5997678913063</v>
      </c>
      <c r="L181" s="304">
        <f t="shared" ca="1" si="58"/>
        <v>1236.6617366756432</v>
      </c>
      <c r="M181" s="306">
        <f t="shared" ca="1" si="74"/>
        <v>0.58901826026158643</v>
      </c>
      <c r="N181" s="304">
        <f t="shared" ca="1" si="75"/>
        <v>33.748260369127195</v>
      </c>
      <c r="P181" s="310">
        <f t="shared" ca="1" si="76"/>
        <v>23</v>
      </c>
      <c r="Q181" s="304">
        <f t="shared" ca="1" si="77"/>
        <v>0</v>
      </c>
      <c r="R181" s="306">
        <f t="shared" ca="1" si="78"/>
        <v>0</v>
      </c>
      <c r="S181" s="307">
        <f t="shared" ca="1" si="79"/>
        <v>4.341000000000002</v>
      </c>
      <c r="T181" s="304">
        <f t="shared" ca="1" si="59"/>
        <v>42.585210000000025</v>
      </c>
      <c r="U181" s="311">
        <f t="shared" ca="1" si="60"/>
        <v>0</v>
      </c>
      <c r="V181" s="306">
        <f t="shared" ca="1" si="61"/>
        <v>1.0885470234090533</v>
      </c>
      <c r="W181" s="304">
        <f t="shared" ca="1" si="62"/>
        <v>2.5083298549579465</v>
      </c>
      <c r="Y181" s="314" t="str">
        <f t="shared" ca="1" si="80"/>
        <v/>
      </c>
      <c r="Z181" s="315" t="str">
        <f t="shared" ca="1" si="81"/>
        <v/>
      </c>
      <c r="AA181" s="316" t="str">
        <f t="shared" ca="1" si="82"/>
        <v/>
      </c>
      <c r="AC181" s="310" t="e">
        <f t="shared" ca="1" si="83"/>
        <v>#N/A</v>
      </c>
      <c r="AD181" s="323" t="e">
        <f t="shared" ca="1" si="84"/>
        <v>#N/A</v>
      </c>
      <c r="AE181" s="324">
        <f t="shared" ca="1" si="63"/>
        <v>1179.5997678913063</v>
      </c>
      <c r="AG181" s="306">
        <f t="shared" ca="1" si="85"/>
        <v>-6.2970075916803641</v>
      </c>
      <c r="AH181" s="304">
        <f t="shared" ca="1" si="86"/>
        <v>-0.60501319191153857</v>
      </c>
    </row>
    <row r="182" spans="1:34" x14ac:dyDescent="0.2">
      <c r="A182" s="347">
        <f t="shared" ca="1" si="64"/>
        <v>0.1</v>
      </c>
      <c r="B182" s="304">
        <f t="shared" ca="1" si="65"/>
        <v>8.7999999999999865</v>
      </c>
      <c r="D182" s="306">
        <f t="shared" ca="1" si="66"/>
        <v>-0.48045205310644917</v>
      </c>
      <c r="E182" s="307">
        <f t="shared" ca="1" si="67"/>
        <v>-10.131006698405985</v>
      </c>
      <c r="F182" s="304">
        <f t="shared" ca="1" si="68"/>
        <v>10.142392760018769</v>
      </c>
      <c r="G182" s="306">
        <f t="shared" ca="1" si="69"/>
        <v>22.111084981127988</v>
      </c>
      <c r="H182" s="307">
        <f t="shared" ca="1" si="70"/>
        <v>13.792183592564355</v>
      </c>
      <c r="I182" s="304">
        <f t="shared" ca="1" si="71"/>
        <v>26.060015489129416</v>
      </c>
      <c r="J182" s="306">
        <f t="shared" ca="1" si="72"/>
        <v>373.53094712299901</v>
      </c>
      <c r="K182" s="307">
        <f t="shared" ca="1" si="73"/>
        <v>1181.0296412840548</v>
      </c>
      <c r="L182" s="304">
        <f t="shared" ca="1" si="58"/>
        <v>1238.69139903777</v>
      </c>
      <c r="M182" s="306">
        <f t="shared" ca="1" si="74"/>
        <v>0.55771277288035093</v>
      </c>
      <c r="N182" s="304">
        <f t="shared" ca="1" si="75"/>
        <v>31.954588066582346</v>
      </c>
      <c r="P182" s="310">
        <f t="shared" ca="1" si="76"/>
        <v>23</v>
      </c>
      <c r="Q182" s="304">
        <f t="shared" ca="1" si="77"/>
        <v>0</v>
      </c>
      <c r="R182" s="306">
        <f t="shared" ca="1" si="78"/>
        <v>0</v>
      </c>
      <c r="S182" s="307">
        <f t="shared" ca="1" si="79"/>
        <v>4.341000000000002</v>
      </c>
      <c r="T182" s="304">
        <f t="shared" ca="1" si="59"/>
        <v>42.585210000000025</v>
      </c>
      <c r="U182" s="311">
        <f t="shared" ca="1" si="60"/>
        <v>0</v>
      </c>
      <c r="V182" s="306">
        <f t="shared" ca="1" si="61"/>
        <v>1.0883908421757669</v>
      </c>
      <c r="W182" s="304">
        <f t="shared" ca="1" si="62"/>
        <v>2.3981516176278221</v>
      </c>
      <c r="Y182" s="314" t="str">
        <f t="shared" ca="1" si="80"/>
        <v/>
      </c>
      <c r="Z182" s="315" t="str">
        <f t="shared" ca="1" si="81"/>
        <v/>
      </c>
      <c r="AA182" s="316" t="str">
        <f t="shared" ca="1" si="82"/>
        <v/>
      </c>
      <c r="AC182" s="310" t="e">
        <f t="shared" ca="1" si="83"/>
        <v>#N/A</v>
      </c>
      <c r="AD182" s="323" t="e">
        <f t="shared" ca="1" si="84"/>
        <v>#N/A</v>
      </c>
      <c r="AE182" s="324">
        <f t="shared" ca="1" si="63"/>
        <v>1181.0296412840548</v>
      </c>
      <c r="AG182" s="306">
        <f t="shared" ca="1" si="85"/>
        <v>-6.0277193756618495</v>
      </c>
      <c r="AH182" s="304">
        <f t="shared" ca="1" si="86"/>
        <v>-0.57782304882698576</v>
      </c>
    </row>
    <row r="183" spans="1:34" x14ac:dyDescent="0.2">
      <c r="A183" s="347">
        <f t="shared" ca="1" si="64"/>
        <v>0.1</v>
      </c>
      <c r="B183" s="304">
        <f t="shared" ca="1" si="65"/>
        <v>8.8999999999999861</v>
      </c>
      <c r="D183" s="306">
        <f t="shared" ca="1" si="66"/>
        <v>-0.46872944400825656</v>
      </c>
      <c r="E183" s="307">
        <f t="shared" ca="1" si="67"/>
        <v>-10.102378350158768</v>
      </c>
      <c r="F183" s="304">
        <f t="shared" ca="1" si="68"/>
        <v>10.113246542106886</v>
      </c>
      <c r="G183" s="306">
        <f t="shared" ca="1" si="69"/>
        <v>22.064212036727163</v>
      </c>
      <c r="H183" s="307">
        <f t="shared" ca="1" si="70"/>
        <v>12.781945757548478</v>
      </c>
      <c r="I183" s="304">
        <f t="shared" ca="1" si="71"/>
        <v>25.499168420765553</v>
      </c>
      <c r="J183" s="306">
        <f t="shared" ca="1" si="72"/>
        <v>375.73971197389176</v>
      </c>
      <c r="K183" s="307">
        <f t="shared" ca="1" si="73"/>
        <v>1182.3583477515606</v>
      </c>
      <c r="L183" s="304">
        <f t="shared" ca="1" si="58"/>
        <v>1240.6254848470683</v>
      </c>
      <c r="M183" s="306">
        <f t="shared" ca="1" si="74"/>
        <v>0.5250648520696265</v>
      </c>
      <c r="N183" s="304">
        <f t="shared" ca="1" si="75"/>
        <v>30.083999994250508</v>
      </c>
      <c r="P183" s="310">
        <f t="shared" ca="1" si="76"/>
        <v>23</v>
      </c>
      <c r="Q183" s="304">
        <f t="shared" ca="1" si="77"/>
        <v>0</v>
      </c>
      <c r="R183" s="306">
        <f t="shared" ca="1" si="78"/>
        <v>0</v>
      </c>
      <c r="S183" s="307">
        <f t="shared" ca="1" si="79"/>
        <v>4.341000000000002</v>
      </c>
      <c r="T183" s="304">
        <f t="shared" ca="1" si="59"/>
        <v>42.585210000000025</v>
      </c>
      <c r="U183" s="311">
        <f t="shared" ca="1" si="60"/>
        <v>0</v>
      </c>
      <c r="V183" s="306">
        <f t="shared" ca="1" si="61"/>
        <v>1.0882457300346444</v>
      </c>
      <c r="W183" s="304">
        <f t="shared" ca="1" si="62"/>
        <v>2.2957332569620337</v>
      </c>
      <c r="Y183" s="314" t="str">
        <f t="shared" ca="1" si="80"/>
        <v/>
      </c>
      <c r="Z183" s="315" t="str">
        <f t="shared" ca="1" si="81"/>
        <v/>
      </c>
      <c r="AA183" s="316" t="str">
        <f t="shared" ca="1" si="82"/>
        <v/>
      </c>
      <c r="AC183" s="310" t="e">
        <f t="shared" ca="1" si="83"/>
        <v>#N/A</v>
      </c>
      <c r="AD183" s="323" t="e">
        <f t="shared" ca="1" si="84"/>
        <v>#N/A</v>
      </c>
      <c r="AE183" s="324">
        <f t="shared" ca="1" si="63"/>
        <v>1182.3583477515606</v>
      </c>
      <c r="AG183" s="306">
        <f t="shared" ca="1" si="85"/>
        <v>-5.7443547398889709</v>
      </c>
      <c r="AH183" s="304">
        <f t="shared" ca="1" si="86"/>
        <v>-0.55244220631831864</v>
      </c>
    </row>
    <row r="184" spans="1:34" x14ac:dyDescent="0.2">
      <c r="A184" s="347">
        <f t="shared" ca="1" si="64"/>
        <v>0.1</v>
      </c>
      <c r="B184" s="304">
        <f t="shared" ca="1" si="65"/>
        <v>8.9999999999999858</v>
      </c>
      <c r="D184" s="306">
        <f t="shared" ca="1" si="66"/>
        <v>-0.45760845992385313</v>
      </c>
      <c r="E184" s="307">
        <f t="shared" ca="1" si="67"/>
        <v>-10.075095644621516</v>
      </c>
      <c r="F184" s="304">
        <f t="shared" ca="1" si="68"/>
        <v>10.085482524444</v>
      </c>
      <c r="G184" s="306">
        <f t="shared" ca="1" si="69"/>
        <v>22.018451190734776</v>
      </c>
      <c r="H184" s="307">
        <f t="shared" ca="1" si="70"/>
        <v>11.774436193086325</v>
      </c>
      <c r="I184" s="304">
        <f t="shared" ca="1" si="71"/>
        <v>24.968971554788375</v>
      </c>
      <c r="J184" s="306">
        <f t="shared" ca="1" si="72"/>
        <v>377.94384513526484</v>
      </c>
      <c r="K184" s="307">
        <f t="shared" ca="1" si="73"/>
        <v>1183.5861668490923</v>
      </c>
      <c r="L184" s="304">
        <f t="shared" ca="1" si="58"/>
        <v>1242.4643916153718</v>
      </c>
      <c r="M184" s="306">
        <f t="shared" ca="1" si="74"/>
        <v>0.49106207025398718</v>
      </c>
      <c r="N184" s="304">
        <f t="shared" ca="1" si="75"/>
        <v>28.13578410451019</v>
      </c>
      <c r="P184" s="310">
        <f t="shared" ca="1" si="76"/>
        <v>23</v>
      </c>
      <c r="Q184" s="304">
        <f t="shared" ca="1" si="77"/>
        <v>0</v>
      </c>
      <c r="R184" s="306">
        <f t="shared" ca="1" si="78"/>
        <v>0</v>
      </c>
      <c r="S184" s="307">
        <f t="shared" ca="1" si="79"/>
        <v>4.341000000000002</v>
      </c>
      <c r="T184" s="304">
        <f t="shared" ca="1" si="59"/>
        <v>42.585210000000025</v>
      </c>
      <c r="U184" s="311">
        <f t="shared" ca="1" si="60"/>
        <v>0</v>
      </c>
      <c r="V184" s="306">
        <f t="shared" ca="1" si="61"/>
        <v>1.0881116522981249</v>
      </c>
      <c r="W184" s="304">
        <f t="shared" ca="1" si="62"/>
        <v>2.2009855393918278</v>
      </c>
      <c r="Y184" s="314" t="str">
        <f t="shared" ca="1" si="80"/>
        <v/>
      </c>
      <c r="Z184" s="315" t="str">
        <f t="shared" ca="1" si="81"/>
        <v/>
      </c>
      <c r="AA184" s="316" t="str">
        <f t="shared" ca="1" si="82"/>
        <v/>
      </c>
      <c r="AC184" s="310">
        <f t="shared" ca="1" si="83"/>
        <v>8.9999999999999858</v>
      </c>
      <c r="AD184" s="323">
        <f t="shared" ca="1" si="84"/>
        <v>377.94384513526484</v>
      </c>
      <c r="AE184" s="324">
        <f t="shared" ca="1" si="63"/>
        <v>1183.5861668490923</v>
      </c>
      <c r="AG184" s="306">
        <f t="shared" ca="1" si="85"/>
        <v>-5.4462990255058576</v>
      </c>
      <c r="AH184" s="304">
        <f t="shared" ca="1" si="86"/>
        <v>-0.52884894194011345</v>
      </c>
    </row>
    <row r="185" spans="1:34" x14ac:dyDescent="0.2">
      <c r="A185" s="347">
        <f t="shared" ca="1" si="64"/>
        <v>0.1</v>
      </c>
      <c r="B185" s="304">
        <f t="shared" ca="1" si="65"/>
        <v>9.0999999999999854</v>
      </c>
      <c r="D185" s="306">
        <f t="shared" ca="1" si="66"/>
        <v>-0.44710910665314563</v>
      </c>
      <c r="E185" s="307">
        <f t="shared" ca="1" si="67"/>
        <v>-10.049093004409436</v>
      </c>
      <c r="F185" s="304">
        <f t="shared" ca="1" si="68"/>
        <v>10.059034584120031</v>
      </c>
      <c r="G185" s="306">
        <f t="shared" ca="1" si="69"/>
        <v>21.97374028006946</v>
      </c>
      <c r="H185" s="307">
        <f t="shared" ca="1" si="70"/>
        <v>10.769526892645382</v>
      </c>
      <c r="I185" s="304">
        <f t="shared" ca="1" si="71"/>
        <v>24.470961799393159</v>
      </c>
      <c r="J185" s="306">
        <f t="shared" ca="1" si="72"/>
        <v>380.14345470880505</v>
      </c>
      <c r="K185" s="307">
        <f t="shared" ca="1" si="73"/>
        <v>1184.7133650033788</v>
      </c>
      <c r="L185" s="304">
        <f t="shared" ca="1" si="58"/>
        <v>1244.2085047834926</v>
      </c>
      <c r="M185" s="306">
        <f t="shared" ca="1" si="74"/>
        <v>0.45570350951864097</v>
      </c>
      <c r="N185" s="304">
        <f t="shared" ca="1" si="75"/>
        <v>26.109887804717864</v>
      </c>
      <c r="P185" s="310">
        <f t="shared" ca="1" si="76"/>
        <v>23</v>
      </c>
      <c r="Q185" s="304">
        <f t="shared" ca="1" si="77"/>
        <v>0</v>
      </c>
      <c r="R185" s="306">
        <f t="shared" ca="1" si="78"/>
        <v>0</v>
      </c>
      <c r="S185" s="307">
        <f t="shared" ca="1" si="79"/>
        <v>4.341000000000002</v>
      </c>
      <c r="T185" s="304">
        <f t="shared" ca="1" si="59"/>
        <v>42.585210000000025</v>
      </c>
      <c r="U185" s="311">
        <f t="shared" ca="1" si="60"/>
        <v>0</v>
      </c>
      <c r="V185" s="306">
        <f t="shared" ca="1" si="61"/>
        <v>1.0879885760430814</v>
      </c>
      <c r="W185" s="304">
        <f t="shared" ca="1" si="62"/>
        <v>2.1138240382745908</v>
      </c>
      <c r="Y185" s="314" t="str">
        <f t="shared" ca="1" si="80"/>
        <v/>
      </c>
      <c r="Z185" s="315" t="str">
        <f t="shared" ca="1" si="81"/>
        <v/>
      </c>
      <c r="AA185" s="316" t="str">
        <f t="shared" ca="1" si="82"/>
        <v/>
      </c>
      <c r="AC185" s="310" t="e">
        <f t="shared" ca="1" si="83"/>
        <v>#N/A</v>
      </c>
      <c r="AD185" s="323" t="e">
        <f t="shared" ca="1" si="84"/>
        <v>#N/A</v>
      </c>
      <c r="AE185" s="324">
        <f t="shared" ca="1" si="63"/>
        <v>1184.7133650033788</v>
      </c>
      <c r="AG185" s="306">
        <f t="shared" ca="1" si="85"/>
        <v>-5.1330530029782269</v>
      </c>
      <c r="AH185" s="304">
        <f t="shared" ca="1" si="86"/>
        <v>-0.50702269969864699</v>
      </c>
    </row>
    <row r="186" spans="1:34" x14ac:dyDescent="0.2">
      <c r="A186" s="347">
        <f t="shared" ca="1" si="64"/>
        <v>0.1</v>
      </c>
      <c r="B186" s="304">
        <f t="shared" ca="1" si="65"/>
        <v>9.1999999999999851</v>
      </c>
      <c r="D186" s="306">
        <f t="shared" ca="1" si="66"/>
        <v>-0.43725219116189518</v>
      </c>
      <c r="E186" s="307">
        <f t="shared" ca="1" si="67"/>
        <v>-10.024301214611938</v>
      </c>
      <c r="F186" s="304">
        <f t="shared" ca="1" si="68"/>
        <v>10.033832982462199</v>
      </c>
      <c r="G186" s="306">
        <f t="shared" ca="1" si="69"/>
        <v>21.93001506095327</v>
      </c>
      <c r="H186" s="307">
        <f t="shared" ca="1" si="70"/>
        <v>9.767096771184189</v>
      </c>
      <c r="I186" s="304">
        <f t="shared" ca="1" si="71"/>
        <v>24.006701979058139</v>
      </c>
      <c r="J186" s="306">
        <f t="shared" ca="1" si="72"/>
        <v>382.3386424758562</v>
      </c>
      <c r="K186" s="307">
        <f t="shared" ca="1" si="73"/>
        <v>1185.7401961865703</v>
      </c>
      <c r="L186" s="304">
        <f t="shared" ca="1" si="58"/>
        <v>1245.8581983447582</v>
      </c>
      <c r="M186" s="306">
        <f t="shared" ca="1" si="74"/>
        <v>0.41900174375762689</v>
      </c>
      <c r="N186" s="304">
        <f t="shared" ca="1" si="75"/>
        <v>24.007031525934007</v>
      </c>
      <c r="P186" s="310">
        <f t="shared" ca="1" si="76"/>
        <v>23</v>
      </c>
      <c r="Q186" s="304">
        <f t="shared" ca="1" si="77"/>
        <v>0</v>
      </c>
      <c r="R186" s="306">
        <f t="shared" ca="1" si="78"/>
        <v>0</v>
      </c>
      <c r="S186" s="307">
        <f t="shared" ca="1" si="79"/>
        <v>4.341000000000002</v>
      </c>
      <c r="T186" s="304">
        <f t="shared" ca="1" si="59"/>
        <v>42.585210000000025</v>
      </c>
      <c r="U186" s="311">
        <f t="shared" ca="1" si="60"/>
        <v>0</v>
      </c>
      <c r="V186" s="306">
        <f t="shared" ca="1" si="61"/>
        <v>1.087876470033367</v>
      </c>
      <c r="W186" s="304">
        <f t="shared" ca="1" si="62"/>
        <v>2.0341688739471921</v>
      </c>
      <c r="Y186" s="314" t="str">
        <f t="shared" ca="1" si="80"/>
        <v/>
      </c>
      <c r="Z186" s="315" t="str">
        <f t="shared" ca="1" si="81"/>
        <v/>
      </c>
      <c r="AA186" s="316" t="str">
        <f t="shared" ca="1" si="82"/>
        <v/>
      </c>
      <c r="AC186" s="310" t="e">
        <f t="shared" ca="1" si="83"/>
        <v>#N/A</v>
      </c>
      <c r="AD186" s="323" t="e">
        <f t="shared" ca="1" si="84"/>
        <v>#N/A</v>
      </c>
      <c r="AE186" s="324">
        <f t="shared" ca="1" si="63"/>
        <v>1185.7401961865703</v>
      </c>
      <c r="AG186" s="306">
        <f t="shared" ca="1" si="85"/>
        <v>-4.8042675461631941</v>
      </c>
      <c r="AH186" s="304">
        <f t="shared" ca="1" si="86"/>
        <v>-0.48694403093171845</v>
      </c>
    </row>
    <row r="187" spans="1:34" x14ac:dyDescent="0.2">
      <c r="A187" s="347">
        <f t="shared" ca="1" si="64"/>
        <v>0.1</v>
      </c>
      <c r="B187" s="304">
        <f t="shared" ca="1" si="65"/>
        <v>9.2999999999999847</v>
      </c>
      <c r="D187" s="306">
        <f t="shared" ca="1" si="66"/>
        <v>-0.42805901478790165</v>
      </c>
      <c r="E187" s="307">
        <f t="shared" ca="1" si="67"/>
        <v>-10.000647102137899</v>
      </c>
      <c r="F187" s="304">
        <f t="shared" ca="1" si="68"/>
        <v>10.009804043118942</v>
      </c>
      <c r="G187" s="306">
        <f t="shared" ca="1" si="69"/>
        <v>21.88720915947448</v>
      </c>
      <c r="H187" s="307">
        <f t="shared" ca="1" si="70"/>
        <v>8.7670320609703989</v>
      </c>
      <c r="I187" s="304">
        <f t="shared" ca="1" si="71"/>
        <v>23.577760197878561</v>
      </c>
      <c r="J187" s="306">
        <f t="shared" ca="1" si="72"/>
        <v>384.5295036868776</v>
      </c>
      <c r="K187" s="307">
        <f t="shared" ca="1" si="73"/>
        <v>1186.6669026281779</v>
      </c>
      <c r="L187" s="304">
        <f t="shared" ca="1" si="58"/>
        <v>1247.4138355008051</v>
      </c>
      <c r="M187" s="306">
        <f t="shared" ca="1" si="74"/>
        <v>0.38098477302229816</v>
      </c>
      <c r="N187" s="304">
        <f t="shared" ca="1" si="75"/>
        <v>21.82881955292731</v>
      </c>
      <c r="P187" s="310">
        <f t="shared" ca="1" si="76"/>
        <v>23</v>
      </c>
      <c r="Q187" s="304">
        <f t="shared" ca="1" si="77"/>
        <v>0</v>
      </c>
      <c r="R187" s="306">
        <f t="shared" ca="1" si="78"/>
        <v>0</v>
      </c>
      <c r="S187" s="307">
        <f t="shared" ca="1" si="79"/>
        <v>4.341000000000002</v>
      </c>
      <c r="T187" s="304">
        <f t="shared" ca="1" si="59"/>
        <v>42.585210000000025</v>
      </c>
      <c r="U187" s="311">
        <f t="shared" ca="1" si="60"/>
        <v>0</v>
      </c>
      <c r="V187" s="306">
        <f t="shared" ca="1" si="61"/>
        <v>1.0877753046384855</v>
      </c>
      <c r="W187" s="304">
        <f t="shared" ca="1" si="62"/>
        <v>1.9619444492470741</v>
      </c>
      <c r="Y187" s="314" t="str">
        <f t="shared" ca="1" si="80"/>
        <v/>
      </c>
      <c r="Z187" s="315" t="str">
        <f t="shared" ca="1" si="81"/>
        <v/>
      </c>
      <c r="AA187" s="316" t="str">
        <f t="shared" ca="1" si="82"/>
        <v/>
      </c>
      <c r="AC187" s="310" t="e">
        <f t="shared" ca="1" si="83"/>
        <v>#N/A</v>
      </c>
      <c r="AD187" s="323" t="e">
        <f t="shared" ca="1" si="84"/>
        <v>#N/A</v>
      </c>
      <c r="AE187" s="324">
        <f t="shared" ca="1" si="63"/>
        <v>1186.6669026281779</v>
      </c>
      <c r="AG187" s="306">
        <f t="shared" ca="1" si="85"/>
        <v>-4.4597808043651828</v>
      </c>
      <c r="AH187" s="304">
        <f t="shared" ca="1" si="86"/>
        <v>-0.46859453442690424</v>
      </c>
    </row>
    <row r="188" spans="1:34" x14ac:dyDescent="0.2">
      <c r="A188" s="347">
        <f t="shared" ca="1" si="64"/>
        <v>0.1</v>
      </c>
      <c r="B188" s="304">
        <f t="shared" ca="1" si="65"/>
        <v>9.3999999999999844</v>
      </c>
      <c r="D188" s="306">
        <f t="shared" ca="1" si="66"/>
        <v>-0.41955100192050809</v>
      </c>
      <c r="E188" s="307">
        <f t="shared" ca="1" si="67"/>
        <v>-9.9780532706682319</v>
      </c>
      <c r="F188" s="304">
        <f t="shared" ca="1" si="68"/>
        <v>9.9868698857803029</v>
      </c>
      <c r="G188" s="306">
        <f t="shared" ca="1" si="69"/>
        <v>21.845254059282428</v>
      </c>
      <c r="H188" s="307">
        <f t="shared" ca="1" si="70"/>
        <v>7.7692267339035759</v>
      </c>
      <c r="I188" s="304">
        <f t="shared" ca="1" si="71"/>
        <v>23.185685432123794</v>
      </c>
      <c r="J188" s="306">
        <f t="shared" ca="1" si="72"/>
        <v>386.71612684781547</v>
      </c>
      <c r="K188" s="307">
        <f t="shared" ca="1" si="73"/>
        <v>1187.4937155679215</v>
      </c>
      <c r="L188" s="304">
        <f t="shared" ca="1" si="58"/>
        <v>1248.8757693531745</v>
      </c>
      <c r="M188" s="306">
        <f t="shared" ca="1" si="74"/>
        <v>0.34169779395370337</v>
      </c>
      <c r="N188" s="304">
        <f t="shared" ca="1" si="75"/>
        <v>19.577841462478023</v>
      </c>
      <c r="P188" s="310">
        <f t="shared" ca="1" si="76"/>
        <v>23</v>
      </c>
      <c r="Q188" s="304">
        <f t="shared" ca="1" si="77"/>
        <v>0</v>
      </c>
      <c r="R188" s="306">
        <f t="shared" ca="1" si="78"/>
        <v>0</v>
      </c>
      <c r="S188" s="307">
        <f t="shared" ca="1" si="79"/>
        <v>4.341000000000002</v>
      </c>
      <c r="T188" s="304">
        <f t="shared" ca="1" si="59"/>
        <v>42.585210000000025</v>
      </c>
      <c r="U188" s="311">
        <f t="shared" ca="1" si="60"/>
        <v>0</v>
      </c>
      <c r="V188" s="306">
        <f t="shared" ca="1" si="61"/>
        <v>1.087685051748065</v>
      </c>
      <c r="W188" s="304">
        <f t="shared" ca="1" si="62"/>
        <v>1.8970791794262778</v>
      </c>
      <c r="Y188" s="314" t="str">
        <f t="shared" ca="1" si="80"/>
        <v/>
      </c>
      <c r="Z188" s="315" t="str">
        <f t="shared" ca="1" si="81"/>
        <v/>
      </c>
      <c r="AA188" s="316" t="str">
        <f t="shared" ca="1" si="82"/>
        <v/>
      </c>
      <c r="AC188" s="310" t="e">
        <f t="shared" ca="1" si="83"/>
        <v>#N/A</v>
      </c>
      <c r="AD188" s="323" t="e">
        <f t="shared" ca="1" si="84"/>
        <v>#N/A</v>
      </c>
      <c r="AE188" s="324">
        <f t="shared" ca="1" si="63"/>
        <v>1187.4937155679215</v>
      </c>
      <c r="AG188" s="306">
        <f t="shared" ca="1" si="85"/>
        <v>-4.0996563138689215</v>
      </c>
      <c r="AH188" s="304">
        <f t="shared" ca="1" si="86"/>
        <v>-0.45195679549575518</v>
      </c>
    </row>
    <row r="189" spans="1:34" x14ac:dyDescent="0.2">
      <c r="A189" s="347">
        <f t="shared" ca="1" si="64"/>
        <v>0.1</v>
      </c>
      <c r="B189" s="304">
        <f t="shared" ca="1" si="65"/>
        <v>9.499999999999984</v>
      </c>
      <c r="D189" s="306">
        <f t="shared" ca="1" si="66"/>
        <v>-0.411749264775922</v>
      </c>
      <c r="E189" s="307">
        <f t="shared" ca="1" si="67"/>
        <v>-9.9564379121836275</v>
      </c>
      <c r="F189" s="304">
        <f t="shared" ca="1" si="68"/>
        <v>9.9649482365043411</v>
      </c>
      <c r="G189" s="306">
        <f t="shared" ca="1" si="69"/>
        <v>21.804079132804837</v>
      </c>
      <c r="H189" s="307">
        <f t="shared" ca="1" si="70"/>
        <v>6.7735829426852128</v>
      </c>
      <c r="I189" s="304">
        <f t="shared" ca="1" si="71"/>
        <v>22.831979605611323</v>
      </c>
      <c r="J189" s="306">
        <f t="shared" ca="1" si="72"/>
        <v>388.89859350741983</v>
      </c>
      <c r="K189" s="307">
        <f t="shared" ca="1" si="73"/>
        <v>1188.2208560517511</v>
      </c>
      <c r="L189" s="304">
        <f t="shared" ca="1" si="58"/>
        <v>1250.2443436338376</v>
      </c>
      <c r="M189" s="306">
        <f t="shared" ca="1" si="74"/>
        <v>0.3012046691967612</v>
      </c>
      <c r="N189" s="304">
        <f t="shared" ca="1" si="75"/>
        <v>17.257756314608528</v>
      </c>
      <c r="P189" s="310">
        <f t="shared" ca="1" si="76"/>
        <v>23</v>
      </c>
      <c r="Q189" s="304">
        <f t="shared" ca="1" si="77"/>
        <v>0</v>
      </c>
      <c r="R189" s="306">
        <f t="shared" ca="1" si="78"/>
        <v>0</v>
      </c>
      <c r="S189" s="307">
        <f t="shared" ca="1" si="79"/>
        <v>4.341000000000002</v>
      </c>
      <c r="T189" s="304">
        <f t="shared" ca="1" si="59"/>
        <v>42.585210000000025</v>
      </c>
      <c r="U189" s="311">
        <f t="shared" ca="1" si="60"/>
        <v>0</v>
      </c>
      <c r="V189" s="306">
        <f t="shared" ca="1" si="61"/>
        <v>1.0876056846818589</v>
      </c>
      <c r="W189" s="304">
        <f t="shared" ca="1" si="62"/>
        <v>1.8395052155888341</v>
      </c>
      <c r="Y189" s="314" t="str">
        <f t="shared" ca="1" si="80"/>
        <v/>
      </c>
      <c r="Z189" s="315" t="str">
        <f t="shared" ca="1" si="81"/>
        <v/>
      </c>
      <c r="AA189" s="316" t="str">
        <f t="shared" ca="1" si="82"/>
        <v/>
      </c>
      <c r="AC189" s="310" t="e">
        <f t="shared" ca="1" si="83"/>
        <v>#N/A</v>
      </c>
      <c r="AD189" s="323" t="e">
        <f t="shared" ca="1" si="84"/>
        <v>#N/A</v>
      </c>
      <c r="AE189" s="324">
        <f t="shared" ca="1" si="63"/>
        <v>1188.2208560517511</v>
      </c>
      <c r="AG189" s="306">
        <f t="shared" ca="1" si="85"/>
        <v>-3.7242198921540126</v>
      </c>
      <c r="AH189" s="304">
        <f t="shared" ca="1" si="86"/>
        <v>-0.43701432375634114</v>
      </c>
    </row>
    <row r="190" spans="1:34" x14ac:dyDescent="0.2">
      <c r="A190" s="347">
        <f t="shared" ca="1" si="64"/>
        <v>0.1</v>
      </c>
      <c r="B190" s="304">
        <f t="shared" ca="1" si="65"/>
        <v>9.5999999999999837</v>
      </c>
      <c r="D190" s="306">
        <f t="shared" ca="1" si="66"/>
        <v>-0.40467410919420582</v>
      </c>
      <c r="E190" s="307">
        <f t="shared" ca="1" si="67"/>
        <v>-9.9357147172640818</v>
      </c>
      <c r="F190" s="304">
        <f t="shared" ca="1" si="68"/>
        <v>9.9439523368482714</v>
      </c>
      <c r="G190" s="306">
        <f t="shared" ca="1" si="69"/>
        <v>21.763611721885418</v>
      </c>
      <c r="H190" s="307">
        <f t="shared" ca="1" si="70"/>
        <v>5.7800114709588044</v>
      </c>
      <c r="I190" s="304">
        <f t="shared" ca="1" si="71"/>
        <v>22.518066697330031</v>
      </c>
      <c r="J190" s="306">
        <f t="shared" ca="1" si="72"/>
        <v>391.07697805015437</v>
      </c>
      <c r="K190" s="307">
        <f t="shared" ca="1" si="73"/>
        <v>1188.8485357724333</v>
      </c>
      <c r="L190" s="304">
        <f t="shared" ca="1" si="58"/>
        <v>1251.519893477167</v>
      </c>
      <c r="M190" s="306">
        <f t="shared" ca="1" si="74"/>
        <v>0.25958894544647904</v>
      </c>
      <c r="N190" s="304">
        <f t="shared" ca="1" si="75"/>
        <v>14.873350982335019</v>
      </c>
      <c r="P190" s="310">
        <f t="shared" ca="1" si="76"/>
        <v>23</v>
      </c>
      <c r="Q190" s="304">
        <f t="shared" ca="1" si="77"/>
        <v>0</v>
      </c>
      <c r="R190" s="306">
        <f t="shared" ca="1" si="78"/>
        <v>0</v>
      </c>
      <c r="S190" s="307">
        <f t="shared" ca="1" si="79"/>
        <v>4.341000000000002</v>
      </c>
      <c r="T190" s="304">
        <f t="shared" ca="1" si="59"/>
        <v>42.585210000000025</v>
      </c>
      <c r="U190" s="311">
        <f t="shared" ca="1" si="60"/>
        <v>0</v>
      </c>
      <c r="V190" s="306">
        <f t="shared" ca="1" si="61"/>
        <v>1.0875371780951153</v>
      </c>
      <c r="W190" s="304">
        <f t="shared" ca="1" si="62"/>
        <v>1.7891581610458471</v>
      </c>
      <c r="Y190" s="314" t="str">
        <f t="shared" ca="1" si="80"/>
        <v/>
      </c>
      <c r="Z190" s="315" t="str">
        <f t="shared" ca="1" si="81"/>
        <v/>
      </c>
      <c r="AA190" s="316" t="str">
        <f t="shared" ca="1" si="82"/>
        <v/>
      </c>
      <c r="AC190" s="310" t="e">
        <f t="shared" ca="1" si="83"/>
        <v>#N/A</v>
      </c>
      <c r="AD190" s="323" t="e">
        <f t="shared" ca="1" si="84"/>
        <v>#N/A</v>
      </c>
      <c r="AE190" s="324">
        <f t="shared" ca="1" si="63"/>
        <v>1188.8485357724333</v>
      </c>
      <c r="AG190" s="306">
        <f t="shared" ca="1" si="85"/>
        <v>-3.3340925906138033</v>
      </c>
      <c r="AH190" s="304">
        <f t="shared" ca="1" si="86"/>
        <v>-0.42375148942382707</v>
      </c>
    </row>
    <row r="191" spans="1:34" x14ac:dyDescent="0.2">
      <c r="A191" s="347">
        <f t="shared" ca="1" si="64"/>
        <v>0.1</v>
      </c>
      <c r="B191" s="304">
        <f t="shared" ca="1" si="65"/>
        <v>9.6999999999999833</v>
      </c>
      <c r="D191" s="306">
        <f t="shared" ca="1" si="66"/>
        <v>-0.39834449154311391</v>
      </c>
      <c r="E191" s="307">
        <f t="shared" ca="1" si="67"/>
        <v>-9.9157929060642598</v>
      </c>
      <c r="F191" s="304">
        <f t="shared" ca="1" si="68"/>
        <v>9.923790973710453</v>
      </c>
      <c r="G191" s="306">
        <f t="shared" ca="1" si="69"/>
        <v>21.723777272731105</v>
      </c>
      <c r="H191" s="307">
        <f t="shared" ca="1" si="70"/>
        <v>4.7884321803523786</v>
      </c>
      <c r="I191" s="304">
        <f t="shared" ca="1" si="71"/>
        <v>22.245259758902858</v>
      </c>
      <c r="J191" s="306">
        <f t="shared" ca="1" si="72"/>
        <v>393.25134749988518</v>
      </c>
      <c r="K191" s="307">
        <f t="shared" ca="1" si="73"/>
        <v>1189.3769579549987</v>
      </c>
      <c r="L191" s="304">
        <f t="shared" ca="1" si="58"/>
        <v>1252.7027462350204</v>
      </c>
      <c r="M191" s="306">
        <f t="shared" ca="1" si="74"/>
        <v>0.21695426888657107</v>
      </c>
      <c r="N191" s="304">
        <f t="shared" ca="1" si="75"/>
        <v>12.430563954546953</v>
      </c>
      <c r="P191" s="310">
        <f t="shared" ca="1" si="76"/>
        <v>23</v>
      </c>
      <c r="Q191" s="304">
        <f t="shared" ca="1" si="77"/>
        <v>0</v>
      </c>
      <c r="R191" s="306">
        <f t="shared" ca="1" si="78"/>
        <v>0</v>
      </c>
      <c r="S191" s="307">
        <f t="shared" ca="1" si="79"/>
        <v>4.341000000000002</v>
      </c>
      <c r="T191" s="304">
        <f t="shared" ca="1" si="59"/>
        <v>42.585210000000025</v>
      </c>
      <c r="U191" s="311">
        <f t="shared" ca="1" si="60"/>
        <v>0</v>
      </c>
      <c r="V191" s="306">
        <f t="shared" ca="1" si="61"/>
        <v>1.0874795078792645</v>
      </c>
      <c r="W191" s="304">
        <f t="shared" ca="1" si="62"/>
        <v>1.7459767803059634</v>
      </c>
      <c r="Y191" s="314" t="str">
        <f t="shared" ca="1" si="80"/>
        <v/>
      </c>
      <c r="Z191" s="315" t="str">
        <f t="shared" ca="1" si="81"/>
        <v/>
      </c>
      <c r="AA191" s="316" t="str">
        <f t="shared" ca="1" si="82"/>
        <v/>
      </c>
      <c r="AC191" s="310" t="e">
        <f t="shared" ca="1" si="83"/>
        <v>#N/A</v>
      </c>
      <c r="AD191" s="323" t="e">
        <f t="shared" ca="1" si="84"/>
        <v>#N/A</v>
      </c>
      <c r="AE191" s="324">
        <f t="shared" ca="1" si="63"/>
        <v>1189.3769579549987</v>
      </c>
      <c r="AG191" s="306">
        <f t="shared" ca="1" si="85"/>
        <v>-2.9302165444790678</v>
      </c>
      <c r="AH191" s="304">
        <f t="shared" ca="1" si="86"/>
        <v>-0.41215345796955688</v>
      </c>
    </row>
    <row r="192" spans="1:34" x14ac:dyDescent="0.2">
      <c r="A192" s="347">
        <f t="shared" ca="1" si="64"/>
        <v>0.1</v>
      </c>
      <c r="B192" s="304">
        <f t="shared" ca="1" si="65"/>
        <v>9.7999999999999829</v>
      </c>
      <c r="D192" s="306">
        <f t="shared" ca="1" si="66"/>
        <v>-0.39277744248862878</v>
      </c>
      <c r="E192" s="307">
        <f t="shared" ca="1" si="67"/>
        <v>-9.8965773995800408</v>
      </c>
      <c r="F192" s="304">
        <f t="shared" ca="1" si="68"/>
        <v>9.9043686495003982</v>
      </c>
      <c r="G192" s="306">
        <f t="shared" ca="1" si="69"/>
        <v>21.684499528482242</v>
      </c>
      <c r="H192" s="307">
        <f t="shared" ca="1" si="70"/>
        <v>3.7987744403943746</v>
      </c>
      <c r="I192" s="304">
        <f t="shared" ca="1" si="71"/>
        <v>22.014727049176425</v>
      </c>
      <c r="J192" s="306">
        <f t="shared" ca="1" si="72"/>
        <v>395.42176133994587</v>
      </c>
      <c r="K192" s="307">
        <f t="shared" ca="1" si="73"/>
        <v>1189.806318286036</v>
      </c>
      <c r="L192" s="304">
        <f t="shared" ca="1" si="58"/>
        <v>1253.7932223355481</v>
      </c>
      <c r="M192" s="306">
        <f t="shared" ca="1" si="74"/>
        <v>0.17342406244390457</v>
      </c>
      <c r="N192" s="304">
        <f t="shared" ca="1" si="75"/>
        <v>9.9364668440489776</v>
      </c>
      <c r="P192" s="310">
        <f t="shared" ca="1" si="76"/>
        <v>23</v>
      </c>
      <c r="Q192" s="304">
        <f t="shared" ca="1" si="77"/>
        <v>0</v>
      </c>
      <c r="R192" s="306">
        <f t="shared" ca="1" si="78"/>
        <v>0</v>
      </c>
      <c r="S192" s="307">
        <f t="shared" ca="1" si="79"/>
        <v>4.341000000000002</v>
      </c>
      <c r="T192" s="304">
        <f t="shared" ca="1" si="59"/>
        <v>42.585210000000025</v>
      </c>
      <c r="U192" s="311">
        <f t="shared" ca="1" si="60"/>
        <v>0</v>
      </c>
      <c r="V192" s="306">
        <f t="shared" ca="1" si="61"/>
        <v>1.0874326510580126</v>
      </c>
      <c r="W192" s="304">
        <f t="shared" ca="1" si="62"/>
        <v>1.7099027007978052</v>
      </c>
      <c r="Y192" s="314" t="str">
        <f t="shared" ca="1" si="80"/>
        <v/>
      </c>
      <c r="Z192" s="315" t="str">
        <f t="shared" ca="1" si="81"/>
        <v/>
      </c>
      <c r="AA192" s="316" t="str">
        <f t="shared" ca="1" si="82"/>
        <v/>
      </c>
      <c r="AC192" s="310" t="e">
        <f t="shared" ca="1" si="83"/>
        <v>#N/A</v>
      </c>
      <c r="AD192" s="323" t="e">
        <f t="shared" ca="1" si="84"/>
        <v>#N/A</v>
      </c>
      <c r="AE192" s="324">
        <f t="shared" ca="1" si="63"/>
        <v>1189.806318286036</v>
      </c>
      <c r="AG192" s="306">
        <f t="shared" ca="1" si="85"/>
        <v>-2.5138703696859479</v>
      </c>
      <c r="AH192" s="304">
        <f t="shared" ca="1" si="86"/>
        <v>-0.40220612308361264</v>
      </c>
    </row>
    <row r="193" spans="1:34" x14ac:dyDescent="0.2">
      <c r="A193" s="347">
        <f t="shared" ca="1" si="64"/>
        <v>0.1</v>
      </c>
      <c r="B193" s="304">
        <f t="shared" ca="1" si="65"/>
        <v>9.8999999999999826</v>
      </c>
      <c r="D193" s="306">
        <f t="shared" ca="1" si="66"/>
        <v>-0.38798747903628172</v>
      </c>
      <c r="E193" s="307">
        <f t="shared" ca="1" si="67"/>
        <v>-9.8779691461921999</v>
      </c>
      <c r="F193" s="304">
        <f t="shared" ca="1" si="68"/>
        <v>9.8855859076239874</v>
      </c>
      <c r="G193" s="306">
        <f t="shared" ca="1" si="69"/>
        <v>21.645700780578615</v>
      </c>
      <c r="H193" s="307">
        <f t="shared" ca="1" si="70"/>
        <v>2.8109775257751544</v>
      </c>
      <c r="I193" s="304">
        <f t="shared" ca="1" si="71"/>
        <v>21.827458783210535</v>
      </c>
      <c r="J193" s="306">
        <f t="shared" ca="1" si="72"/>
        <v>397.58827135539894</v>
      </c>
      <c r="K193" s="307">
        <f t="shared" ca="1" si="73"/>
        <v>1190.1368058843445</v>
      </c>
      <c r="L193" s="304">
        <f t="shared" ca="1" si="58"/>
        <v>1254.7916361850537</v>
      </c>
      <c r="M193" s="306">
        <f t="shared" ca="1" si="74"/>
        <v>0.12914036416502797</v>
      </c>
      <c r="N193" s="304">
        <f t="shared" ca="1" si="75"/>
        <v>7.3991978314385998</v>
      </c>
      <c r="P193" s="310">
        <f t="shared" ca="1" si="76"/>
        <v>23</v>
      </c>
      <c r="Q193" s="304">
        <f t="shared" ca="1" si="77"/>
        <v>0</v>
      </c>
      <c r="R193" s="306">
        <f t="shared" ca="1" si="78"/>
        <v>0</v>
      </c>
      <c r="S193" s="307">
        <f t="shared" ca="1" si="79"/>
        <v>4.341000000000002</v>
      </c>
      <c r="T193" s="304">
        <f t="shared" ca="1" si="59"/>
        <v>42.585210000000025</v>
      </c>
      <c r="U193" s="311">
        <f t="shared" ca="1" si="60"/>
        <v>0</v>
      </c>
      <c r="V193" s="306">
        <f t="shared" ca="1" si="61"/>
        <v>1.0873965856791008</v>
      </c>
      <c r="W193" s="304">
        <f t="shared" ca="1" si="62"/>
        <v>1.6808801078451876</v>
      </c>
      <c r="Y193" s="314" t="str">
        <f t="shared" ca="1" si="80"/>
        <v/>
      </c>
      <c r="Z193" s="315" t="str">
        <f t="shared" ca="1" si="81"/>
        <v/>
      </c>
      <c r="AA193" s="316" t="str">
        <f t="shared" ca="1" si="82"/>
        <v/>
      </c>
      <c r="AC193" s="310" t="e">
        <f t="shared" ca="1" si="83"/>
        <v>#N/A</v>
      </c>
      <c r="AD193" s="323" t="e">
        <f t="shared" ca="1" si="84"/>
        <v>#N/A</v>
      </c>
      <c r="AE193" s="324">
        <f t="shared" ca="1" si="63"/>
        <v>1190.1368058843445</v>
      </c>
      <c r="AG193" s="306">
        <f t="shared" ca="1" si="85"/>
        <v>-2.086670932560891</v>
      </c>
      <c r="AH193" s="304">
        <f t="shared" ca="1" si="86"/>
        <v>-0.39389603796309708</v>
      </c>
    </row>
    <row r="194" spans="1:34" x14ac:dyDescent="0.2">
      <c r="A194" s="347">
        <f t="shared" ca="1" si="64"/>
        <v>0.1</v>
      </c>
      <c r="B194" s="304">
        <f t="shared" ca="1" si="65"/>
        <v>9.9999999999999822</v>
      </c>
      <c r="D194" s="306">
        <f t="shared" ca="1" si="66"/>
        <v>-0.38398603113889446</v>
      </c>
      <c r="E194" s="307">
        <f t="shared" ca="1" si="67"/>
        <v>-9.8598656114063772</v>
      </c>
      <c r="F194" s="304">
        <f t="shared" ca="1" si="68"/>
        <v>9.8673398212032737</v>
      </c>
      <c r="G194" s="306">
        <f t="shared" ca="1" si="69"/>
        <v>21.607302177464724</v>
      </c>
      <c r="H194" s="307">
        <f t="shared" ca="1" si="70"/>
        <v>1.8249909646345166</v>
      </c>
      <c r="I194" s="304">
        <f t="shared" ca="1" si="71"/>
        <v>21.684236196123429</v>
      </c>
      <c r="J194" s="306">
        <f t="shared" ca="1" si="72"/>
        <v>399.75092150330113</v>
      </c>
      <c r="K194" s="307">
        <f t="shared" ca="1" si="73"/>
        <v>1190.3686043088651</v>
      </c>
      <c r="L194" s="304">
        <f t="shared" ca="1" si="58"/>
        <v>1255.6982971108043</v>
      </c>
      <c r="M194" s="306">
        <f t="shared" ca="1" si="74"/>
        <v>8.4261780098421918E-2</v>
      </c>
      <c r="N194" s="304">
        <f t="shared" ca="1" si="75"/>
        <v>4.8278443738990102</v>
      </c>
      <c r="P194" s="310">
        <f t="shared" ca="1" si="76"/>
        <v>23</v>
      </c>
      <c r="Q194" s="304">
        <f t="shared" ca="1" si="77"/>
        <v>0</v>
      </c>
      <c r="R194" s="306">
        <f t="shared" ca="1" si="78"/>
        <v>0</v>
      </c>
      <c r="S194" s="307">
        <f t="shared" ca="1" si="79"/>
        <v>4.341000000000002</v>
      </c>
      <c r="T194" s="304">
        <f t="shared" ca="1" si="59"/>
        <v>42.585210000000025</v>
      </c>
      <c r="U194" s="311">
        <f t="shared" ca="1" si="60"/>
        <v>0</v>
      </c>
      <c r="V194" s="306">
        <f t="shared" ca="1" si="61"/>
        <v>1.0873712907021498</v>
      </c>
      <c r="W194" s="304">
        <f t="shared" ca="1" si="62"/>
        <v>1.6588554338686841</v>
      </c>
      <c r="Y194" s="314" t="str">
        <f t="shared" ca="1" si="80"/>
        <v/>
      </c>
      <c r="Z194" s="315" t="str">
        <f t="shared" ca="1" si="81"/>
        <v/>
      </c>
      <c r="AA194" s="316" t="str">
        <f t="shared" ca="1" si="82"/>
        <v/>
      </c>
      <c r="AC194" s="310">
        <f t="shared" ca="1" si="83"/>
        <v>9.9999999999999822</v>
      </c>
      <c r="AD194" s="323">
        <f t="shared" ca="1" si="84"/>
        <v>399.75092150330113</v>
      </c>
      <c r="AE194" s="324">
        <f t="shared" ca="1" si="63"/>
        <v>1190.3686043088651</v>
      </c>
      <c r="AG194" s="306">
        <f t="shared" ca="1" si="85"/>
        <v>-1.6505589465363273</v>
      </c>
      <c r="AH194" s="304">
        <f t="shared" ca="1" si="86"/>
        <v>-0.3872103450461154</v>
      </c>
    </row>
    <row r="195" spans="1:34" x14ac:dyDescent="0.2">
      <c r="A195" s="347">
        <f t="shared" ca="1" si="64"/>
        <v>0.1</v>
      </c>
      <c r="B195" s="304">
        <f t="shared" ca="1" si="65"/>
        <v>10.099999999999982</v>
      </c>
      <c r="D195" s="306">
        <f t="shared" ca="1" si="66"/>
        <v>-0.38078091249012119</v>
      </c>
      <c r="E195" s="307">
        <f t="shared" ca="1" si="67"/>
        <v>-9.8421614294599227</v>
      </c>
      <c r="F195" s="304">
        <f t="shared" ca="1" si="68"/>
        <v>9.8495246437005974</v>
      </c>
      <c r="G195" s="306">
        <f t="shared" ca="1" si="69"/>
        <v>21.569224086215712</v>
      </c>
      <c r="H195" s="307">
        <f t="shared" ca="1" si="70"/>
        <v>0.84077482168852424</v>
      </c>
      <c r="I195" s="304">
        <f t="shared" ca="1" si="71"/>
        <v>21.585604693456549</v>
      </c>
      <c r="J195" s="306">
        <f t="shared" ca="1" si="72"/>
        <v>401.90974781648515</v>
      </c>
      <c r="K195" s="307">
        <f t="shared" ca="1" si="73"/>
        <v>1190.5018925981813</v>
      </c>
      <c r="L195" s="304">
        <f t="shared" ca="1" si="58"/>
        <v>1256.5135103411194</v>
      </c>
      <c r="M195" s="306">
        <f t="shared" ca="1" si="74"/>
        <v>3.8960574745077768E-2</v>
      </c>
      <c r="N195" s="304">
        <f t="shared" ca="1" si="75"/>
        <v>2.2322765002969391</v>
      </c>
      <c r="P195" s="310">
        <f t="shared" ca="1" si="76"/>
        <v>23</v>
      </c>
      <c r="Q195" s="304">
        <f t="shared" ca="1" si="77"/>
        <v>0</v>
      </c>
      <c r="R195" s="306">
        <f t="shared" ca="1" si="78"/>
        <v>0</v>
      </c>
      <c r="S195" s="307">
        <f t="shared" ca="1" si="79"/>
        <v>4.341000000000002</v>
      </c>
      <c r="T195" s="304">
        <f t="shared" ca="1" si="59"/>
        <v>42.585210000000025</v>
      </c>
      <c r="U195" s="311">
        <f t="shared" ca="1" si="60"/>
        <v>0</v>
      </c>
      <c r="V195" s="306">
        <f t="shared" ca="1" si="61"/>
        <v>1.0873567458831943</v>
      </c>
      <c r="W195" s="304">
        <f t="shared" ca="1" si="62"/>
        <v>1.6437770432452743</v>
      </c>
      <c r="Y195" s="314" t="str">
        <f t="shared" ca="1" si="80"/>
        <v>Apogée</v>
      </c>
      <c r="Z195" s="315" t="str">
        <f t="shared" ca="1" si="81"/>
        <v/>
      </c>
      <c r="AA195" s="316" t="str">
        <f t="shared" ca="1" si="82"/>
        <v/>
      </c>
      <c r="AC195" s="310" t="e">
        <f t="shared" ca="1" si="83"/>
        <v>#N/A</v>
      </c>
      <c r="AD195" s="323" t="e">
        <f t="shared" ca="1" si="84"/>
        <v>#N/A</v>
      </c>
      <c r="AE195" s="324">
        <f t="shared" ca="1" si="63"/>
        <v>1190.5018925981813</v>
      </c>
      <c r="AG195" s="306">
        <f t="shared" ca="1" si="85"/>
        <v>-1.2077669549414656</v>
      </c>
      <c r="AH195" s="304">
        <f t="shared" ca="1" si="86"/>
        <v>-0.38213670441572983</v>
      </c>
    </row>
    <row r="196" spans="1:34" x14ac:dyDescent="0.2">
      <c r="A196" s="347">
        <f t="shared" ca="1" si="64"/>
        <v>0.1</v>
      </c>
      <c r="B196" s="304">
        <f t="shared" ca="1" si="65"/>
        <v>10.199999999999982</v>
      </c>
      <c r="D196" s="306">
        <f t="shared" ca="1" si="66"/>
        <v>-0.37837586610797225</v>
      </c>
      <c r="E196" s="307">
        <f t="shared" ca="1" si="67"/>
        <v>-9.824749204704192</v>
      </c>
      <c r="F196" s="304">
        <f t="shared" ca="1" si="68"/>
        <v>9.8320326093533996</v>
      </c>
      <c r="G196" s="306">
        <f t="shared" ca="1" si="69"/>
        <v>21.531386499604913</v>
      </c>
      <c r="H196" s="307">
        <f t="shared" ca="1" si="70"/>
        <v>-0.14170009878189505</v>
      </c>
      <c r="I196" s="304">
        <f t="shared" ca="1" si="71"/>
        <v>21.531852765458051</v>
      </c>
      <c r="J196" s="306">
        <f t="shared" ca="1" si="72"/>
        <v>404.06477834577618</v>
      </c>
      <c r="K196" s="307">
        <f t="shared" ca="1" si="73"/>
        <v>1190.5368463343266</v>
      </c>
      <c r="L196" s="304">
        <f t="shared" ref="L196:L259" ca="1" si="87">SQRT(pos_x^2+pos_z^2)</f>
        <v>1257.2375780174984</v>
      </c>
      <c r="M196" s="306">
        <f t="shared" ca="1" si="74"/>
        <v>-6.5809999333889977E-3</v>
      </c>
      <c r="N196" s="304">
        <f t="shared" ca="1" si="75"/>
        <v>-0.3770635211590655</v>
      </c>
      <c r="P196" s="310">
        <f t="shared" ca="1" si="76"/>
        <v>23</v>
      </c>
      <c r="Q196" s="304">
        <f t="shared" ca="1" si="77"/>
        <v>0</v>
      </c>
      <c r="R196" s="306">
        <f t="shared" ca="1" si="78"/>
        <v>0</v>
      </c>
      <c r="S196" s="307">
        <f t="shared" ca="1" si="79"/>
        <v>4.341000000000002</v>
      </c>
      <c r="T196" s="304">
        <f t="shared" ref="T196:T259" ca="1" si="88">m*g</f>
        <v>42.585210000000025</v>
      </c>
      <c r="U196" s="311">
        <f t="shared" ref="U196:U259" ca="1" si="89">IF(pos_xz&lt;L_rampe,Poids*COS(Beta),0)</f>
        <v>0</v>
      </c>
      <c r="V196" s="306">
        <f t="shared" ref="V196:V259" ca="1" si="90">Rho_moyen*(20000-Alt_rampe-pos_z)/(20000+Alt_rampe+pos_z)</f>
        <v>1.0873529316566763</v>
      </c>
      <c r="W196" s="304">
        <f t="shared" ref="W196:W259" ca="1" si="91">1/2*Rho*Sref*Cx*vit_xz^2</f>
        <v>1.6355949146931545</v>
      </c>
      <c r="Y196" s="314" t="str">
        <f t="shared" ca="1" si="80"/>
        <v/>
      </c>
      <c r="Z196" s="315" t="str">
        <f t="shared" ca="1" si="81"/>
        <v/>
      </c>
      <c r="AA196" s="316" t="str">
        <f t="shared" ca="1" si="82"/>
        <v/>
      </c>
      <c r="AC196" s="310" t="e">
        <f t="shared" ca="1" si="83"/>
        <v>#N/A</v>
      </c>
      <c r="AD196" s="323" t="e">
        <f t="shared" ca="1" si="84"/>
        <v>#N/A</v>
      </c>
      <c r="AE196" s="324">
        <f t="shared" ref="AE196:AE259" ca="1" si="92">IF(t&lt;T_para, pos_z, NA())</f>
        <v>1190.5368463343266</v>
      </c>
      <c r="AG196" s="306">
        <f t="shared" ca="1" si="85"/>
        <v>-0.76076977406134483</v>
      </c>
      <c r="AH196" s="304">
        <f t="shared" ca="1" si="86"/>
        <v>-0.37866322120370272</v>
      </c>
    </row>
    <row r="197" spans="1:34" x14ac:dyDescent="0.2">
      <c r="A197" s="347">
        <f t="shared" ref="A197:A260" ca="1" si="93">IF(B196+0.01&lt;=T_ini+ROUNDUP(Temps_fin_propu,0), 0.01, IF(K196&gt;0, 0.1, 0.0001))</f>
        <v>0.1</v>
      </c>
      <c r="B197" s="304">
        <f t="shared" ref="B197:B260" ca="1" si="94">B196+pas</f>
        <v>10.299999999999981</v>
      </c>
      <c r="D197" s="306">
        <f t="shared" ref="D197:D260" ca="1" si="95">IF(AND(L196&lt;L_rampe,Poussee&lt;Poids*SIN(M196)),0,(-W196+Poussee)/m*COS(M196)-U196/m*SIN(M196))</f>
        <v>-0.37677021340079148</v>
      </c>
      <c r="E197" s="307">
        <f t="shared" ref="E197:E260" ca="1" si="96">IF(AND(L196&lt;L_rampe,Poussee&lt;Poids*SIN(M196)),0,(-W196+Poussee)/m*SIN(M196)+U196/m*COS(M196)-Poids/m)</f>
        <v>-9.8075204394543789</v>
      </c>
      <c r="F197" s="304">
        <f t="shared" ref="F197:F260" ca="1" si="97">SQRT(acc_x^2+acc_z^2)</f>
        <v>9.8147548601084011</v>
      </c>
      <c r="G197" s="306">
        <f t="shared" ref="G197:G260" ca="1" si="98">G196+acc_x*pas</f>
        <v>21.493709478264833</v>
      </c>
      <c r="H197" s="307">
        <f t="shared" ref="H197:H260" ca="1" si="99">H196+acc_z*pas</f>
        <v>-1.1224521427273331</v>
      </c>
      <c r="I197" s="304">
        <f t="shared" ref="I197:I260" ca="1" si="100">SQRT(vit_x^2+vit_z^2)</f>
        <v>21.522998070639805</v>
      </c>
      <c r="J197" s="306">
        <f t="shared" ref="J197:J260" ca="1" si="101">J196+0.5*(vit_x+G196)*pas*(K196&gt;=0)</f>
        <v>406.21603314466967</v>
      </c>
      <c r="K197" s="307">
        <f t="shared" ref="K197:K260" ca="1" si="102">K196+0.5*(vit_z+H196)*pas</f>
        <v>1190.4736387222511</v>
      </c>
      <c r="L197" s="304">
        <f t="shared" ca="1" si="87"/>
        <v>1257.8708002320382</v>
      </c>
      <c r="M197" s="306">
        <f t="shared" ref="M197:M260" ca="1" si="103">IF(AND(L196&gt;L_rampe,G197&gt;0),ATAN2(G197,H197),$M$4)</f>
        <v>-5.2174960120049241E-2</v>
      </c>
      <c r="N197" s="304">
        <f t="shared" ref="N197:N260" ca="1" si="104">DEGREES(Beta)</f>
        <v>-2.9894050111422046</v>
      </c>
      <c r="P197" s="310">
        <f t="shared" ref="P197:P260" ca="1" si="105">MATCH(t-pas/2-T_ini,CdP_t)</f>
        <v>23</v>
      </c>
      <c r="Q197" s="304">
        <f t="shared" ref="Q197:Q260" ca="1" si="106">(INDEX(CdP,2,i_P+1)-INDEX(CdP,2,i_P+0))/(INDEX(CdP,1,i_P+1)-INDEX(CdP,1,i_P+0))*(t-pas/2-T_ini-INDEX(CdP,1,i_P+0))+INDEX(CdP,2,i_P+0)</f>
        <v>0</v>
      </c>
      <c r="R197" s="306">
        <f t="shared" ref="R197:R260" ca="1" si="107">Poussee/(g*ISP)</f>
        <v>0</v>
      </c>
      <c r="S197" s="307">
        <f t="shared" ref="S197:S260" ca="1" si="108">S196-Débit*pas</f>
        <v>4.341000000000002</v>
      </c>
      <c r="T197" s="304">
        <f t="shared" ca="1" si="88"/>
        <v>42.585210000000025</v>
      </c>
      <c r="U197" s="311">
        <f t="shared" ca="1" si="89"/>
        <v>0</v>
      </c>
      <c r="V197" s="306">
        <f t="shared" ca="1" si="90"/>
        <v>1.0873598290158188</v>
      </c>
      <c r="W197" s="304">
        <f t="shared" ca="1" si="91"/>
        <v>1.6342603234309883</v>
      </c>
      <c r="Y197" s="314" t="str">
        <f t="shared" ref="Y197:Y260" ca="1" si="109">IF(AND(pos_z&lt;=0,K196&gt;0),"Impact balistique","") &amp; IF(AND(H198&lt;0,vit_z&gt;=0),"Apogée","") &amp; IF(AND(Poussee=0,Q196&gt;0),"Fin de propulsion","") &amp; IF(AND(L198&gt;L_rampe,pos_xz&lt;=L_rampe),"Sortie de rampe","")</f>
        <v/>
      </c>
      <c r="Z197" s="315" t="str">
        <f t="shared" ref="Z197:Z260" ca="1" si="110">IF(ABS(t-T_para)&lt;pas/2,"Para","")</f>
        <v/>
      </c>
      <c r="AA197" s="316" t="str">
        <f t="shared" ref="AA197:AA260" ca="1" si="111">IF(ABS(t-T_satellite)&lt;pas/2,"Satellite","")</f>
        <v/>
      </c>
      <c r="AC197" s="310" t="e">
        <f t="shared" ref="AC197:AC260" ca="1" si="112">IF(ABS(t-ROUND(t,0))&lt;0.001,t,NA())</f>
        <v>#N/A</v>
      </c>
      <c r="AD197" s="323" t="e">
        <f t="shared" ref="AD197:AD260" ca="1" si="113">IF(ABS(t-ROUND(t,0))&lt;0.001,pos_x,NA())</f>
        <v>#N/A</v>
      </c>
      <c r="AE197" s="324">
        <f t="shared" ca="1" si="92"/>
        <v>1190.4736387222511</v>
      </c>
      <c r="AG197" s="306">
        <f t="shared" ref="AG197:AG260" ca="1" si="114">IF(AND(L196&lt;L_rampe,Poussee&lt;Poids*SIN(M196)),0,(-W196+Poussee)/m-Poids*SIN(M196)/m)</f>
        <v>-0.31221922908462313</v>
      </c>
      <c r="AH197" s="304">
        <f t="shared" ref="AH197:AH260" ca="1" si="115">IF(AND(L196&lt;L_rampe,Poussee&lt;Poids*SIN(M196)), g*SIN(M196), (-W196+Poussee)/m)</f>
        <v>-0.37677837242413126</v>
      </c>
    </row>
    <row r="198" spans="1:34" x14ac:dyDescent="0.2">
      <c r="A198" s="347">
        <f t="shared" ca="1" si="93"/>
        <v>0.1</v>
      </c>
      <c r="B198" s="304">
        <f t="shared" ca="1" si="94"/>
        <v>10.399999999999981</v>
      </c>
      <c r="D198" s="306">
        <f t="shared" ca="1" si="95"/>
        <v>-0.3759586304187757</v>
      </c>
      <c r="E198" s="307">
        <f t="shared" ca="1" si="96"/>
        <v>-9.7903665546555789</v>
      </c>
      <c r="F198" s="304">
        <f t="shared" ca="1" si="97"/>
        <v>9.7975824653995591</v>
      </c>
      <c r="G198" s="306">
        <f t="shared" ca="1" si="98"/>
        <v>21.456113615222954</v>
      </c>
      <c r="H198" s="307">
        <f t="shared" ca="1" si="99"/>
        <v>-2.1014887981928911</v>
      </c>
      <c r="I198" s="304">
        <f t="shared" ca="1" si="100"/>
        <v>21.558781659414013</v>
      </c>
      <c r="J198" s="306">
        <f t="shared" ca="1" si="101"/>
        <v>408.36352429934408</v>
      </c>
      <c r="K198" s="307">
        <f t="shared" ca="1" si="102"/>
        <v>1190.312441675205</v>
      </c>
      <c r="L198" s="304">
        <f t="shared" ca="1" si="87"/>
        <v>1258.4134760820743</v>
      </c>
      <c r="M198" s="306">
        <f t="shared" ca="1" si="103"/>
        <v>-9.7632191318182474E-2</v>
      </c>
      <c r="N198" s="304">
        <f t="shared" ca="1" si="104"/>
        <v>-5.593912507145653</v>
      </c>
      <c r="P198" s="310">
        <f t="shared" ca="1" si="105"/>
        <v>23</v>
      </c>
      <c r="Q198" s="304">
        <f t="shared" ca="1" si="106"/>
        <v>0</v>
      </c>
      <c r="R198" s="306">
        <f t="shared" ca="1" si="107"/>
        <v>0</v>
      </c>
      <c r="S198" s="307">
        <f t="shared" ca="1" si="108"/>
        <v>4.341000000000002</v>
      </c>
      <c r="T198" s="304">
        <f t="shared" ca="1" si="88"/>
        <v>42.585210000000025</v>
      </c>
      <c r="U198" s="311">
        <f t="shared" ca="1" si="89"/>
        <v>0</v>
      </c>
      <c r="V198" s="306">
        <f t="shared" ca="1" si="90"/>
        <v>1.0873774193924202</v>
      </c>
      <c r="W198" s="304">
        <f t="shared" ca="1" si="91"/>
        <v>1.6397255256601992</v>
      </c>
      <c r="Y198" s="314" t="str">
        <f t="shared" ca="1" si="109"/>
        <v/>
      </c>
      <c r="Z198" s="315" t="str">
        <f t="shared" ca="1" si="110"/>
        <v/>
      </c>
      <c r="AA198" s="316" t="str">
        <f t="shared" ca="1" si="111"/>
        <v/>
      </c>
      <c r="AC198" s="310" t="e">
        <f t="shared" ca="1" si="112"/>
        <v>#N/A</v>
      </c>
      <c r="AD198" s="323" t="e">
        <f t="shared" ca="1" si="113"/>
        <v>#N/A</v>
      </c>
      <c r="AE198" s="324">
        <f t="shared" ca="1" si="92"/>
        <v>1190.312441675205</v>
      </c>
      <c r="AG198" s="306">
        <f t="shared" ca="1" si="114"/>
        <v>0.13513323421513496</v>
      </c>
      <c r="AH198" s="304">
        <f t="shared" ca="1" si="115"/>
        <v>-0.37647093375512269</v>
      </c>
    </row>
    <row r="199" spans="1:34" x14ac:dyDescent="0.2">
      <c r="A199" s="347">
        <f t="shared" ca="1" si="93"/>
        <v>0.1</v>
      </c>
      <c r="B199" s="304">
        <f t="shared" ca="1" si="94"/>
        <v>10.49999999999998</v>
      </c>
      <c r="D199" s="306">
        <f t="shared" ca="1" si="95"/>
        <v>-0.37593106722812003</v>
      </c>
      <c r="E199" s="307">
        <f t="shared" ca="1" si="96"/>
        <v>-9.7731799616258517</v>
      </c>
      <c r="F199" s="304">
        <f t="shared" ca="1" si="97"/>
        <v>9.7804074930256544</v>
      </c>
      <c r="G199" s="306">
        <f t="shared" ca="1" si="98"/>
        <v>21.418520508500141</v>
      </c>
      <c r="H199" s="307">
        <f t="shared" ca="1" si="99"/>
        <v>-3.0788067943554762</v>
      </c>
      <c r="I199" s="304">
        <f t="shared" ca="1" si="100"/>
        <v>21.638670755155236</v>
      </c>
      <c r="J199" s="306">
        <f t="shared" ca="1" si="101"/>
        <v>410.50725600553022</v>
      </c>
      <c r="K199" s="307">
        <f t="shared" ca="1" si="102"/>
        <v>1190.0534268955776</v>
      </c>
      <c r="L199" s="304">
        <f t="shared" ca="1" si="87"/>
        <v>1258.8659047329456</v>
      </c>
      <c r="M199" s="306">
        <f t="shared" ca="1" si="103"/>
        <v>-0.14276711778098508</v>
      </c>
      <c r="N199" s="304">
        <f t="shared" ca="1" si="104"/>
        <v>-8.1799533020975765</v>
      </c>
      <c r="P199" s="310">
        <f t="shared" ca="1" si="105"/>
        <v>23</v>
      </c>
      <c r="Q199" s="304">
        <f t="shared" ca="1" si="106"/>
        <v>0</v>
      </c>
      <c r="R199" s="306">
        <f t="shared" ca="1" si="107"/>
        <v>0</v>
      </c>
      <c r="S199" s="307">
        <f t="shared" ca="1" si="108"/>
        <v>4.341000000000002</v>
      </c>
      <c r="T199" s="304">
        <f t="shared" ca="1" si="88"/>
        <v>42.585210000000025</v>
      </c>
      <c r="U199" s="311">
        <f t="shared" ca="1" si="89"/>
        <v>0</v>
      </c>
      <c r="V199" s="306">
        <f t="shared" ca="1" si="90"/>
        <v>1.0874056845371853</v>
      </c>
      <c r="W199" s="304">
        <f t="shared" ca="1" si="91"/>
        <v>1.6519434481107469</v>
      </c>
      <c r="Y199" s="314" t="str">
        <f t="shared" ca="1" si="109"/>
        <v/>
      </c>
      <c r="Z199" s="315" t="str">
        <f t="shared" ca="1" si="110"/>
        <v/>
      </c>
      <c r="AA199" s="316" t="str">
        <f t="shared" ca="1" si="111"/>
        <v/>
      </c>
      <c r="AC199" s="310" t="e">
        <f t="shared" ca="1" si="112"/>
        <v>#N/A</v>
      </c>
      <c r="AD199" s="323" t="e">
        <f t="shared" ca="1" si="113"/>
        <v>#N/A</v>
      </c>
      <c r="AE199" s="324">
        <f t="shared" ca="1" si="92"/>
        <v>1190.0534268955776</v>
      </c>
      <c r="AG199" s="306">
        <f t="shared" ca="1" si="114"/>
        <v>0.5785210277267776</v>
      </c>
      <c r="AH199" s="304">
        <f t="shared" ca="1" si="115"/>
        <v>-0.37772990685560898</v>
      </c>
    </row>
    <row r="200" spans="1:34" x14ac:dyDescent="0.2">
      <c r="A200" s="347">
        <f t="shared" ca="1" si="93"/>
        <v>0.1</v>
      </c>
      <c r="B200" s="304">
        <f t="shared" ca="1" si="94"/>
        <v>10.59999999999998</v>
      </c>
      <c r="D200" s="306">
        <f t="shared" ca="1" si="95"/>
        <v>-0.37667281659152435</v>
      </c>
      <c r="E200" s="307">
        <f t="shared" ca="1" si="96"/>
        <v>-9.7558551384765</v>
      </c>
      <c r="F200" s="304">
        <f t="shared" ca="1" si="97"/>
        <v>9.7631240847229499</v>
      </c>
      <c r="G200" s="306">
        <f t="shared" ca="1" si="98"/>
        <v>21.380853226840987</v>
      </c>
      <c r="H200" s="307">
        <f t="shared" ca="1" si="99"/>
        <v>-4.0543923082031261</v>
      </c>
      <c r="I200" s="304">
        <f t="shared" ca="1" si="100"/>
        <v>21.761869903492514</v>
      </c>
      <c r="J200" s="306">
        <f t="shared" ca="1" si="101"/>
        <v>412.6472246922973</v>
      </c>
      <c r="K200" s="307">
        <f t="shared" ca="1" si="102"/>
        <v>1189.6967669404496</v>
      </c>
      <c r="L200" s="304">
        <f t="shared" ca="1" si="87"/>
        <v>1259.2283864791223</v>
      </c>
      <c r="M200" s="306">
        <f t="shared" ca="1" si="103"/>
        <v>-0.18740215521765152</v>
      </c>
      <c r="N200" s="304">
        <f t="shared" ca="1" si="104"/>
        <v>-10.737352565626992</v>
      </c>
      <c r="P200" s="310">
        <f t="shared" ca="1" si="105"/>
        <v>23</v>
      </c>
      <c r="Q200" s="304">
        <f t="shared" ca="1" si="106"/>
        <v>0</v>
      </c>
      <c r="R200" s="306">
        <f t="shared" ca="1" si="107"/>
        <v>0</v>
      </c>
      <c r="S200" s="307">
        <f t="shared" ca="1" si="108"/>
        <v>4.341000000000002</v>
      </c>
      <c r="T200" s="304">
        <f t="shared" ca="1" si="88"/>
        <v>42.585210000000025</v>
      </c>
      <c r="U200" s="311">
        <f t="shared" ca="1" si="89"/>
        <v>0</v>
      </c>
      <c r="V200" s="306">
        <f t="shared" ca="1" si="90"/>
        <v>1.087444606401748</v>
      </c>
      <c r="W200" s="304">
        <f t="shared" ca="1" si="91"/>
        <v>1.6708673854586173</v>
      </c>
      <c r="Y200" s="314" t="str">
        <f t="shared" ca="1" si="109"/>
        <v/>
      </c>
      <c r="Z200" s="315" t="str">
        <f t="shared" ca="1" si="110"/>
        <v/>
      </c>
      <c r="AA200" s="316" t="str">
        <f t="shared" ca="1" si="111"/>
        <v/>
      </c>
      <c r="AC200" s="310" t="e">
        <f t="shared" ca="1" si="112"/>
        <v>#N/A</v>
      </c>
      <c r="AD200" s="323" t="e">
        <f t="shared" ca="1" si="113"/>
        <v>#N/A</v>
      </c>
      <c r="AE200" s="324">
        <f t="shared" ca="1" si="92"/>
        <v>1189.6967669404496</v>
      </c>
      <c r="AG200" s="306">
        <f t="shared" ca="1" si="114"/>
        <v>1.0152480661361931</v>
      </c>
      <c r="AH200" s="304">
        <f t="shared" ca="1" si="115"/>
        <v>-0.38054444784859393</v>
      </c>
    </row>
    <row r="201" spans="1:34" x14ac:dyDescent="0.2">
      <c r="A201" s="347">
        <f t="shared" ca="1" si="93"/>
        <v>0.1</v>
      </c>
      <c r="B201" s="304">
        <f t="shared" ca="1" si="94"/>
        <v>10.69999999999998</v>
      </c>
      <c r="D201" s="306">
        <f t="shared" ca="1" si="95"/>
        <v>-0.37816472756313541</v>
      </c>
      <c r="E201" s="307">
        <f t="shared" ca="1" si="96"/>
        <v>-9.7382896642898746</v>
      </c>
      <c r="F201" s="304">
        <f t="shared" ca="1" si="97"/>
        <v>9.7456294895090227</v>
      </c>
      <c r="G201" s="306">
        <f t="shared" ca="1" si="98"/>
        <v>21.343036754084672</v>
      </c>
      <c r="H201" s="307">
        <f t="shared" ca="1" si="99"/>
        <v>-5.0282212746321138</v>
      </c>
      <c r="I201" s="304">
        <f t="shared" ca="1" si="100"/>
        <v>21.92733971718576</v>
      </c>
      <c r="J201" s="306">
        <f t="shared" ca="1" si="101"/>
        <v>414.78341919134357</v>
      </c>
      <c r="K201" s="307">
        <f t="shared" ca="1" si="102"/>
        <v>1189.2426362613078</v>
      </c>
      <c r="L201" s="304">
        <f t="shared" ca="1" si="87"/>
        <v>1259.5012237936917</v>
      </c>
      <c r="M201" s="306">
        <f t="shared" ca="1" si="103"/>
        <v>-0.23137168610800388</v>
      </c>
      <c r="N201" s="304">
        <f t="shared" ca="1" si="104"/>
        <v>-13.256621112814283</v>
      </c>
      <c r="P201" s="310">
        <f t="shared" ca="1" si="105"/>
        <v>23</v>
      </c>
      <c r="Q201" s="304">
        <f t="shared" ca="1" si="106"/>
        <v>0</v>
      </c>
      <c r="R201" s="306">
        <f t="shared" ca="1" si="107"/>
        <v>0</v>
      </c>
      <c r="S201" s="307">
        <f t="shared" ca="1" si="108"/>
        <v>4.341000000000002</v>
      </c>
      <c r="T201" s="304">
        <f t="shared" ca="1" si="88"/>
        <v>42.585210000000025</v>
      </c>
      <c r="U201" s="311">
        <f t="shared" ca="1" si="89"/>
        <v>0</v>
      </c>
      <c r="V201" s="306">
        <f t="shared" ca="1" si="90"/>
        <v>1.0874941670235037</v>
      </c>
      <c r="W201" s="304">
        <f t="shared" ca="1" si="91"/>
        <v>1.6964507083612763</v>
      </c>
      <c r="Y201" s="314" t="str">
        <f t="shared" ca="1" si="109"/>
        <v/>
      </c>
      <c r="Z201" s="315" t="str">
        <f t="shared" ca="1" si="110"/>
        <v/>
      </c>
      <c r="AA201" s="316" t="str">
        <f t="shared" ca="1" si="111"/>
        <v/>
      </c>
      <c r="AC201" s="310" t="e">
        <f t="shared" ca="1" si="112"/>
        <v>#N/A</v>
      </c>
      <c r="AD201" s="323" t="e">
        <f t="shared" ca="1" si="113"/>
        <v>#N/A</v>
      </c>
      <c r="AE201" s="324">
        <f t="shared" ca="1" si="92"/>
        <v>1189.2426362613078</v>
      </c>
      <c r="AG201" s="306">
        <f t="shared" ca="1" si="114"/>
        <v>1.442769500672195</v>
      </c>
      <c r="AH201" s="304">
        <f t="shared" ca="1" si="115"/>
        <v>-0.38490379761774168</v>
      </c>
    </row>
    <row r="202" spans="1:34" x14ac:dyDescent="0.2">
      <c r="A202" s="347">
        <f t="shared" ca="1" si="93"/>
        <v>0.1</v>
      </c>
      <c r="B202" s="304">
        <f t="shared" ca="1" si="94"/>
        <v>10.799999999999979</v>
      </c>
      <c r="D202" s="306">
        <f t="shared" ca="1" si="95"/>
        <v>-0.38038354953729442</v>
      </c>
      <c r="E202" s="307">
        <f t="shared" ca="1" si="96"/>
        <v>-9.720385167849301</v>
      </c>
      <c r="F202" s="304">
        <f t="shared" ca="1" si="97"/>
        <v>9.7278250115893474</v>
      </c>
      <c r="G202" s="306">
        <f t="shared" ca="1" si="98"/>
        <v>21.304998399130941</v>
      </c>
      <c r="H202" s="307">
        <f t="shared" ca="1" si="99"/>
        <v>-6.0002597914170437</v>
      </c>
      <c r="I202" s="304">
        <f t="shared" ca="1" si="100"/>
        <v>22.133821955357554</v>
      </c>
      <c r="J202" s="306">
        <f t="shared" ca="1" si="101"/>
        <v>416.91582094900434</v>
      </c>
      <c r="K202" s="307">
        <f t="shared" ca="1" si="102"/>
        <v>1188.6912122080053</v>
      </c>
      <c r="L202" s="304">
        <f t="shared" ca="1" si="87"/>
        <v>1259.6847223563996</v>
      </c>
      <c r="M202" s="306">
        <f t="shared" ca="1" si="103"/>
        <v>-0.27452534894428759</v>
      </c>
      <c r="N202" s="304">
        <f t="shared" ca="1" si="104"/>
        <v>-15.729143863863889</v>
      </c>
      <c r="P202" s="310">
        <f t="shared" ca="1" si="105"/>
        <v>23</v>
      </c>
      <c r="Q202" s="304">
        <f t="shared" ca="1" si="106"/>
        <v>0</v>
      </c>
      <c r="R202" s="306">
        <f t="shared" ca="1" si="107"/>
        <v>0</v>
      </c>
      <c r="S202" s="307">
        <f t="shared" ca="1" si="108"/>
        <v>4.341000000000002</v>
      </c>
      <c r="T202" s="304">
        <f t="shared" ca="1" si="88"/>
        <v>42.585210000000025</v>
      </c>
      <c r="U202" s="311">
        <f t="shared" ca="1" si="89"/>
        <v>0</v>
      </c>
      <c r="V202" s="306">
        <f t="shared" ca="1" si="90"/>
        <v>1.087554348414324</v>
      </c>
      <c r="W202" s="304">
        <f t="shared" ca="1" si="91"/>
        <v>1.7286465846715584</v>
      </c>
      <c r="Y202" s="314" t="str">
        <f t="shared" ca="1" si="109"/>
        <v/>
      </c>
      <c r="Z202" s="315" t="str">
        <f t="shared" ca="1" si="110"/>
        <v/>
      </c>
      <c r="AA202" s="316" t="str">
        <f t="shared" ca="1" si="111"/>
        <v/>
      </c>
      <c r="AC202" s="310" t="e">
        <f t="shared" ca="1" si="112"/>
        <v>#N/A</v>
      </c>
      <c r="AD202" s="323" t="e">
        <f t="shared" ca="1" si="113"/>
        <v>#N/A</v>
      </c>
      <c r="AE202" s="324">
        <f t="shared" ca="1" si="92"/>
        <v>1188.6912122080053</v>
      </c>
      <c r="AG202" s="306">
        <f t="shared" ca="1" si="114"/>
        <v>1.8587620726389538</v>
      </c>
      <c r="AH202" s="304">
        <f t="shared" ca="1" si="115"/>
        <v>-0.39079721454993677</v>
      </c>
    </row>
    <row r="203" spans="1:34" x14ac:dyDescent="0.2">
      <c r="A203" s="347">
        <f t="shared" ca="1" si="93"/>
        <v>0.1</v>
      </c>
      <c r="B203" s="304">
        <f t="shared" ca="1" si="94"/>
        <v>10.899999999999979</v>
      </c>
      <c r="D203" s="306">
        <f t="shared" ca="1" si="95"/>
        <v>-0.38330238396493638</v>
      </c>
      <c r="E203" s="307">
        <f t="shared" ca="1" si="96"/>
        <v>-9.7020481551149569</v>
      </c>
      <c r="F203" s="304">
        <f t="shared" ca="1" si="97"/>
        <v>9.709616837018995</v>
      </c>
      <c r="G203" s="306">
        <f t="shared" ca="1" si="98"/>
        <v>21.266668160734447</v>
      </c>
      <c r="H203" s="307">
        <f t="shared" ca="1" si="99"/>
        <v>-6.9704646069285392</v>
      </c>
      <c r="I203" s="304">
        <f t="shared" ca="1" si="100"/>
        <v>22.379869335973339</v>
      </c>
      <c r="J203" s="306">
        <f t="shared" ca="1" si="101"/>
        <v>419.04440427699762</v>
      </c>
      <c r="K203" s="307">
        <f t="shared" ca="1" si="102"/>
        <v>1188.0426759880879</v>
      </c>
      <c r="L203" s="304">
        <f t="shared" ca="1" si="87"/>
        <v>1259.7791920510517</v>
      </c>
      <c r="M203" s="306">
        <f t="shared" ca="1" si="103"/>
        <v>-0.31673050351801868</v>
      </c>
      <c r="N203" s="304">
        <f t="shared" ca="1" si="104"/>
        <v>-18.147321094635942</v>
      </c>
      <c r="P203" s="310">
        <f t="shared" ca="1" si="105"/>
        <v>23</v>
      </c>
      <c r="Q203" s="304">
        <f t="shared" ca="1" si="106"/>
        <v>0</v>
      </c>
      <c r="R203" s="306">
        <f t="shared" ca="1" si="107"/>
        <v>0</v>
      </c>
      <c r="S203" s="307">
        <f t="shared" ca="1" si="108"/>
        <v>4.341000000000002</v>
      </c>
      <c r="T203" s="304">
        <f t="shared" ca="1" si="88"/>
        <v>42.585210000000025</v>
      </c>
      <c r="U203" s="311">
        <f t="shared" ca="1" si="89"/>
        <v>0</v>
      </c>
      <c r="V203" s="306">
        <f t="shared" ca="1" si="90"/>
        <v>1.0876251324540966</v>
      </c>
      <c r="W203" s="304">
        <f t="shared" ca="1" si="91"/>
        <v>1.7674077160974877</v>
      </c>
      <c r="Y203" s="314" t="str">
        <f t="shared" ca="1" si="109"/>
        <v/>
      </c>
      <c r="Z203" s="315" t="str">
        <f t="shared" ca="1" si="110"/>
        <v/>
      </c>
      <c r="AA203" s="316" t="str">
        <f t="shared" ca="1" si="111"/>
        <v/>
      </c>
      <c r="AC203" s="310" t="e">
        <f t="shared" ca="1" si="112"/>
        <v>#N/A</v>
      </c>
      <c r="AD203" s="323" t="e">
        <f t="shared" ca="1" si="113"/>
        <v>#N/A</v>
      </c>
      <c r="AE203" s="324">
        <f t="shared" ca="1" si="92"/>
        <v>1188.0426759880879</v>
      </c>
      <c r="AG203" s="306">
        <f t="shared" ca="1" si="114"/>
        <v>2.2611798750218886</v>
      </c>
      <c r="AH203" s="304">
        <f t="shared" ca="1" si="115"/>
        <v>-0.39821391031365067</v>
      </c>
    </row>
    <row r="204" spans="1:34" x14ac:dyDescent="0.2">
      <c r="A204" s="347">
        <f t="shared" ca="1" si="93"/>
        <v>0.1</v>
      </c>
      <c r="B204" s="304">
        <f t="shared" ca="1" si="94"/>
        <v>10.999999999999979</v>
      </c>
      <c r="D204" s="306">
        <f t="shared" ca="1" si="95"/>
        <v>-0.38689121527941839</v>
      </c>
      <c r="E204" s="307">
        <f t="shared" ca="1" si="96"/>
        <v>-9.6831906896532107</v>
      </c>
      <c r="F204" s="304">
        <f t="shared" ca="1" si="97"/>
        <v>9.6909167133273311</v>
      </c>
      <c r="G204" s="306">
        <f t="shared" ca="1" si="98"/>
        <v>21.227979039206506</v>
      </c>
      <c r="H204" s="307">
        <f t="shared" ca="1" si="99"/>
        <v>-7.9387836758938608</v>
      </c>
      <c r="I204" s="304">
        <f t="shared" ca="1" si="100"/>
        <v>22.663878316423023</v>
      </c>
      <c r="J204" s="306">
        <f t="shared" ca="1" si="101"/>
        <v>421.16913663699466</v>
      </c>
      <c r="K204" s="307">
        <f t="shared" ca="1" si="102"/>
        <v>1187.2972135739467</v>
      </c>
      <c r="L204" s="304">
        <f t="shared" ca="1" si="87"/>
        <v>1259.7849479240531</v>
      </c>
      <c r="M204" s="306">
        <f t="shared" ca="1" si="103"/>
        <v>-0.35787381270253799</v>
      </c>
      <c r="N204" s="304">
        <f t="shared" ca="1" si="104"/>
        <v>-20.504659066110737</v>
      </c>
      <c r="P204" s="310">
        <f t="shared" ca="1" si="105"/>
        <v>23</v>
      </c>
      <c r="Q204" s="304">
        <f t="shared" ca="1" si="106"/>
        <v>0</v>
      </c>
      <c r="R204" s="306">
        <f t="shared" ca="1" si="107"/>
        <v>0</v>
      </c>
      <c r="S204" s="307">
        <f t="shared" ca="1" si="108"/>
        <v>4.341000000000002</v>
      </c>
      <c r="T204" s="304">
        <f t="shared" ca="1" si="88"/>
        <v>42.585210000000025</v>
      </c>
      <c r="U204" s="311">
        <f t="shared" ca="1" si="89"/>
        <v>0</v>
      </c>
      <c r="V204" s="306">
        <f t="shared" ca="1" si="90"/>
        <v>1.0877065007898905</v>
      </c>
      <c r="W204" s="304">
        <f t="shared" ca="1" si="91"/>
        <v>1.8126860922006161</v>
      </c>
      <c r="Y204" s="314" t="str">
        <f t="shared" ca="1" si="109"/>
        <v/>
      </c>
      <c r="Z204" s="315" t="str">
        <f t="shared" ca="1" si="110"/>
        <v/>
      </c>
      <c r="AA204" s="316" t="str">
        <f t="shared" ca="1" si="111"/>
        <v/>
      </c>
      <c r="AC204" s="310">
        <f t="shared" ca="1" si="112"/>
        <v>10.999999999999979</v>
      </c>
      <c r="AD204" s="323">
        <f t="shared" ca="1" si="113"/>
        <v>421.16913663699466</v>
      </c>
      <c r="AE204" s="324">
        <f t="shared" ca="1" si="92"/>
        <v>1187.2972135739467</v>
      </c>
      <c r="AG204" s="306">
        <f t="shared" ca="1" si="114"/>
        <v>2.6482929817400258</v>
      </c>
      <c r="AH204" s="304">
        <f t="shared" ca="1" si="115"/>
        <v>-0.40714298919545888</v>
      </c>
    </row>
    <row r="205" spans="1:34" x14ac:dyDescent="0.2">
      <c r="A205" s="347">
        <f t="shared" ca="1" si="93"/>
        <v>0.1</v>
      </c>
      <c r="B205" s="304">
        <f t="shared" ca="1" si="94"/>
        <v>11.099999999999978</v>
      </c>
      <c r="D205" s="306">
        <f t="shared" ca="1" si="95"/>
        <v>-0.39111748999277324</v>
      </c>
      <c r="E205" s="307">
        <f t="shared" ca="1" si="96"/>
        <v>-9.6637309114929639</v>
      </c>
      <c r="F205" s="304">
        <f t="shared" ca="1" si="97"/>
        <v>9.6716424675813411</v>
      </c>
      <c r="G205" s="306">
        <f t="shared" ca="1" si="98"/>
        <v>21.188867290207227</v>
      </c>
      <c r="H205" s="307">
        <f t="shared" ca="1" si="99"/>
        <v>-8.9051567670431577</v>
      </c>
      <c r="I205" s="304">
        <f t="shared" ca="1" si="100"/>
        <v>22.984123087201485</v>
      </c>
      <c r="J205" s="306">
        <f t="shared" ca="1" si="101"/>
        <v>423.28997895346538</v>
      </c>
      <c r="K205" s="307">
        <f t="shared" ca="1" si="102"/>
        <v>1186.4550165517999</v>
      </c>
      <c r="L205" s="304">
        <f t="shared" ca="1" si="87"/>
        <v>1259.7023110970929</v>
      </c>
      <c r="M205" s="306">
        <f t="shared" ca="1" si="103"/>
        <v>-0.39786195587280154</v>
      </c>
      <c r="N205" s="304">
        <f t="shared" ca="1" si="104"/>
        <v>-22.795810900331727</v>
      </c>
      <c r="P205" s="310">
        <f t="shared" ca="1" si="105"/>
        <v>23</v>
      </c>
      <c r="Q205" s="304">
        <f t="shared" ca="1" si="106"/>
        <v>0</v>
      </c>
      <c r="R205" s="306">
        <f t="shared" ca="1" si="107"/>
        <v>0</v>
      </c>
      <c r="S205" s="307">
        <f t="shared" ca="1" si="108"/>
        <v>4.341000000000002</v>
      </c>
      <c r="T205" s="304">
        <f t="shared" ca="1" si="88"/>
        <v>42.585210000000025</v>
      </c>
      <c r="U205" s="311">
        <f t="shared" ca="1" si="89"/>
        <v>0</v>
      </c>
      <c r="V205" s="306">
        <f t="shared" ca="1" si="90"/>
        <v>1.087798434741396</v>
      </c>
      <c r="W205" s="304">
        <f t="shared" ca="1" si="91"/>
        <v>1.8644327631984372</v>
      </c>
      <c r="Y205" s="314" t="str">
        <f t="shared" ca="1" si="109"/>
        <v/>
      </c>
      <c r="Z205" s="315" t="str">
        <f t="shared" ca="1" si="110"/>
        <v>Para</v>
      </c>
      <c r="AA205" s="316" t="str">
        <f t="shared" ca="1" si="111"/>
        <v/>
      </c>
      <c r="AC205" s="310" t="e">
        <f t="shared" ca="1" si="112"/>
        <v>#N/A</v>
      </c>
      <c r="AD205" s="323" t="e">
        <f t="shared" ca="1" si="113"/>
        <v>#N/A</v>
      </c>
      <c r="AE205" s="324" t="e">
        <f t="shared" ca="1" si="92"/>
        <v>#N/A</v>
      </c>
      <c r="AG205" s="306">
        <f t="shared" ca="1" si="114"/>
        <v>3.0187082005016457</v>
      </c>
      <c r="AH205" s="304">
        <f t="shared" ca="1" si="115"/>
        <v>-0.41757339143068767</v>
      </c>
    </row>
    <row r="206" spans="1:34" x14ac:dyDescent="0.2">
      <c r="A206" s="347">
        <f t="shared" ca="1" si="93"/>
        <v>0.1</v>
      </c>
      <c r="B206" s="304">
        <f t="shared" ca="1" si="94"/>
        <v>11.199999999999978</v>
      </c>
      <c r="D206" s="306">
        <f t="shared" ca="1" si="95"/>
        <v>-0.39594671336990622</v>
      </c>
      <c r="E206" s="307">
        <f t="shared" ca="1" si="96"/>
        <v>-9.6435933910169851</v>
      </c>
      <c r="F206" s="304">
        <f t="shared" ca="1" si="97"/>
        <v>9.6517183594992506</v>
      </c>
      <c r="G206" s="306">
        <f t="shared" ca="1" si="98"/>
        <v>21.149272618870235</v>
      </c>
      <c r="H206" s="307">
        <f t="shared" ca="1" si="99"/>
        <v>-9.8695161061448555</v>
      </c>
      <c r="I206" s="304">
        <f t="shared" ca="1" si="100"/>
        <v>23.338789181890885</v>
      </c>
      <c r="J206" s="306">
        <f t="shared" ca="1" si="101"/>
        <v>425.40688594891924</v>
      </c>
      <c r="K206" s="307">
        <f t="shared" ca="1" si="102"/>
        <v>1185.5162829081405</v>
      </c>
      <c r="L206" s="304">
        <f t="shared" ca="1" si="87"/>
        <v>1259.5316096283932</v>
      </c>
      <c r="M206" s="306">
        <f t="shared" ca="1" si="103"/>
        <v>-0.43662155123014285</v>
      </c>
      <c r="N206" s="304">
        <f t="shared" ca="1" si="104"/>
        <v>-25.016572129942244</v>
      </c>
      <c r="P206" s="310">
        <f t="shared" ca="1" si="105"/>
        <v>23</v>
      </c>
      <c r="Q206" s="304">
        <f t="shared" ca="1" si="106"/>
        <v>0</v>
      </c>
      <c r="R206" s="306">
        <f t="shared" ca="1" si="107"/>
        <v>0</v>
      </c>
      <c r="S206" s="307">
        <f t="shared" ca="1" si="108"/>
        <v>4.341000000000002</v>
      </c>
      <c r="T206" s="304">
        <f t="shared" ca="1" si="88"/>
        <v>42.585210000000025</v>
      </c>
      <c r="U206" s="311">
        <f t="shared" ca="1" si="89"/>
        <v>0</v>
      </c>
      <c r="V206" s="306">
        <f t="shared" ca="1" si="90"/>
        <v>1.0879009152130872</v>
      </c>
      <c r="W206" s="304">
        <f t="shared" ca="1" si="91"/>
        <v>1.9225976325883789</v>
      </c>
      <c r="Y206" s="314" t="str">
        <f t="shared" ca="1" si="109"/>
        <v/>
      </c>
      <c r="Z206" s="315" t="str">
        <f t="shared" ca="1" si="110"/>
        <v/>
      </c>
      <c r="AA206" s="316" t="str">
        <f t="shared" ca="1" si="111"/>
        <v/>
      </c>
      <c r="AC206" s="310" t="e">
        <f t="shared" ca="1" si="112"/>
        <v>#N/A</v>
      </c>
      <c r="AD206" s="323" t="e">
        <f t="shared" ca="1" si="113"/>
        <v>#N/A</v>
      </c>
      <c r="AE206" s="324" t="e">
        <f t="shared" ca="1" si="92"/>
        <v>#N/A</v>
      </c>
      <c r="AG206" s="306">
        <f t="shared" ca="1" si="114"/>
        <v>3.3713728510350474</v>
      </c>
      <c r="AH206" s="304">
        <f t="shared" ca="1" si="115"/>
        <v>-0.42949384086579967</v>
      </c>
    </row>
    <row r="207" spans="1:34" x14ac:dyDescent="0.2">
      <c r="A207" s="347">
        <f t="shared" ca="1" si="93"/>
        <v>0.1</v>
      </c>
      <c r="B207" s="304">
        <f t="shared" ca="1" si="94"/>
        <v>11.299999999999978</v>
      </c>
      <c r="D207" s="306">
        <f t="shared" ca="1" si="95"/>
        <v>-0.4013430360778073</v>
      </c>
      <c r="E207" s="307">
        <f t="shared" ca="1" si="96"/>
        <v>-9.6227093243327548</v>
      </c>
      <c r="F207" s="304">
        <f t="shared" ca="1" si="97"/>
        <v>9.6310752760638678</v>
      </c>
      <c r="G207" s="306">
        <f t="shared" ca="1" si="98"/>
        <v>21.109138315262456</v>
      </c>
      <c r="H207" s="307">
        <f t="shared" ca="1" si="99"/>
        <v>-10.831787038578131</v>
      </c>
      <c r="I207" s="304">
        <f t="shared" ca="1" si="100"/>
        <v>23.726005370942463</v>
      </c>
      <c r="J207" s="306">
        <f t="shared" ca="1" si="101"/>
        <v>427.51980649562586</v>
      </c>
      <c r="K207" s="307">
        <f t="shared" ca="1" si="102"/>
        <v>1184.4812177509043</v>
      </c>
      <c r="L207" s="304">
        <f t="shared" ca="1" si="87"/>
        <v>1259.2731793184205</v>
      </c>
      <c r="M207" s="306">
        <f t="shared" ca="1" si="103"/>
        <v>-0.47409840846059786</v>
      </c>
      <c r="N207" s="304">
        <f t="shared" ca="1" si="104"/>
        <v>-27.16383787866166</v>
      </c>
      <c r="P207" s="310">
        <f t="shared" ca="1" si="105"/>
        <v>23</v>
      </c>
      <c r="Q207" s="304">
        <f t="shared" ca="1" si="106"/>
        <v>0</v>
      </c>
      <c r="R207" s="306">
        <f t="shared" ca="1" si="107"/>
        <v>0</v>
      </c>
      <c r="S207" s="307">
        <f t="shared" ca="1" si="108"/>
        <v>4.341000000000002</v>
      </c>
      <c r="T207" s="304">
        <f t="shared" ca="1" si="88"/>
        <v>42.585210000000025</v>
      </c>
      <c r="U207" s="311">
        <f t="shared" ca="1" si="89"/>
        <v>0</v>
      </c>
      <c r="V207" s="306">
        <f t="shared" ca="1" si="90"/>
        <v>1.088013922613404</v>
      </c>
      <c r="W207" s="304">
        <f t="shared" ca="1" si="91"/>
        <v>1.9871292701703478</v>
      </c>
      <c r="Y207" s="314" t="str">
        <f t="shared" ca="1" si="109"/>
        <v/>
      </c>
      <c r="Z207" s="315" t="str">
        <f t="shared" ca="1" si="110"/>
        <v/>
      </c>
      <c r="AA207" s="316" t="str">
        <f t="shared" ca="1" si="111"/>
        <v/>
      </c>
      <c r="AC207" s="310" t="e">
        <f t="shared" ca="1" si="112"/>
        <v>#N/A</v>
      </c>
      <c r="AD207" s="323" t="e">
        <f t="shared" ca="1" si="113"/>
        <v>#N/A</v>
      </c>
      <c r="AE207" s="324" t="e">
        <f t="shared" ca="1" si="92"/>
        <v>#N/A</v>
      </c>
      <c r="AG207" s="306">
        <f t="shared" ca="1" si="114"/>
        <v>3.7055637592657233</v>
      </c>
      <c r="AH207" s="304">
        <f t="shared" ca="1" si="115"/>
        <v>-0.44289279718691038</v>
      </c>
    </row>
    <row r="208" spans="1:34" x14ac:dyDescent="0.2">
      <c r="A208" s="347">
        <f t="shared" ca="1" si="93"/>
        <v>0.1</v>
      </c>
      <c r="B208" s="304">
        <f t="shared" ca="1" si="94"/>
        <v>11.399999999999977</v>
      </c>
      <c r="D208" s="306">
        <f t="shared" ca="1" si="95"/>
        <v>-0.40726980798900037</v>
      </c>
      <c r="E208" s="307">
        <f t="shared" ca="1" si="96"/>
        <v>-9.6010165843107931</v>
      </c>
      <c r="F208" s="304">
        <f t="shared" ca="1" si="97"/>
        <v>9.6096507818291865</v>
      </c>
      <c r="G208" s="306">
        <f t="shared" ca="1" si="98"/>
        <v>21.068411334463555</v>
      </c>
      <c r="H208" s="307">
        <f t="shared" ca="1" si="99"/>
        <v>-11.79188869700921</v>
      </c>
      <c r="I208" s="304">
        <f t="shared" ca="1" si="100"/>
        <v>24.143872829370313</v>
      </c>
      <c r="J208" s="306">
        <f t="shared" ca="1" si="101"/>
        <v>429.62868397811218</v>
      </c>
      <c r="K208" s="307">
        <f t="shared" ca="1" si="102"/>
        <v>1183.350033964125</v>
      </c>
      <c r="L208" s="304">
        <f t="shared" ca="1" si="87"/>
        <v>1258.9273644574021</v>
      </c>
      <c r="M208" s="306">
        <f t="shared" ca="1" si="103"/>
        <v>-0.51025625771561922</v>
      </c>
      <c r="N208" s="304">
        <f t="shared" ca="1" si="104"/>
        <v>-29.235530037244629</v>
      </c>
      <c r="P208" s="310">
        <f t="shared" ca="1" si="105"/>
        <v>23</v>
      </c>
      <c r="Q208" s="304">
        <f t="shared" ca="1" si="106"/>
        <v>0</v>
      </c>
      <c r="R208" s="306">
        <f t="shared" ca="1" si="107"/>
        <v>0</v>
      </c>
      <c r="S208" s="307">
        <f t="shared" ca="1" si="108"/>
        <v>4.341000000000002</v>
      </c>
      <c r="T208" s="304">
        <f t="shared" ca="1" si="88"/>
        <v>42.585210000000025</v>
      </c>
      <c r="U208" s="311">
        <f t="shared" ca="1" si="89"/>
        <v>0</v>
      </c>
      <c r="V208" s="306">
        <f t="shared" ca="1" si="90"/>
        <v>1.0881374367810714</v>
      </c>
      <c r="W208" s="304">
        <f t="shared" ca="1" si="91"/>
        <v>2.0579747456353821</v>
      </c>
      <c r="Y208" s="314" t="str">
        <f t="shared" ca="1" si="109"/>
        <v/>
      </c>
      <c r="Z208" s="315" t="str">
        <f t="shared" ca="1" si="110"/>
        <v/>
      </c>
      <c r="AA208" s="316" t="str">
        <f t="shared" ca="1" si="111"/>
        <v/>
      </c>
      <c r="AC208" s="310" t="e">
        <f t="shared" ca="1" si="112"/>
        <v>#N/A</v>
      </c>
      <c r="AD208" s="323" t="e">
        <f t="shared" ca="1" si="113"/>
        <v>#N/A</v>
      </c>
      <c r="AE208" s="324" t="e">
        <f t="shared" ca="1" si="92"/>
        <v>#N/A</v>
      </c>
      <c r="AG208" s="306">
        <f t="shared" ca="1" si="114"/>
        <v>4.0208644816154999</v>
      </c>
      <c r="AH208" s="304">
        <f t="shared" ca="1" si="115"/>
        <v>-0.45775841284735014</v>
      </c>
    </row>
    <row r="209" spans="1:34" x14ac:dyDescent="0.2">
      <c r="A209" s="347">
        <f t="shared" ca="1" si="93"/>
        <v>0.1</v>
      </c>
      <c r="B209" s="304">
        <f t="shared" ca="1" si="94"/>
        <v>11.499999999999977</v>
      </c>
      <c r="D209" s="306">
        <f t="shared" ca="1" si="95"/>
        <v>-0.41369008205283353</v>
      </c>
      <c r="E209" s="307">
        <f t="shared" ca="1" si="96"/>
        <v>-9.5784596467582777</v>
      </c>
      <c r="F209" s="304">
        <f t="shared" ca="1" si="97"/>
        <v>9.5873890443939729</v>
      </c>
      <c r="G209" s="306">
        <f t="shared" ca="1" si="98"/>
        <v>21.027042326258272</v>
      </c>
      <c r="H209" s="307">
        <f t="shared" ca="1" si="99"/>
        <v>-12.749734661685038</v>
      </c>
      <c r="I209" s="304">
        <f t="shared" ca="1" si="100"/>
        <v>24.590490904689759</v>
      </c>
      <c r="J209" s="306">
        <f t="shared" ca="1" si="101"/>
        <v>431.7334566611483</v>
      </c>
      <c r="K209" s="307">
        <f t="shared" ca="1" si="102"/>
        <v>1182.1229527961902</v>
      </c>
      <c r="L209" s="304">
        <f t="shared" ca="1" si="87"/>
        <v>1258.4945185133574</v>
      </c>
      <c r="M209" s="306">
        <f t="shared" ca="1" si="103"/>
        <v>-0.54507510739373921</v>
      </c>
      <c r="N209" s="304">
        <f t="shared" ca="1" si="104"/>
        <v>-31.230503171301351</v>
      </c>
      <c r="P209" s="310">
        <f t="shared" ca="1" si="105"/>
        <v>23</v>
      </c>
      <c r="Q209" s="304">
        <f t="shared" ca="1" si="106"/>
        <v>0</v>
      </c>
      <c r="R209" s="306">
        <f t="shared" ca="1" si="107"/>
        <v>0</v>
      </c>
      <c r="S209" s="307">
        <f t="shared" ca="1" si="108"/>
        <v>4.341000000000002</v>
      </c>
      <c r="T209" s="304">
        <f t="shared" ca="1" si="88"/>
        <v>42.585210000000025</v>
      </c>
      <c r="U209" s="311">
        <f t="shared" ca="1" si="89"/>
        <v>0</v>
      </c>
      <c r="V209" s="306">
        <f t="shared" ca="1" si="90"/>
        <v>1.0882714369185384</v>
      </c>
      <c r="W209" s="304">
        <f t="shared" ca="1" si="91"/>
        <v>2.1350794825267219</v>
      </c>
      <c r="Y209" s="314" t="str">
        <f t="shared" ca="1" si="109"/>
        <v/>
      </c>
      <c r="Z209" s="315" t="str">
        <f t="shared" ca="1" si="110"/>
        <v/>
      </c>
      <c r="AA209" s="316" t="str">
        <f t="shared" ca="1" si="111"/>
        <v/>
      </c>
      <c r="AC209" s="310" t="e">
        <f t="shared" ca="1" si="112"/>
        <v>#N/A</v>
      </c>
      <c r="AD209" s="323" t="e">
        <f t="shared" ca="1" si="113"/>
        <v>#N/A</v>
      </c>
      <c r="AE209" s="324" t="e">
        <f t="shared" ca="1" si="92"/>
        <v>#N/A</v>
      </c>
      <c r="AG209" s="306">
        <f t="shared" ca="1" si="114"/>
        <v>4.3171341220326136</v>
      </c>
      <c r="AH209" s="304">
        <f t="shared" ca="1" si="115"/>
        <v>-0.47407849473286828</v>
      </c>
    </row>
    <row r="210" spans="1:34" x14ac:dyDescent="0.2">
      <c r="A210" s="347">
        <f t="shared" ca="1" si="93"/>
        <v>0.1</v>
      </c>
      <c r="B210" s="304">
        <f t="shared" ca="1" si="94"/>
        <v>11.599999999999977</v>
      </c>
      <c r="D210" s="306">
        <f t="shared" ca="1" si="95"/>
        <v>-0.42056705705763542</v>
      </c>
      <c r="E210" s="307">
        <f t="shared" ca="1" si="96"/>
        <v>-9.5549894140254601</v>
      </c>
      <c r="F210" s="304">
        <f t="shared" ca="1" si="97"/>
        <v>9.5642406573455023</v>
      </c>
      <c r="G210" s="306">
        <f t="shared" ca="1" si="98"/>
        <v>20.984985620552507</v>
      </c>
      <c r="H210" s="307">
        <f t="shared" ca="1" si="99"/>
        <v>-13.705233603087583</v>
      </c>
      <c r="I210" s="304">
        <f t="shared" ca="1" si="100"/>
        <v>25.063979125629604</v>
      </c>
      <c r="J210" s="306">
        <f t="shared" ca="1" si="101"/>
        <v>433.83405805848884</v>
      </c>
      <c r="K210" s="307">
        <f t="shared" ca="1" si="102"/>
        <v>1180.8002043829515</v>
      </c>
      <c r="L210" s="304">
        <f t="shared" ca="1" si="87"/>
        <v>1257.9750047605542</v>
      </c>
      <c r="M210" s="306">
        <f t="shared" ca="1" si="103"/>
        <v>-0.57854937524005767</v>
      </c>
      <c r="N210" s="304">
        <f t="shared" ca="1" si="104"/>
        <v>-33.148437441185877</v>
      </c>
      <c r="P210" s="310">
        <f t="shared" ca="1" si="105"/>
        <v>23</v>
      </c>
      <c r="Q210" s="304">
        <f t="shared" ca="1" si="106"/>
        <v>0</v>
      </c>
      <c r="R210" s="306">
        <f t="shared" ca="1" si="107"/>
        <v>0</v>
      </c>
      <c r="S210" s="307">
        <f t="shared" ca="1" si="108"/>
        <v>4.341000000000002</v>
      </c>
      <c r="T210" s="304">
        <f t="shared" ca="1" si="88"/>
        <v>42.585210000000025</v>
      </c>
      <c r="U210" s="311">
        <f t="shared" ca="1" si="89"/>
        <v>0</v>
      </c>
      <c r="V210" s="306">
        <f t="shared" ca="1" si="90"/>
        <v>1.0884159015323893</v>
      </c>
      <c r="W210" s="304">
        <f t="shared" ca="1" si="91"/>
        <v>2.2183871320768351</v>
      </c>
      <c r="Y210" s="314" t="str">
        <f t="shared" ca="1" si="109"/>
        <v/>
      </c>
      <c r="Z210" s="315" t="str">
        <f t="shared" ca="1" si="110"/>
        <v/>
      </c>
      <c r="AA210" s="316" t="str">
        <f t="shared" ca="1" si="111"/>
        <v/>
      </c>
      <c r="AC210" s="310" t="e">
        <f t="shared" ca="1" si="112"/>
        <v>#N/A</v>
      </c>
      <c r="AD210" s="323" t="e">
        <f t="shared" ca="1" si="113"/>
        <v>#N/A</v>
      </c>
      <c r="AE210" s="324" t="e">
        <f t="shared" ca="1" si="92"/>
        <v>#N/A</v>
      </c>
      <c r="AG210" s="306">
        <f t="shared" ca="1" si="114"/>
        <v>4.5944710437930407</v>
      </c>
      <c r="AH210" s="304">
        <f t="shared" ca="1" si="115"/>
        <v>-0.49184047051986202</v>
      </c>
    </row>
    <row r="211" spans="1:34" x14ac:dyDescent="0.2">
      <c r="A211" s="347">
        <f t="shared" ca="1" si="93"/>
        <v>0.1</v>
      </c>
      <c r="B211" s="304">
        <f t="shared" ca="1" si="94"/>
        <v>11.699999999999976</v>
      </c>
      <c r="D211" s="306">
        <f t="shared" ca="1" si="95"/>
        <v>-0.42786445357946945</v>
      </c>
      <c r="E211" s="307">
        <f t="shared" ca="1" si="96"/>
        <v>-9.530562959022431</v>
      </c>
      <c r="F211" s="304">
        <f t="shared" ca="1" si="97"/>
        <v>9.5401623836561207</v>
      </c>
      <c r="G211" s="306">
        <f t="shared" ca="1" si="98"/>
        <v>20.94219917519456</v>
      </c>
      <c r="H211" s="307">
        <f t="shared" ca="1" si="99"/>
        <v>-14.658289898989826</v>
      </c>
      <c r="I211" s="304">
        <f t="shared" ca="1" si="100"/>
        <v>25.562495360514923</v>
      </c>
      <c r="J211" s="306">
        <f t="shared" ca="1" si="101"/>
        <v>435.93041729827621</v>
      </c>
      <c r="K211" s="307">
        <f t="shared" ca="1" si="102"/>
        <v>1179.3820282078477</v>
      </c>
      <c r="L211" s="304">
        <f t="shared" ca="1" si="87"/>
        <v>1257.3691968493206</v>
      </c>
      <c r="M211" s="306">
        <f t="shared" ca="1" si="103"/>
        <v>-0.61068591940759076</v>
      </c>
      <c r="N211" s="304">
        <f t="shared" ca="1" si="104"/>
        <v>-34.989725790121284</v>
      </c>
      <c r="P211" s="310">
        <f t="shared" ca="1" si="105"/>
        <v>23</v>
      </c>
      <c r="Q211" s="304">
        <f t="shared" ca="1" si="106"/>
        <v>0</v>
      </c>
      <c r="R211" s="306">
        <f t="shared" ca="1" si="107"/>
        <v>0</v>
      </c>
      <c r="S211" s="307">
        <f t="shared" ca="1" si="108"/>
        <v>4.341000000000002</v>
      </c>
      <c r="T211" s="304">
        <f t="shared" ca="1" si="88"/>
        <v>42.585210000000025</v>
      </c>
      <c r="U211" s="311">
        <f t="shared" ca="1" si="89"/>
        <v>0</v>
      </c>
      <c r="V211" s="306">
        <f t="shared" ca="1" si="90"/>
        <v>1.0885708083804875</v>
      </c>
      <c r="W211" s="304">
        <f t="shared" ca="1" si="91"/>
        <v>2.3078394661836907</v>
      </c>
      <c r="Y211" s="314" t="str">
        <f t="shared" ca="1" si="109"/>
        <v/>
      </c>
      <c r="Z211" s="315" t="str">
        <f t="shared" ca="1" si="110"/>
        <v/>
      </c>
      <c r="AA211" s="316" t="str">
        <f t="shared" ca="1" si="111"/>
        <v/>
      </c>
      <c r="AC211" s="310" t="e">
        <f t="shared" ca="1" si="112"/>
        <v>#N/A</v>
      </c>
      <c r="AD211" s="323" t="e">
        <f t="shared" ca="1" si="113"/>
        <v>#N/A</v>
      </c>
      <c r="AE211" s="324" t="e">
        <f t="shared" ca="1" si="92"/>
        <v>#N/A</v>
      </c>
      <c r="AG211" s="306">
        <f t="shared" ca="1" si="114"/>
        <v>4.8531744184242633</v>
      </c>
      <c r="AH211" s="304">
        <f t="shared" ca="1" si="115"/>
        <v>-0.51103135961226309</v>
      </c>
    </row>
    <row r="212" spans="1:34" x14ac:dyDescent="0.2">
      <c r="A212" s="347">
        <f t="shared" ca="1" si="93"/>
        <v>0.1</v>
      </c>
      <c r="B212" s="304">
        <f t="shared" ca="1" si="94"/>
        <v>11.799999999999976</v>
      </c>
      <c r="D212" s="306">
        <f t="shared" ca="1" si="95"/>
        <v>-0.43554682204743483</v>
      </c>
      <c r="E212" s="307">
        <f t="shared" ca="1" si="96"/>
        <v>-9.5051432116204335</v>
      </c>
      <c r="F212" s="304">
        <f t="shared" ca="1" si="97"/>
        <v>9.5151168415111762</v>
      </c>
      <c r="G212" s="306">
        <f t="shared" ca="1" si="98"/>
        <v>20.898644492989817</v>
      </c>
      <c r="H212" s="307">
        <f t="shared" ca="1" si="99"/>
        <v>-15.608804220151869</v>
      </c>
      <c r="I212" s="304">
        <f t="shared" ca="1" si="100"/>
        <v>26.084250244686054</v>
      </c>
      <c r="J212" s="306">
        <f t="shared" ca="1" si="101"/>
        <v>438.02245948168542</v>
      </c>
      <c r="K212" s="307">
        <f t="shared" ca="1" si="102"/>
        <v>1177.8686735018907</v>
      </c>
      <c r="L212" s="304">
        <f t="shared" ca="1" si="87"/>
        <v>1256.6774793189732</v>
      </c>
      <c r="M212" s="306">
        <f t="shared" ca="1" si="103"/>
        <v>-0.64150207282667682</v>
      </c>
      <c r="N212" s="304">
        <f t="shared" ca="1" si="104"/>
        <v>-36.755361321862551</v>
      </c>
      <c r="P212" s="310">
        <f t="shared" ca="1" si="105"/>
        <v>23</v>
      </c>
      <c r="Q212" s="304">
        <f t="shared" ca="1" si="106"/>
        <v>0</v>
      </c>
      <c r="R212" s="306">
        <f t="shared" ca="1" si="107"/>
        <v>0</v>
      </c>
      <c r="S212" s="307">
        <f t="shared" ca="1" si="108"/>
        <v>4.341000000000002</v>
      </c>
      <c r="T212" s="304">
        <f t="shared" ca="1" si="88"/>
        <v>42.585210000000025</v>
      </c>
      <c r="U212" s="311">
        <f t="shared" ca="1" si="89"/>
        <v>0</v>
      </c>
      <c r="V212" s="306">
        <f t="shared" ca="1" si="90"/>
        <v>1.0887361344255402</v>
      </c>
      <c r="W212" s="304">
        <f t="shared" ca="1" si="91"/>
        <v>2.4033762886106711</v>
      </c>
      <c r="Y212" s="314" t="str">
        <f t="shared" ca="1" si="109"/>
        <v/>
      </c>
      <c r="Z212" s="315" t="str">
        <f t="shared" ca="1" si="110"/>
        <v/>
      </c>
      <c r="AA212" s="316" t="str">
        <f t="shared" ca="1" si="111"/>
        <v/>
      </c>
      <c r="AC212" s="310" t="e">
        <f t="shared" ca="1" si="112"/>
        <v>#N/A</v>
      </c>
      <c r="AD212" s="323" t="e">
        <f t="shared" ca="1" si="113"/>
        <v>#N/A</v>
      </c>
      <c r="AE212" s="324" t="e">
        <f t="shared" ca="1" si="92"/>
        <v>#N/A</v>
      </c>
      <c r="AG212" s="306">
        <f t="shared" ca="1" si="114"/>
        <v>5.0937060170984925</v>
      </c>
      <c r="AH212" s="304">
        <f t="shared" ca="1" si="115"/>
        <v>-0.53163774848737377</v>
      </c>
    </row>
    <row r="213" spans="1:34" x14ac:dyDescent="0.2">
      <c r="A213" s="347">
        <f t="shared" ca="1" si="93"/>
        <v>0.1</v>
      </c>
      <c r="B213" s="304">
        <f t="shared" ca="1" si="94"/>
        <v>11.899999999999975</v>
      </c>
      <c r="D213" s="306">
        <f t="shared" ca="1" si="95"/>
        <v>-0.44357978545481896</v>
      </c>
      <c r="E213" s="307">
        <f t="shared" ca="1" si="96"/>
        <v>-9.4786986072468142</v>
      </c>
      <c r="F213" s="304">
        <f t="shared" ca="1" si="97"/>
        <v>9.4890721523806967</v>
      </c>
      <c r="G213" s="306">
        <f t="shared" ca="1" si="98"/>
        <v>20.854286514444336</v>
      </c>
      <c r="H213" s="307">
        <f t="shared" ca="1" si="99"/>
        <v>-16.556674080876551</v>
      </c>
      <c r="I213" s="304">
        <f t="shared" ca="1" si="100"/>
        <v>26.627518146588582</v>
      </c>
      <c r="J213" s="306">
        <f t="shared" ca="1" si="101"/>
        <v>440.1101060320571</v>
      </c>
      <c r="K213" s="307">
        <f t="shared" ca="1" si="102"/>
        <v>1176.2603995868394</v>
      </c>
      <c r="L213" s="304">
        <f t="shared" ca="1" si="87"/>
        <v>1255.9002480562458</v>
      </c>
      <c r="M213" s="306">
        <f t="shared" ca="1" si="103"/>
        <v>-0.67102375929349689</v>
      </c>
      <c r="N213" s="304">
        <f t="shared" ca="1" si="104"/>
        <v>-38.446829360519821</v>
      </c>
      <c r="P213" s="310">
        <f t="shared" ca="1" si="105"/>
        <v>23</v>
      </c>
      <c r="Q213" s="304">
        <f t="shared" ca="1" si="106"/>
        <v>0</v>
      </c>
      <c r="R213" s="306">
        <f t="shared" ca="1" si="107"/>
        <v>0</v>
      </c>
      <c r="S213" s="307">
        <f t="shared" ca="1" si="108"/>
        <v>4.341000000000002</v>
      </c>
      <c r="T213" s="304">
        <f t="shared" ca="1" si="88"/>
        <v>42.585210000000025</v>
      </c>
      <c r="U213" s="311">
        <f t="shared" ca="1" si="89"/>
        <v>0</v>
      </c>
      <c r="V213" s="306">
        <f t="shared" ca="1" si="90"/>
        <v>1.0889118557947093</v>
      </c>
      <c r="W213" s="304">
        <f t="shared" ca="1" si="91"/>
        <v>2.5049353633721867</v>
      </c>
      <c r="Y213" s="314" t="str">
        <f t="shared" ca="1" si="109"/>
        <v/>
      </c>
      <c r="Z213" s="315" t="str">
        <f t="shared" ca="1" si="110"/>
        <v/>
      </c>
      <c r="AA213" s="316" t="str">
        <f t="shared" ca="1" si="111"/>
        <v/>
      </c>
      <c r="AC213" s="310" t="e">
        <f t="shared" ca="1" si="112"/>
        <v>#N/A</v>
      </c>
      <c r="AD213" s="323" t="e">
        <f t="shared" ca="1" si="113"/>
        <v>#N/A</v>
      </c>
      <c r="AE213" s="324" t="e">
        <f t="shared" ca="1" si="92"/>
        <v>#N/A</v>
      </c>
      <c r="AG213" s="306">
        <f t="shared" ca="1" si="114"/>
        <v>5.3166540452929896</v>
      </c>
      <c r="AH213" s="304">
        <f t="shared" ca="1" si="115"/>
        <v>-0.55364577023973049</v>
      </c>
    </row>
    <row r="214" spans="1:34" x14ac:dyDescent="0.2">
      <c r="A214" s="347">
        <f t="shared" ca="1" si="93"/>
        <v>0.1</v>
      </c>
      <c r="B214" s="304">
        <f t="shared" ca="1" si="94"/>
        <v>11.999999999999975</v>
      </c>
      <c r="D214" s="306">
        <f t="shared" ca="1" si="95"/>
        <v>-0.45193022178260983</v>
      </c>
      <c r="E214" s="307">
        <f t="shared" ca="1" si="96"/>
        <v>-9.4512027146471631</v>
      </c>
      <c r="F214" s="304">
        <f t="shared" ca="1" si="97"/>
        <v>9.462001568310713</v>
      </c>
      <c r="G214" s="306">
        <f t="shared" ca="1" si="98"/>
        <v>20.809093492266076</v>
      </c>
      <c r="H214" s="307">
        <f t="shared" ca="1" si="99"/>
        <v>-17.501794352341268</v>
      </c>
      <c r="I214" s="304">
        <f t="shared" ca="1" si="100"/>
        <v>27.190645036878308</v>
      </c>
      <c r="J214" s="306">
        <f t="shared" ca="1" si="101"/>
        <v>442.19327503239265</v>
      </c>
      <c r="K214" s="307">
        <f t="shared" ca="1" si="102"/>
        <v>1174.5574761651785</v>
      </c>
      <c r="L214" s="304">
        <f t="shared" ca="1" si="87"/>
        <v>1255.0379107020581</v>
      </c>
      <c r="M214" s="306">
        <f t="shared" ca="1" si="103"/>
        <v>-0.69928374590263176</v>
      </c>
      <c r="N214" s="304">
        <f t="shared" ca="1" si="104"/>
        <v>-40.066007322319471</v>
      </c>
      <c r="P214" s="310">
        <f t="shared" ca="1" si="105"/>
        <v>23</v>
      </c>
      <c r="Q214" s="304">
        <f t="shared" ca="1" si="106"/>
        <v>0</v>
      </c>
      <c r="R214" s="306">
        <f t="shared" ca="1" si="107"/>
        <v>0</v>
      </c>
      <c r="S214" s="307">
        <f t="shared" ca="1" si="108"/>
        <v>4.341000000000002</v>
      </c>
      <c r="T214" s="304">
        <f t="shared" ca="1" si="88"/>
        <v>42.585210000000025</v>
      </c>
      <c r="U214" s="311">
        <f t="shared" ca="1" si="89"/>
        <v>0</v>
      </c>
      <c r="V214" s="306">
        <f t="shared" ca="1" si="90"/>
        <v>1.0890979477448874</v>
      </c>
      <c r="W214" s="304">
        <f t="shared" ca="1" si="91"/>
        <v>2.6124523591941435</v>
      </c>
      <c r="Y214" s="314" t="str">
        <f t="shared" ca="1" si="109"/>
        <v/>
      </c>
      <c r="Z214" s="315" t="str">
        <f t="shared" ca="1" si="110"/>
        <v/>
      </c>
      <c r="AA214" s="316" t="str">
        <f t="shared" ca="1" si="111"/>
        <v/>
      </c>
      <c r="AC214" s="310">
        <f t="shared" ca="1" si="112"/>
        <v>11.999999999999975</v>
      </c>
      <c r="AD214" s="323">
        <f t="shared" ca="1" si="113"/>
        <v>442.19327503239265</v>
      </c>
      <c r="AE214" s="324" t="e">
        <f t="shared" ca="1" si="92"/>
        <v>#N/A</v>
      </c>
      <c r="AG214" s="306">
        <f t="shared" ca="1" si="114"/>
        <v>5.5227002336287248</v>
      </c>
      <c r="AH214" s="304">
        <f t="shared" ca="1" si="115"/>
        <v>-0.57704108808389443</v>
      </c>
    </row>
    <row r="215" spans="1:34" x14ac:dyDescent="0.2">
      <c r="A215" s="347">
        <f t="shared" ca="1" si="93"/>
        <v>0.1</v>
      </c>
      <c r="B215" s="304">
        <f t="shared" ca="1" si="94"/>
        <v>12.099999999999975</v>
      </c>
      <c r="D215" s="306">
        <f t="shared" ca="1" si="95"/>
        <v>-0.46056639276809991</v>
      </c>
      <c r="E215" s="307">
        <f t="shared" ca="1" si="96"/>
        <v>-9.4226338566923751</v>
      </c>
      <c r="F215" s="304">
        <f t="shared" ca="1" si="97"/>
        <v>9.4338830923131987</v>
      </c>
      <c r="G215" s="306">
        <f t="shared" ca="1" si="98"/>
        <v>20.763036852989266</v>
      </c>
      <c r="H215" s="307">
        <f t="shared" ca="1" si="99"/>
        <v>-18.444057738010507</v>
      </c>
      <c r="I215" s="304">
        <f t="shared" ca="1" si="100"/>
        <v>27.77205367274188</v>
      </c>
      <c r="J215" s="306">
        <f t="shared" ca="1" si="101"/>
        <v>444.2718815496554</v>
      </c>
      <c r="K215" s="307">
        <f t="shared" ca="1" si="102"/>
        <v>1172.7601835606608</v>
      </c>
      <c r="L215" s="304">
        <f t="shared" ca="1" si="87"/>
        <v>1254.0908870097517</v>
      </c>
      <c r="M215" s="306">
        <f t="shared" ca="1" si="103"/>
        <v>-0.72632006556477069</v>
      </c>
      <c r="N215" s="304">
        <f t="shared" ca="1" si="104"/>
        <v>-41.615074332526596</v>
      </c>
      <c r="P215" s="310">
        <f t="shared" ca="1" si="105"/>
        <v>23</v>
      </c>
      <c r="Q215" s="304">
        <f t="shared" ca="1" si="106"/>
        <v>0</v>
      </c>
      <c r="R215" s="306">
        <f t="shared" ca="1" si="107"/>
        <v>0</v>
      </c>
      <c r="S215" s="307">
        <f t="shared" ca="1" si="108"/>
        <v>4.341000000000002</v>
      </c>
      <c r="T215" s="304">
        <f t="shared" ca="1" si="88"/>
        <v>42.585210000000025</v>
      </c>
      <c r="U215" s="311">
        <f t="shared" ca="1" si="89"/>
        <v>0</v>
      </c>
      <c r="V215" s="306">
        <f t="shared" ca="1" si="90"/>
        <v>1.0892943846332077</v>
      </c>
      <c r="W215" s="304">
        <f t="shared" ca="1" si="91"/>
        <v>2.7258608089065111</v>
      </c>
      <c r="Y215" s="314" t="str">
        <f t="shared" ca="1" si="109"/>
        <v/>
      </c>
      <c r="Z215" s="315" t="str">
        <f t="shared" ca="1" si="110"/>
        <v/>
      </c>
      <c r="AA215" s="316" t="str">
        <f t="shared" ca="1" si="111"/>
        <v/>
      </c>
      <c r="AC215" s="310" t="e">
        <f t="shared" ca="1" si="112"/>
        <v>#N/A</v>
      </c>
      <c r="AD215" s="323" t="e">
        <f t="shared" ca="1" si="113"/>
        <v>#N/A</v>
      </c>
      <c r="AE215" s="324" t="e">
        <f t="shared" ca="1" si="92"/>
        <v>#N/A</v>
      </c>
      <c r="AG215" s="306">
        <f t="shared" ca="1" si="114"/>
        <v>5.7125908811674169</v>
      </c>
      <c r="AH215" s="304">
        <f t="shared" ca="1" si="115"/>
        <v>-0.60180888256027232</v>
      </c>
    </row>
    <row r="216" spans="1:34" x14ac:dyDescent="0.2">
      <c r="A216" s="347">
        <f t="shared" ca="1" si="93"/>
        <v>0.1</v>
      </c>
      <c r="B216" s="304">
        <f t="shared" ca="1" si="94"/>
        <v>12.199999999999974</v>
      </c>
      <c r="D216" s="306">
        <f t="shared" ca="1" si="95"/>
        <v>-0.46945802640565976</v>
      </c>
      <c r="E216" s="307">
        <f t="shared" ca="1" si="96"/>
        <v>-9.3929747350589601</v>
      </c>
      <c r="F216" s="304">
        <f t="shared" ca="1" si="97"/>
        <v>9.4046991026833293</v>
      </c>
      <c r="G216" s="306">
        <f t="shared" ca="1" si="98"/>
        <v>20.716091050348702</v>
      </c>
      <c r="H216" s="307">
        <f t="shared" ca="1" si="99"/>
        <v>-19.383355211516403</v>
      </c>
      <c r="I216" s="304">
        <f t="shared" ca="1" si="100"/>
        <v>28.37024652099727</v>
      </c>
      <c r="J216" s="306">
        <f t="shared" ca="1" si="101"/>
        <v>446.34583794482228</v>
      </c>
      <c r="K216" s="307">
        <f t="shared" ca="1" si="102"/>
        <v>1170.8688129131845</v>
      </c>
      <c r="L216" s="304">
        <f t="shared" ca="1" si="87"/>
        <v>1253.059609158078</v>
      </c>
      <c r="M216" s="306">
        <f t="shared" ca="1" si="103"/>
        <v>-0.75217462622976328</v>
      </c>
      <c r="N216" s="304">
        <f t="shared" ca="1" si="104"/>
        <v>-43.096431539795624</v>
      </c>
      <c r="P216" s="310">
        <f t="shared" ca="1" si="105"/>
        <v>23</v>
      </c>
      <c r="Q216" s="304">
        <f t="shared" ca="1" si="106"/>
        <v>0</v>
      </c>
      <c r="R216" s="306">
        <f t="shared" ca="1" si="107"/>
        <v>0</v>
      </c>
      <c r="S216" s="307">
        <f t="shared" ca="1" si="108"/>
        <v>4.341000000000002</v>
      </c>
      <c r="T216" s="304">
        <f t="shared" ca="1" si="88"/>
        <v>42.585210000000025</v>
      </c>
      <c r="U216" s="311">
        <f t="shared" ca="1" si="89"/>
        <v>0</v>
      </c>
      <c r="V216" s="306">
        <f t="shared" ca="1" si="90"/>
        <v>1.0895011398923988</v>
      </c>
      <c r="W216" s="304">
        <f t="shared" ca="1" si="91"/>
        <v>2.8450920826261288</v>
      </c>
      <c r="Y216" s="314" t="str">
        <f t="shared" ca="1" si="109"/>
        <v/>
      </c>
      <c r="Z216" s="315" t="str">
        <f t="shared" ca="1" si="110"/>
        <v/>
      </c>
      <c r="AA216" s="316" t="str">
        <f t="shared" ca="1" si="111"/>
        <v/>
      </c>
      <c r="AC216" s="310" t="e">
        <f t="shared" ca="1" si="112"/>
        <v>#N/A</v>
      </c>
      <c r="AD216" s="323" t="e">
        <f t="shared" ca="1" si="113"/>
        <v>#N/A</v>
      </c>
      <c r="AE216" s="324" t="e">
        <f t="shared" ca="1" si="92"/>
        <v>#N/A</v>
      </c>
      <c r="AG216" s="306">
        <f t="shared" ca="1" si="114"/>
        <v>5.8871121296435014</v>
      </c>
      <c r="AH216" s="304">
        <f t="shared" ca="1" si="115"/>
        <v>-0.62793384218072101</v>
      </c>
    </row>
    <row r="217" spans="1:34" x14ac:dyDescent="0.2">
      <c r="A217" s="347">
        <f t="shared" ca="1" si="93"/>
        <v>0.1</v>
      </c>
      <c r="B217" s="304">
        <f t="shared" ca="1" si="94"/>
        <v>12.299999999999974</v>
      </c>
      <c r="D217" s="306">
        <f t="shared" ca="1" si="95"/>
        <v>-0.4785763606944185</v>
      </c>
      <c r="E217" s="307">
        <f t="shared" ca="1" si="96"/>
        <v>-9.362212066811777</v>
      </c>
      <c r="F217" s="304">
        <f t="shared" ca="1" si="97"/>
        <v>9.3744359892727172</v>
      </c>
      <c r="G217" s="306">
        <f t="shared" ca="1" si="98"/>
        <v>20.668233414279261</v>
      </c>
      <c r="H217" s="307">
        <f t="shared" ca="1" si="99"/>
        <v>-20.319576418197581</v>
      </c>
      <c r="I217" s="304">
        <f t="shared" ca="1" si="100"/>
        <v>28.983806828677647</v>
      </c>
      <c r="J217" s="306">
        <f t="shared" ca="1" si="101"/>
        <v>448.4150541680537</v>
      </c>
      <c r="K217" s="307">
        <f t="shared" ca="1" si="102"/>
        <v>1168.8836663316988</v>
      </c>
      <c r="L217" s="304">
        <f t="shared" ca="1" si="87"/>
        <v>1251.944522022271</v>
      </c>
      <c r="M217" s="306">
        <f t="shared" ca="1" si="103"/>
        <v>-0.77689201026357391</v>
      </c>
      <c r="N217" s="304">
        <f t="shared" ca="1" si="104"/>
        <v>-44.512633325537017</v>
      </c>
      <c r="P217" s="310">
        <f t="shared" ca="1" si="105"/>
        <v>23</v>
      </c>
      <c r="Q217" s="304">
        <f t="shared" ca="1" si="106"/>
        <v>0</v>
      </c>
      <c r="R217" s="306">
        <f t="shared" ca="1" si="107"/>
        <v>0</v>
      </c>
      <c r="S217" s="307">
        <f t="shared" ca="1" si="108"/>
        <v>4.341000000000002</v>
      </c>
      <c r="T217" s="304">
        <f t="shared" ca="1" si="88"/>
        <v>42.585210000000025</v>
      </c>
      <c r="U217" s="311">
        <f t="shared" ca="1" si="89"/>
        <v>0</v>
      </c>
      <c r="V217" s="306">
        <f t="shared" ca="1" si="90"/>
        <v>1.0897181860105658</v>
      </c>
      <c r="W217" s="304">
        <f t="shared" ca="1" si="91"/>
        <v>2.9700753736133287</v>
      </c>
      <c r="Y217" s="314" t="str">
        <f t="shared" ca="1" si="109"/>
        <v/>
      </c>
      <c r="Z217" s="315" t="str">
        <f t="shared" ca="1" si="110"/>
        <v/>
      </c>
      <c r="AA217" s="316" t="str">
        <f t="shared" ca="1" si="111"/>
        <v/>
      </c>
      <c r="AC217" s="310" t="e">
        <f t="shared" ca="1" si="112"/>
        <v>#N/A</v>
      </c>
      <c r="AD217" s="323" t="e">
        <f t="shared" ca="1" si="113"/>
        <v>#N/A</v>
      </c>
      <c r="AE217" s="324" t="e">
        <f t="shared" ca="1" si="92"/>
        <v>#N/A</v>
      </c>
      <c r="AG217" s="306">
        <f t="shared" ca="1" si="114"/>
        <v>6.0470694347648957</v>
      </c>
      <c r="AH217" s="304">
        <f t="shared" ca="1" si="115"/>
        <v>-0.65540015725089318</v>
      </c>
    </row>
    <row r="218" spans="1:34" x14ac:dyDescent="0.2">
      <c r="A218" s="347">
        <f t="shared" ca="1" si="93"/>
        <v>0.1</v>
      </c>
      <c r="B218" s="304">
        <f t="shared" ca="1" si="94"/>
        <v>12.399999999999974</v>
      </c>
      <c r="D218" s="306">
        <f t="shared" ca="1" si="95"/>
        <v>-0.48789415582972734</v>
      </c>
      <c r="E218" s="307">
        <f t="shared" ca="1" si="96"/>
        <v>-9.3303362384844704</v>
      </c>
      <c r="F218" s="304">
        <f t="shared" ca="1" si="97"/>
        <v>9.3430838073127287</v>
      </c>
      <c r="G218" s="306">
        <f t="shared" ca="1" si="98"/>
        <v>20.619443998696287</v>
      </c>
      <c r="H218" s="307">
        <f t="shared" ca="1" si="99"/>
        <v>-21.25261004204603</v>
      </c>
      <c r="I218" s="304">
        <f t="shared" ca="1" si="100"/>
        <v>29.611398217825649</v>
      </c>
      <c r="J218" s="306">
        <f t="shared" ca="1" si="101"/>
        <v>450.47943803870248</v>
      </c>
      <c r="K218" s="307">
        <f t="shared" ca="1" si="102"/>
        <v>1166.8050570086866</v>
      </c>
      <c r="L218" s="304">
        <f t="shared" ca="1" si="87"/>
        <v>1250.7460834065041</v>
      </c>
      <c r="M218" s="306">
        <f t="shared" ca="1" si="103"/>
        <v>-0.80051845794585119</v>
      </c>
      <c r="N218" s="304">
        <f t="shared" ca="1" si="104"/>
        <v>-45.866329062618156</v>
      </c>
      <c r="P218" s="310">
        <f t="shared" ca="1" si="105"/>
        <v>23</v>
      </c>
      <c r="Q218" s="304">
        <f t="shared" ca="1" si="106"/>
        <v>0</v>
      </c>
      <c r="R218" s="306">
        <f t="shared" ca="1" si="107"/>
        <v>0</v>
      </c>
      <c r="S218" s="307">
        <f t="shared" ca="1" si="108"/>
        <v>4.341000000000002</v>
      </c>
      <c r="T218" s="304">
        <f t="shared" ca="1" si="88"/>
        <v>42.585210000000025</v>
      </c>
      <c r="U218" s="311">
        <f t="shared" ca="1" si="89"/>
        <v>0</v>
      </c>
      <c r="V218" s="306">
        <f t="shared" ca="1" si="90"/>
        <v>1.0899454945150202</v>
      </c>
      <c r="W218" s="304">
        <f t="shared" ca="1" si="91"/>
        <v>3.1007376957291584</v>
      </c>
      <c r="Y218" s="314" t="str">
        <f t="shared" ca="1" si="109"/>
        <v/>
      </c>
      <c r="Z218" s="315" t="str">
        <f t="shared" ca="1" si="110"/>
        <v/>
      </c>
      <c r="AA218" s="316" t="str">
        <f t="shared" ca="1" si="111"/>
        <v/>
      </c>
      <c r="AC218" s="310" t="e">
        <f t="shared" ca="1" si="112"/>
        <v>#N/A</v>
      </c>
      <c r="AD218" s="323" t="e">
        <f t="shared" ca="1" si="113"/>
        <v>#N/A</v>
      </c>
      <c r="AE218" s="324" t="e">
        <f t="shared" ca="1" si="92"/>
        <v>#N/A</v>
      </c>
      <c r="AG218" s="306">
        <f t="shared" ca="1" si="114"/>
        <v>6.1932709865290514</v>
      </c>
      <c r="AH218" s="304">
        <f t="shared" ca="1" si="115"/>
        <v>-0.68419151661214639</v>
      </c>
    </row>
    <row r="219" spans="1:34" x14ac:dyDescent="0.2">
      <c r="A219" s="347">
        <f t="shared" ca="1" si="93"/>
        <v>0.1</v>
      </c>
      <c r="B219" s="304">
        <f t="shared" ca="1" si="94"/>
        <v>12.499999999999973</v>
      </c>
      <c r="D219" s="306">
        <f t="shared" ca="1" si="95"/>
        <v>-0.497385681431189</v>
      </c>
      <c r="E219" s="307">
        <f t="shared" ca="1" si="96"/>
        <v>-9.2973409812300112</v>
      </c>
      <c r="F219" s="304">
        <f t="shared" ca="1" si="97"/>
        <v>9.3106359523585613</v>
      </c>
      <c r="G219" s="306">
        <f t="shared" ca="1" si="98"/>
        <v>20.569705430553167</v>
      </c>
      <c r="H219" s="307">
        <f t="shared" ca="1" si="99"/>
        <v>-22.182344140169029</v>
      </c>
      <c r="I219" s="304">
        <f t="shared" ca="1" si="100"/>
        <v>30.251763139569562</v>
      </c>
      <c r="J219" s="306">
        <f t="shared" ca="1" si="101"/>
        <v>452.53889551016493</v>
      </c>
      <c r="K219" s="307">
        <f t="shared" ca="1" si="102"/>
        <v>1164.6333092995758</v>
      </c>
      <c r="L219" s="304">
        <f t="shared" ca="1" si="87"/>
        <v>1249.4647642409293</v>
      </c>
      <c r="M219" s="306">
        <f t="shared" ca="1" si="103"/>
        <v>-0.82310102275482866</v>
      </c>
      <c r="N219" s="304">
        <f t="shared" ca="1" si="104"/>
        <v>-47.160214716753217</v>
      </c>
      <c r="P219" s="310">
        <f t="shared" ca="1" si="105"/>
        <v>23</v>
      </c>
      <c r="Q219" s="304">
        <f t="shared" ca="1" si="106"/>
        <v>0</v>
      </c>
      <c r="R219" s="306">
        <f t="shared" ca="1" si="107"/>
        <v>0</v>
      </c>
      <c r="S219" s="307">
        <f t="shared" ca="1" si="108"/>
        <v>4.341000000000002</v>
      </c>
      <c r="T219" s="304">
        <f t="shared" ca="1" si="88"/>
        <v>42.585210000000025</v>
      </c>
      <c r="U219" s="311">
        <f t="shared" ca="1" si="89"/>
        <v>0</v>
      </c>
      <c r="V219" s="306">
        <f t="shared" ca="1" si="90"/>
        <v>1.0901830359597953</v>
      </c>
      <c r="W219" s="304">
        <f t="shared" ca="1" si="91"/>
        <v>3.2370038914748696</v>
      </c>
      <c r="Y219" s="314" t="str">
        <f t="shared" ca="1" si="109"/>
        <v/>
      </c>
      <c r="Z219" s="315" t="str">
        <f t="shared" ca="1" si="110"/>
        <v/>
      </c>
      <c r="AA219" s="316" t="str">
        <f t="shared" ca="1" si="111"/>
        <v/>
      </c>
      <c r="AC219" s="310" t="e">
        <f t="shared" ca="1" si="112"/>
        <v>#N/A</v>
      </c>
      <c r="AD219" s="323" t="e">
        <f t="shared" ca="1" si="113"/>
        <v>#N/A</v>
      </c>
      <c r="AE219" s="324" t="e">
        <f t="shared" ca="1" si="92"/>
        <v>#N/A</v>
      </c>
      <c r="AG219" s="306">
        <f t="shared" ca="1" si="114"/>
        <v>6.3265146995057115</v>
      </c>
      <c r="AH219" s="304">
        <f t="shared" ca="1" si="115"/>
        <v>-0.71429110705578369</v>
      </c>
    </row>
    <row r="220" spans="1:34" x14ac:dyDescent="0.2">
      <c r="A220" s="347">
        <f t="shared" ca="1" si="93"/>
        <v>0.1</v>
      </c>
      <c r="B220" s="304">
        <f t="shared" ca="1" si="94"/>
        <v>12.599999999999973</v>
      </c>
      <c r="D220" s="306">
        <f t="shared" ca="1" si="95"/>
        <v>-0.50702668463865319</v>
      </c>
      <c r="E220" s="307">
        <f t="shared" ca="1" si="96"/>
        <v>-9.2632230689994337</v>
      </c>
      <c r="F220" s="304">
        <f t="shared" ca="1" si="97"/>
        <v>9.277088858309968</v>
      </c>
      <c r="G220" s="306">
        <f t="shared" ca="1" si="98"/>
        <v>20.519002762089301</v>
      </c>
      <c r="H220" s="307">
        <f t="shared" ca="1" si="99"/>
        <v>-23.108666447068973</v>
      </c>
      <c r="I220" s="304">
        <f t="shared" ca="1" si="100"/>
        <v>30.903720476870088</v>
      </c>
      <c r="J220" s="306">
        <f t="shared" ca="1" si="101"/>
        <v>454.59333091979704</v>
      </c>
      <c r="K220" s="307">
        <f t="shared" ca="1" si="102"/>
        <v>1162.3687587702138</v>
      </c>
      <c r="L220" s="304">
        <f t="shared" ca="1" si="87"/>
        <v>1248.10104874636</v>
      </c>
      <c r="M220" s="306">
        <f t="shared" ca="1" si="103"/>
        <v>-0.84468688238128808</v>
      </c>
      <c r="N220" s="304">
        <f t="shared" ca="1" si="104"/>
        <v>-48.396993370511183</v>
      </c>
      <c r="P220" s="310">
        <f t="shared" ca="1" si="105"/>
        <v>23</v>
      </c>
      <c r="Q220" s="304">
        <f t="shared" ca="1" si="106"/>
        <v>0</v>
      </c>
      <c r="R220" s="306">
        <f t="shared" ca="1" si="107"/>
        <v>0</v>
      </c>
      <c r="S220" s="307">
        <f t="shared" ca="1" si="108"/>
        <v>4.341000000000002</v>
      </c>
      <c r="T220" s="304">
        <f t="shared" ca="1" si="88"/>
        <v>42.585210000000025</v>
      </c>
      <c r="U220" s="311">
        <f t="shared" ca="1" si="89"/>
        <v>0</v>
      </c>
      <c r="V220" s="306">
        <f t="shared" ca="1" si="90"/>
        <v>1.0904307799165052</v>
      </c>
      <c r="W220" s="304">
        <f t="shared" ca="1" si="91"/>
        <v>3.3787966496570809</v>
      </c>
      <c r="Y220" s="314" t="str">
        <f t="shared" ca="1" si="109"/>
        <v/>
      </c>
      <c r="Z220" s="315" t="str">
        <f t="shared" ca="1" si="110"/>
        <v/>
      </c>
      <c r="AA220" s="316" t="str">
        <f t="shared" ca="1" si="111"/>
        <v/>
      </c>
      <c r="AC220" s="310" t="e">
        <f t="shared" ca="1" si="112"/>
        <v>#N/A</v>
      </c>
      <c r="AD220" s="323" t="e">
        <f t="shared" ca="1" si="113"/>
        <v>#N/A</v>
      </c>
      <c r="AE220" s="324" t="e">
        <f t="shared" ca="1" si="92"/>
        <v>#N/A</v>
      </c>
      <c r="AG220" s="306">
        <f t="shared" ca="1" si="114"/>
        <v>6.4475783284222281</v>
      </c>
      <c r="AH220" s="304">
        <f t="shared" ca="1" si="115"/>
        <v>-0.7456816151750445</v>
      </c>
    </row>
    <row r="221" spans="1:34" x14ac:dyDescent="0.2">
      <c r="A221" s="347">
        <f t="shared" ca="1" si="93"/>
        <v>0.1</v>
      </c>
      <c r="B221" s="304">
        <f t="shared" ca="1" si="94"/>
        <v>12.699999999999973</v>
      </c>
      <c r="D221" s="306">
        <f t="shared" ca="1" si="95"/>
        <v>-0.51679434408606384</v>
      </c>
      <c r="E221" s="307">
        <f t="shared" ca="1" si="96"/>
        <v>-9.2279820404682944</v>
      </c>
      <c r="F221" s="304">
        <f t="shared" ca="1" si="97"/>
        <v>9.2424417192257557</v>
      </c>
      <c r="G221" s="306">
        <f t="shared" ca="1" si="98"/>
        <v>20.467323327680695</v>
      </c>
      <c r="H221" s="307">
        <f t="shared" ca="1" si="99"/>
        <v>-24.031464651115805</v>
      </c>
      <c r="I221" s="304">
        <f t="shared" ca="1" si="100"/>
        <v>31.566162539619079</v>
      </c>
      <c r="J221" s="306">
        <f t="shared" ca="1" si="101"/>
        <v>456.64264722428555</v>
      </c>
      <c r="K221" s="307">
        <f t="shared" ca="1" si="102"/>
        <v>1160.0117522153046</v>
      </c>
      <c r="L221" s="304">
        <f t="shared" ca="1" si="87"/>
        <v>1246.6554345694822</v>
      </c>
      <c r="M221" s="306">
        <f t="shared" ca="1" si="103"/>
        <v>-0.86532278765821902</v>
      </c>
      <c r="N221" s="304">
        <f t="shared" ca="1" si="104"/>
        <v>-49.57934364931107</v>
      </c>
      <c r="P221" s="310">
        <f t="shared" ca="1" si="105"/>
        <v>23</v>
      </c>
      <c r="Q221" s="304">
        <f t="shared" ca="1" si="106"/>
        <v>0</v>
      </c>
      <c r="R221" s="306">
        <f t="shared" ca="1" si="107"/>
        <v>0</v>
      </c>
      <c r="S221" s="307">
        <f t="shared" ca="1" si="108"/>
        <v>4.341000000000002</v>
      </c>
      <c r="T221" s="304">
        <f t="shared" ca="1" si="88"/>
        <v>42.585210000000025</v>
      </c>
      <c r="U221" s="311">
        <f t="shared" ca="1" si="89"/>
        <v>0</v>
      </c>
      <c r="V221" s="306">
        <f t="shared" ca="1" si="90"/>
        <v>1.0906886949682362</v>
      </c>
      <c r="W221" s="304">
        <f t="shared" ca="1" si="91"/>
        <v>3.526036531786942</v>
      </c>
      <c r="Y221" s="314" t="str">
        <f t="shared" ca="1" si="109"/>
        <v/>
      </c>
      <c r="Z221" s="315" t="str">
        <f t="shared" ca="1" si="110"/>
        <v/>
      </c>
      <c r="AA221" s="316" t="str">
        <f t="shared" ca="1" si="111"/>
        <v/>
      </c>
      <c r="AC221" s="310" t="e">
        <f t="shared" ca="1" si="112"/>
        <v>#N/A</v>
      </c>
      <c r="AD221" s="323" t="e">
        <f t="shared" ca="1" si="113"/>
        <v>#N/A</v>
      </c>
      <c r="AE221" s="324" t="e">
        <f t="shared" ca="1" si="92"/>
        <v>#N/A</v>
      </c>
      <c r="AG221" s="306">
        <f t="shared" ca="1" si="114"/>
        <v>6.557212246682675</v>
      </c>
      <c r="AH221" s="304">
        <f t="shared" ca="1" si="115"/>
        <v>-0.77834523143448042</v>
      </c>
    </row>
    <row r="222" spans="1:34" x14ac:dyDescent="0.2">
      <c r="A222" s="347">
        <f t="shared" ca="1" si="93"/>
        <v>0.1</v>
      </c>
      <c r="B222" s="304">
        <f t="shared" ca="1" si="94"/>
        <v>12.799999999999972</v>
      </c>
      <c r="D222" s="306">
        <f t="shared" ca="1" si="95"/>
        <v>-0.52666721394954474</v>
      </c>
      <c r="E222" s="307">
        <f t="shared" ca="1" si="96"/>
        <v>-9.191619944518445</v>
      </c>
      <c r="F222" s="304">
        <f t="shared" ca="1" si="97"/>
        <v>9.206696234736901</v>
      </c>
      <c r="G222" s="306">
        <f t="shared" ca="1" si="98"/>
        <v>20.414656606285742</v>
      </c>
      <c r="H222" s="307">
        <f t="shared" ca="1" si="99"/>
        <v>-24.950626645567649</v>
      </c>
      <c r="I222" s="304">
        <f t="shared" ca="1" si="100"/>
        <v>32.238051652652281</v>
      </c>
      <c r="J222" s="306">
        <f t="shared" ca="1" si="101"/>
        <v>458.68674622098388</v>
      </c>
      <c r="K222" s="307">
        <f t="shared" ca="1" si="102"/>
        <v>1157.5626476504704</v>
      </c>
      <c r="L222" s="304">
        <f t="shared" ca="1" si="87"/>
        <v>1245.1284328913064</v>
      </c>
      <c r="M222" s="306">
        <f t="shared" ca="1" si="103"/>
        <v>-0.88505463126296502</v>
      </c>
      <c r="N222" s="304">
        <f t="shared" ca="1" si="104"/>
        <v>-50.709895009875218</v>
      </c>
      <c r="P222" s="310">
        <f t="shared" ca="1" si="105"/>
        <v>23</v>
      </c>
      <c r="Q222" s="304">
        <f t="shared" ca="1" si="106"/>
        <v>0</v>
      </c>
      <c r="R222" s="306">
        <f t="shared" ca="1" si="107"/>
        <v>0</v>
      </c>
      <c r="S222" s="307">
        <f t="shared" ca="1" si="108"/>
        <v>4.341000000000002</v>
      </c>
      <c r="T222" s="304">
        <f t="shared" ca="1" si="88"/>
        <v>42.585210000000025</v>
      </c>
      <c r="U222" s="311">
        <f t="shared" ca="1" si="89"/>
        <v>0</v>
      </c>
      <c r="V222" s="306">
        <f t="shared" ca="1" si="90"/>
        <v>1.0909567487061849</v>
      </c>
      <c r="W222" s="304">
        <f t="shared" ca="1" si="91"/>
        <v>3.6786420063868968</v>
      </c>
      <c r="Y222" s="314" t="str">
        <f t="shared" ca="1" si="109"/>
        <v/>
      </c>
      <c r="Z222" s="315" t="str">
        <f t="shared" ca="1" si="110"/>
        <v/>
      </c>
      <c r="AA222" s="316" t="str">
        <f t="shared" ca="1" si="111"/>
        <v/>
      </c>
      <c r="AC222" s="310" t="e">
        <f t="shared" ca="1" si="112"/>
        <v>#N/A</v>
      </c>
      <c r="AD222" s="323" t="e">
        <f t="shared" ca="1" si="113"/>
        <v>#N/A</v>
      </c>
      <c r="AE222" s="324" t="e">
        <f t="shared" ca="1" si="92"/>
        <v>#N/A</v>
      </c>
      <c r="AG222" s="306">
        <f t="shared" ca="1" si="114"/>
        <v>6.656134440335661</v>
      </c>
      <c r="AH222" s="304">
        <f t="shared" ca="1" si="115"/>
        <v>-0.81226365625131081</v>
      </c>
    </row>
    <row r="223" spans="1:34" x14ac:dyDescent="0.2">
      <c r="A223" s="347">
        <f t="shared" ca="1" si="93"/>
        <v>0.1</v>
      </c>
      <c r="B223" s="304">
        <f t="shared" ca="1" si="94"/>
        <v>12.899999999999972</v>
      </c>
      <c r="D223" s="306">
        <f t="shared" ca="1" si="95"/>
        <v>-0.53662516150446937</v>
      </c>
      <c r="E223" s="307">
        <f t="shared" ca="1" si="96"/>
        <v>-9.154141108442996</v>
      </c>
      <c r="F223" s="304">
        <f t="shared" ca="1" si="97"/>
        <v>9.1698563782234697</v>
      </c>
      <c r="G223" s="306">
        <f t="shared" ca="1" si="98"/>
        <v>20.360994090135296</v>
      </c>
      <c r="H223" s="307">
        <f t="shared" ca="1" si="99"/>
        <v>-25.866040756411948</v>
      </c>
      <c r="I223" s="304">
        <f t="shared" ca="1" si="100"/>
        <v>32.918416498229199</v>
      </c>
      <c r="J223" s="306">
        <f t="shared" ca="1" si="101"/>
        <v>460.72552875580493</v>
      </c>
      <c r="K223" s="307">
        <f t="shared" ca="1" si="102"/>
        <v>1155.0218142803715</v>
      </c>
      <c r="L223" s="304">
        <f t="shared" ca="1" si="87"/>
        <v>1243.5205685113683</v>
      </c>
      <c r="M223" s="306">
        <f t="shared" ca="1" si="103"/>
        <v>-0.90392711868758224</v>
      </c>
      <c r="N223" s="304">
        <f t="shared" ca="1" si="104"/>
        <v>-51.791208888219508</v>
      </c>
      <c r="P223" s="310">
        <f t="shared" ca="1" si="105"/>
        <v>23</v>
      </c>
      <c r="Q223" s="304">
        <f t="shared" ca="1" si="106"/>
        <v>0</v>
      </c>
      <c r="R223" s="306">
        <f t="shared" ca="1" si="107"/>
        <v>0</v>
      </c>
      <c r="S223" s="307">
        <f t="shared" ca="1" si="108"/>
        <v>4.341000000000002</v>
      </c>
      <c r="T223" s="304">
        <f t="shared" ca="1" si="88"/>
        <v>42.585210000000025</v>
      </c>
      <c r="U223" s="311">
        <f t="shared" ca="1" si="89"/>
        <v>0</v>
      </c>
      <c r="V223" s="306">
        <f t="shared" ca="1" si="90"/>
        <v>1.0912349077287788</v>
      </c>
      <c r="W223" s="304">
        <f t="shared" ca="1" si="91"/>
        <v>3.836529490442226</v>
      </c>
      <c r="Y223" s="314" t="str">
        <f t="shared" ca="1" si="109"/>
        <v/>
      </c>
      <c r="Z223" s="315" t="str">
        <f t="shared" ca="1" si="110"/>
        <v/>
      </c>
      <c r="AA223" s="316" t="str">
        <f t="shared" ca="1" si="111"/>
        <v/>
      </c>
      <c r="AC223" s="310" t="e">
        <f t="shared" ca="1" si="112"/>
        <v>#N/A</v>
      </c>
      <c r="AD223" s="323" t="e">
        <f t="shared" ca="1" si="113"/>
        <v>#N/A</v>
      </c>
      <c r="AE223" s="324" t="e">
        <f t="shared" ca="1" si="92"/>
        <v>#N/A</v>
      </c>
      <c r="AG223" s="306">
        <f t="shared" ca="1" si="114"/>
        <v>6.7450273050638243</v>
      </c>
      <c r="AH223" s="304">
        <f t="shared" ca="1" si="115"/>
        <v>-0.84741810789838634</v>
      </c>
    </row>
    <row r="224" spans="1:34" x14ac:dyDescent="0.2">
      <c r="A224" s="347">
        <f t="shared" ca="1" si="93"/>
        <v>0.1</v>
      </c>
      <c r="B224" s="304">
        <f t="shared" ca="1" si="94"/>
        <v>12.999999999999972</v>
      </c>
      <c r="D224" s="306">
        <f t="shared" ca="1" si="95"/>
        <v>-0.54664930094144926</v>
      </c>
      <c r="E224" s="307">
        <f t="shared" ca="1" si="96"/>
        <v>-9.1155519276209525</v>
      </c>
      <c r="F224" s="304">
        <f t="shared" ca="1" si="97"/>
        <v>9.131928186498941</v>
      </c>
      <c r="G224" s="306">
        <f t="shared" ca="1" si="98"/>
        <v>20.306329160041152</v>
      </c>
      <c r="H224" s="307">
        <f t="shared" ca="1" si="99"/>
        <v>-26.777595949174042</v>
      </c>
      <c r="I224" s="304">
        <f t="shared" ca="1" si="100"/>
        <v>33.606348340353193</v>
      </c>
      <c r="J224" s="306">
        <f t="shared" ca="1" si="101"/>
        <v>462.75889491831373</v>
      </c>
      <c r="K224" s="307">
        <f t="shared" ca="1" si="102"/>
        <v>1152.3896324450923</v>
      </c>
      <c r="L224" s="304">
        <f t="shared" ca="1" si="87"/>
        <v>1241.8323799100076</v>
      </c>
      <c r="M224" s="306">
        <f t="shared" ca="1" si="103"/>
        <v>-0.92198352521906501</v>
      </c>
      <c r="N224" s="304">
        <f t="shared" ca="1" si="104"/>
        <v>-52.825764775645922</v>
      </c>
      <c r="P224" s="310">
        <f t="shared" ca="1" si="105"/>
        <v>23</v>
      </c>
      <c r="Q224" s="304">
        <f t="shared" ca="1" si="106"/>
        <v>0</v>
      </c>
      <c r="R224" s="306">
        <f t="shared" ca="1" si="107"/>
        <v>0</v>
      </c>
      <c r="S224" s="307">
        <f t="shared" ca="1" si="108"/>
        <v>4.341000000000002</v>
      </c>
      <c r="T224" s="304">
        <f t="shared" ca="1" si="88"/>
        <v>42.585210000000025</v>
      </c>
      <c r="U224" s="311">
        <f t="shared" ca="1" si="89"/>
        <v>0</v>
      </c>
      <c r="V224" s="306">
        <f t="shared" ca="1" si="90"/>
        <v>1.091523137643049</v>
      </c>
      <c r="W224" s="304">
        <f t="shared" ca="1" si="91"/>
        <v>3.9996133972951919</v>
      </c>
      <c r="Y224" s="314" t="str">
        <f t="shared" ca="1" si="109"/>
        <v/>
      </c>
      <c r="Z224" s="315" t="str">
        <f t="shared" ca="1" si="110"/>
        <v/>
      </c>
      <c r="AA224" s="316" t="str">
        <f t="shared" ca="1" si="111"/>
        <v/>
      </c>
      <c r="AC224" s="310">
        <f t="shared" ca="1" si="112"/>
        <v>12.999999999999972</v>
      </c>
      <c r="AD224" s="323">
        <f t="shared" ca="1" si="113"/>
        <v>462.75889491831373</v>
      </c>
      <c r="AE224" s="324" t="e">
        <f t="shared" ca="1" si="92"/>
        <v>#N/A</v>
      </c>
      <c r="AG224" s="306">
        <f t="shared" ca="1" si="114"/>
        <v>6.8245358795819522</v>
      </c>
      <c r="AH224" s="304">
        <f t="shared" ca="1" si="115"/>
        <v>-0.88378933205303489</v>
      </c>
    </row>
    <row r="225" spans="1:34" x14ac:dyDescent="0.2">
      <c r="A225" s="347">
        <f t="shared" ca="1" si="93"/>
        <v>0.1</v>
      </c>
      <c r="B225" s="304">
        <f t="shared" ca="1" si="94"/>
        <v>13.099999999999971</v>
      </c>
      <c r="D225" s="306">
        <f t="shared" ca="1" si="95"/>
        <v>-0.55672192559436684</v>
      </c>
      <c r="E225" s="307">
        <f t="shared" ca="1" si="96"/>
        <v>-9.0758606751560276</v>
      </c>
      <c r="F225" s="304">
        <f t="shared" ca="1" si="97"/>
        <v>9.0929195694936791</v>
      </c>
      <c r="G225" s="306">
        <f t="shared" ca="1" si="98"/>
        <v>20.250656967481714</v>
      </c>
      <c r="H225" s="307">
        <f t="shared" ca="1" si="99"/>
        <v>-27.685182016689645</v>
      </c>
      <c r="I225" s="304">
        <f t="shared" ca="1" si="100"/>
        <v>34.300997229116405</v>
      </c>
      <c r="J225" s="306">
        <f t="shared" ca="1" si="101"/>
        <v>464.78674422468987</v>
      </c>
      <c r="K225" s="307">
        <f t="shared" ca="1" si="102"/>
        <v>1149.6664935467991</v>
      </c>
      <c r="L225" s="304">
        <f t="shared" ca="1" si="87"/>
        <v>1240.0644192908608</v>
      </c>
      <c r="M225" s="306">
        <f t="shared" ca="1" si="103"/>
        <v>-0.93926552425102727</v>
      </c>
      <c r="N225" s="304">
        <f t="shared" ca="1" si="104"/>
        <v>-53.815950381726537</v>
      </c>
      <c r="P225" s="310">
        <f t="shared" ca="1" si="105"/>
        <v>23</v>
      </c>
      <c r="Q225" s="304">
        <f t="shared" ca="1" si="106"/>
        <v>0</v>
      </c>
      <c r="R225" s="306">
        <f t="shared" ca="1" si="107"/>
        <v>0</v>
      </c>
      <c r="S225" s="307">
        <f t="shared" ca="1" si="108"/>
        <v>4.341000000000002</v>
      </c>
      <c r="T225" s="304">
        <f t="shared" ca="1" si="88"/>
        <v>42.585210000000025</v>
      </c>
      <c r="U225" s="311">
        <f t="shared" ca="1" si="89"/>
        <v>0</v>
      </c>
      <c r="V225" s="306">
        <f t="shared" ca="1" si="90"/>
        <v>1.09182140306803</v>
      </c>
      <c r="W225" s="304">
        <f t="shared" ca="1" si="91"/>
        <v>4.1678061903363259</v>
      </c>
      <c r="Y225" s="314" t="str">
        <f t="shared" ca="1" si="109"/>
        <v/>
      </c>
      <c r="Z225" s="315" t="str">
        <f t="shared" ca="1" si="110"/>
        <v/>
      </c>
      <c r="AA225" s="316" t="str">
        <f t="shared" ca="1" si="111"/>
        <v/>
      </c>
      <c r="AC225" s="310" t="e">
        <f t="shared" ca="1" si="112"/>
        <v>#N/A</v>
      </c>
      <c r="AD225" s="323" t="e">
        <f t="shared" ca="1" si="113"/>
        <v>#N/A</v>
      </c>
      <c r="AE225" s="324" t="e">
        <f t="shared" ca="1" si="92"/>
        <v>#N/A</v>
      </c>
      <c r="AG225" s="306">
        <f t="shared" ca="1" si="114"/>
        <v>6.8952671986783187</v>
      </c>
      <c r="AH225" s="304">
        <f t="shared" ca="1" si="115"/>
        <v>-0.92135761283003692</v>
      </c>
    </row>
    <row r="226" spans="1:34" x14ac:dyDescent="0.2">
      <c r="A226" s="347">
        <f t="shared" ca="1" si="93"/>
        <v>0.1</v>
      </c>
      <c r="B226" s="304">
        <f t="shared" ca="1" si="94"/>
        <v>13.199999999999971</v>
      </c>
      <c r="D226" s="306">
        <f t="shared" ca="1" si="95"/>
        <v>-0.56682644022644657</v>
      </c>
      <c r="E226" s="307">
        <f t="shared" ca="1" si="96"/>
        <v>-9.0350773298495657</v>
      </c>
      <c r="F226" s="304">
        <f t="shared" ca="1" si="97"/>
        <v>9.0528401383047381</v>
      </c>
      <c r="G226" s="306">
        <f t="shared" ca="1" si="98"/>
        <v>20.19397432345907</v>
      </c>
      <c r="H226" s="307">
        <f t="shared" ca="1" si="99"/>
        <v>-28.5886897496746</v>
      </c>
      <c r="I226" s="304">
        <f t="shared" ca="1" si="100"/>
        <v>35.001568258860544</v>
      </c>
      <c r="J226" s="306">
        <f t="shared" ca="1" si="101"/>
        <v>466.80897578923691</v>
      </c>
      <c r="K226" s="307">
        <f t="shared" ca="1" si="102"/>
        <v>1146.8527999584808</v>
      </c>
      <c r="L226" s="304">
        <f t="shared" ca="1" si="87"/>
        <v>1238.2172526055367</v>
      </c>
      <c r="M226" s="306">
        <f t="shared" ca="1" si="103"/>
        <v>-0.95581307396591597</v>
      </c>
      <c r="N226" s="304">
        <f t="shared" ca="1" si="104"/>
        <v>-54.764055141672564</v>
      </c>
      <c r="P226" s="310">
        <f t="shared" ca="1" si="105"/>
        <v>23</v>
      </c>
      <c r="Q226" s="304">
        <f t="shared" ca="1" si="106"/>
        <v>0</v>
      </c>
      <c r="R226" s="306">
        <f t="shared" ca="1" si="107"/>
        <v>0</v>
      </c>
      <c r="S226" s="307">
        <f t="shared" ca="1" si="108"/>
        <v>4.341000000000002</v>
      </c>
      <c r="T226" s="304">
        <f t="shared" ca="1" si="88"/>
        <v>42.585210000000025</v>
      </c>
      <c r="U226" s="311">
        <f t="shared" ca="1" si="89"/>
        <v>0</v>
      </c>
      <c r="V226" s="306">
        <f t="shared" ca="1" si="90"/>
        <v>1.0921296676400098</v>
      </c>
      <c r="W226" s="304">
        <f t="shared" ca="1" si="91"/>
        <v>4.3410184419000757</v>
      </c>
      <c r="Y226" s="314" t="str">
        <f t="shared" ca="1" si="109"/>
        <v/>
      </c>
      <c r="Z226" s="315" t="str">
        <f t="shared" ca="1" si="110"/>
        <v/>
      </c>
      <c r="AA226" s="316" t="str">
        <f t="shared" ca="1" si="111"/>
        <v/>
      </c>
      <c r="AC226" s="310" t="e">
        <f t="shared" ca="1" si="112"/>
        <v>#N/A</v>
      </c>
      <c r="AD226" s="323" t="e">
        <f t="shared" ca="1" si="113"/>
        <v>#N/A</v>
      </c>
      <c r="AE226" s="324" t="e">
        <f t="shared" ca="1" si="92"/>
        <v>#N/A</v>
      </c>
      <c r="AG226" s="306">
        <f t="shared" ca="1" si="114"/>
        <v>6.9577904985234982</v>
      </c>
      <c r="AH226" s="304">
        <f t="shared" ca="1" si="115"/>
        <v>-0.96010278515004011</v>
      </c>
    </row>
    <row r="227" spans="1:34" x14ac:dyDescent="0.2">
      <c r="A227" s="347">
        <f t="shared" ca="1" si="93"/>
        <v>0.1</v>
      </c>
      <c r="B227" s="304">
        <f t="shared" ca="1" si="94"/>
        <v>13.299999999999971</v>
      </c>
      <c r="D227" s="306">
        <f t="shared" ca="1" si="95"/>
        <v>-0.57694729459862493</v>
      </c>
      <c r="E227" s="307">
        <f t="shared" ca="1" si="96"/>
        <v>-8.9932134208453895</v>
      </c>
      <c r="F227" s="304">
        <f t="shared" ca="1" si="97"/>
        <v>9.0117010499471348</v>
      </c>
      <c r="G227" s="306">
        <f t="shared" ca="1" si="98"/>
        <v>20.136279593999209</v>
      </c>
      <c r="H227" s="307">
        <f t="shared" ca="1" si="99"/>
        <v>-29.488011091759141</v>
      </c>
      <c r="I227" s="304">
        <f t="shared" ca="1" si="100"/>
        <v>35.707317933939244</v>
      </c>
      <c r="J227" s="306">
        <f t="shared" ca="1" si="101"/>
        <v>468.82548848510982</v>
      </c>
      <c r="K227" s="307">
        <f t="shared" ca="1" si="102"/>
        <v>1143.9489649164091</v>
      </c>
      <c r="L227" s="304">
        <f t="shared" ca="1" si="87"/>
        <v>1236.2914595622772</v>
      </c>
      <c r="M227" s="306">
        <f t="shared" ca="1" si="103"/>
        <v>-0.97166435114761263</v>
      </c>
      <c r="N227" s="304">
        <f t="shared" ca="1" si="104"/>
        <v>-55.672266424075815</v>
      </c>
      <c r="P227" s="310">
        <f t="shared" ca="1" si="105"/>
        <v>23</v>
      </c>
      <c r="Q227" s="304">
        <f t="shared" ca="1" si="106"/>
        <v>0</v>
      </c>
      <c r="R227" s="306">
        <f t="shared" ca="1" si="107"/>
        <v>0</v>
      </c>
      <c r="S227" s="307">
        <f t="shared" ca="1" si="108"/>
        <v>4.341000000000002</v>
      </c>
      <c r="T227" s="304">
        <f t="shared" ca="1" si="88"/>
        <v>42.585210000000025</v>
      </c>
      <c r="U227" s="311">
        <f t="shared" ca="1" si="89"/>
        <v>0</v>
      </c>
      <c r="V227" s="306">
        <f t="shared" ca="1" si="90"/>
        <v>1.0924478940194375</v>
      </c>
      <c r="W227" s="304">
        <f t="shared" ca="1" si="91"/>
        <v>4.5191588968198966</v>
      </c>
      <c r="Y227" s="314" t="str">
        <f t="shared" ca="1" si="109"/>
        <v/>
      </c>
      <c r="Z227" s="315" t="str">
        <f t="shared" ca="1" si="110"/>
        <v/>
      </c>
      <c r="AA227" s="316" t="str">
        <f t="shared" ca="1" si="111"/>
        <v/>
      </c>
      <c r="AC227" s="310" t="e">
        <f t="shared" ca="1" si="112"/>
        <v>#N/A</v>
      </c>
      <c r="AD227" s="323" t="e">
        <f t="shared" ca="1" si="113"/>
        <v>#N/A</v>
      </c>
      <c r="AE227" s="324" t="e">
        <f t="shared" ca="1" si="92"/>
        <v>#N/A</v>
      </c>
      <c r="AG227" s="306">
        <f t="shared" ca="1" si="114"/>
        <v>7.012638053036639</v>
      </c>
      <c r="AH227" s="304">
        <f t="shared" ca="1" si="115"/>
        <v>-1.0000042483068587</v>
      </c>
    </row>
    <row r="228" spans="1:34" x14ac:dyDescent="0.2">
      <c r="A228" s="347">
        <f t="shared" ca="1" si="93"/>
        <v>0.1</v>
      </c>
      <c r="B228" s="304">
        <f t="shared" ca="1" si="94"/>
        <v>13.39999999999997</v>
      </c>
      <c r="D228" s="306">
        <f t="shared" ca="1" si="95"/>
        <v>-0.58706991920028018</v>
      </c>
      <c r="E228" s="307">
        <f t="shared" ca="1" si="96"/>
        <v>-8.9502818873167129</v>
      </c>
      <c r="F228" s="304">
        <f t="shared" ca="1" si="97"/>
        <v>8.9695148671742242</v>
      </c>
      <c r="G228" s="306">
        <f t="shared" ca="1" si="98"/>
        <v>20.077572602079179</v>
      </c>
      <c r="H228" s="307">
        <f t="shared" ca="1" si="99"/>
        <v>-30.383039280490813</v>
      </c>
      <c r="I228" s="304">
        <f t="shared" ca="1" si="100"/>
        <v>36.417550679742426</v>
      </c>
      <c r="J228" s="306">
        <f t="shared" ca="1" si="101"/>
        <v>470.83618109491374</v>
      </c>
      <c r="K228" s="307">
        <f t="shared" ca="1" si="102"/>
        <v>1140.9554123977966</v>
      </c>
      <c r="L228" s="304">
        <f t="shared" ca="1" si="87"/>
        <v>1234.2876336202469</v>
      </c>
      <c r="M228" s="306">
        <f t="shared" ca="1" si="103"/>
        <v>-0.98685572252225084</v>
      </c>
      <c r="N228" s="304">
        <f t="shared" ca="1" si="104"/>
        <v>-56.542667888858432</v>
      </c>
      <c r="P228" s="310">
        <f t="shared" ca="1" si="105"/>
        <v>23</v>
      </c>
      <c r="Q228" s="304">
        <f t="shared" ca="1" si="106"/>
        <v>0</v>
      </c>
      <c r="R228" s="306">
        <f t="shared" ca="1" si="107"/>
        <v>0</v>
      </c>
      <c r="S228" s="307">
        <f t="shared" ca="1" si="108"/>
        <v>4.341000000000002</v>
      </c>
      <c r="T228" s="304">
        <f t="shared" ca="1" si="88"/>
        <v>42.585210000000025</v>
      </c>
      <c r="U228" s="311">
        <f t="shared" ca="1" si="89"/>
        <v>0</v>
      </c>
      <c r="V228" s="306">
        <f t="shared" ca="1" si="90"/>
        <v>1.0927760438993539</v>
      </c>
      <c r="W228" s="304">
        <f t="shared" ca="1" si="91"/>
        <v>4.7021345401419001</v>
      </c>
      <c r="Y228" s="314" t="str">
        <f t="shared" ca="1" si="109"/>
        <v/>
      </c>
      <c r="Z228" s="315" t="str">
        <f t="shared" ca="1" si="110"/>
        <v/>
      </c>
      <c r="AA228" s="316" t="str">
        <f t="shared" ca="1" si="111"/>
        <v/>
      </c>
      <c r="AC228" s="310" t="e">
        <f t="shared" ca="1" si="112"/>
        <v>#N/A</v>
      </c>
      <c r="AD228" s="323" t="e">
        <f t="shared" ca="1" si="113"/>
        <v>#N/A</v>
      </c>
      <c r="AE228" s="324" t="e">
        <f t="shared" ca="1" si="92"/>
        <v>#N/A</v>
      </c>
      <c r="AG228" s="306">
        <f t="shared" ca="1" si="114"/>
        <v>7.0603064615419182</v>
      </c>
      <c r="AH228" s="304">
        <f t="shared" ca="1" si="115"/>
        <v>-1.0410409806081304</v>
      </c>
    </row>
    <row r="229" spans="1:34" x14ac:dyDescent="0.2">
      <c r="A229" s="347">
        <f t="shared" ca="1" si="93"/>
        <v>0.1</v>
      </c>
      <c r="B229" s="304">
        <f t="shared" ca="1" si="94"/>
        <v>13.49999999999997</v>
      </c>
      <c r="D229" s="306">
        <f t="shared" ca="1" si="95"/>
        <v>-0.59718066374644641</v>
      </c>
      <c r="E229" s="307">
        <f t="shared" ca="1" si="96"/>
        <v>-8.9062969516405133</v>
      </c>
      <c r="F229" s="304">
        <f t="shared" ca="1" si="97"/>
        <v>8.9262954318100931</v>
      </c>
      <c r="G229" s="306">
        <f t="shared" ca="1" si="98"/>
        <v>20.017854535704533</v>
      </c>
      <c r="H229" s="307">
        <f t="shared" ca="1" si="99"/>
        <v>-31.273668975654864</v>
      </c>
      <c r="I229" s="304">
        <f t="shared" ca="1" si="100"/>
        <v>37.131615523856006</v>
      </c>
      <c r="J229" s="306">
        <f t="shared" ca="1" si="101"/>
        <v>472.84095245180293</v>
      </c>
      <c r="K229" s="307">
        <f t="shared" ca="1" si="102"/>
        <v>1137.8725769849893</v>
      </c>
      <c r="L229" s="304">
        <f t="shared" ca="1" si="87"/>
        <v>1232.2063819709704</v>
      </c>
      <c r="M229" s="306">
        <f t="shared" ca="1" si="103"/>
        <v>-1.00142174552987</v>
      </c>
      <c r="N229" s="304">
        <f t="shared" ca="1" si="104"/>
        <v>-57.377239531485465</v>
      </c>
      <c r="P229" s="310">
        <f t="shared" ca="1" si="105"/>
        <v>23</v>
      </c>
      <c r="Q229" s="304">
        <f t="shared" ca="1" si="106"/>
        <v>0</v>
      </c>
      <c r="R229" s="306">
        <f t="shared" ca="1" si="107"/>
        <v>0</v>
      </c>
      <c r="S229" s="307">
        <f t="shared" ca="1" si="108"/>
        <v>4.341000000000002</v>
      </c>
      <c r="T229" s="304">
        <f t="shared" ca="1" si="88"/>
        <v>42.585210000000025</v>
      </c>
      <c r="U229" s="311">
        <f t="shared" ca="1" si="89"/>
        <v>0</v>
      </c>
      <c r="V229" s="306">
        <f t="shared" ca="1" si="90"/>
        <v>1.0931140780151842</v>
      </c>
      <c r="W229" s="304">
        <f t="shared" ca="1" si="91"/>
        <v>4.8898506685353818</v>
      </c>
      <c r="Y229" s="314" t="str">
        <f t="shared" ca="1" si="109"/>
        <v/>
      </c>
      <c r="Z229" s="315" t="str">
        <f t="shared" ca="1" si="110"/>
        <v/>
      </c>
      <c r="AA229" s="316" t="str">
        <f t="shared" ca="1" si="111"/>
        <v/>
      </c>
      <c r="AC229" s="310" t="e">
        <f t="shared" ca="1" si="112"/>
        <v>#N/A</v>
      </c>
      <c r="AD229" s="323" t="e">
        <f t="shared" ca="1" si="113"/>
        <v>#N/A</v>
      </c>
      <c r="AE229" s="324" t="e">
        <f t="shared" ca="1" si="92"/>
        <v>#N/A</v>
      </c>
      <c r="AG229" s="306">
        <f t="shared" ca="1" si="114"/>
        <v>7.1012582440459528</v>
      </c>
      <c r="AH229" s="304">
        <f t="shared" ca="1" si="115"/>
        <v>-1.0831915549739457</v>
      </c>
    </row>
    <row r="230" spans="1:34" x14ac:dyDescent="0.2">
      <c r="A230" s="347">
        <f t="shared" ca="1" si="93"/>
        <v>0.1</v>
      </c>
      <c r="B230" s="304">
        <f t="shared" ca="1" si="94"/>
        <v>13.599999999999969</v>
      </c>
      <c r="D230" s="306">
        <f t="shared" ca="1" si="95"/>
        <v>-0.60726673882802407</v>
      </c>
      <c r="E230" s="307">
        <f t="shared" ca="1" si="96"/>
        <v>-8.8612740046062761</v>
      </c>
      <c r="F230" s="304">
        <f t="shared" ca="1" si="97"/>
        <v>8.8820577501386335</v>
      </c>
      <c r="G230" s="306">
        <f t="shared" ca="1" si="98"/>
        <v>19.957127861821732</v>
      </c>
      <c r="H230" s="307">
        <f t="shared" ca="1" si="99"/>
        <v>-32.159796376115494</v>
      </c>
      <c r="I230" s="304">
        <f t="shared" ca="1" si="100"/>
        <v>37.848902962256545</v>
      </c>
      <c r="J230" s="306">
        <f t="shared" ca="1" si="101"/>
        <v>474.83970157167926</v>
      </c>
      <c r="K230" s="307">
        <f t="shared" ca="1" si="102"/>
        <v>1134.7009037174007</v>
      </c>
      <c r="L230" s="304">
        <f t="shared" ca="1" si="87"/>
        <v>1230.0483255082977</v>
      </c>
      <c r="M230" s="306">
        <f t="shared" ca="1" si="103"/>
        <v>-1.015395191776282</v>
      </c>
      <c r="N230" s="304">
        <f t="shared" ca="1" si="104"/>
        <v>-58.177859026657792</v>
      </c>
      <c r="P230" s="310">
        <f t="shared" ca="1" si="105"/>
        <v>23</v>
      </c>
      <c r="Q230" s="304">
        <f t="shared" ca="1" si="106"/>
        <v>0</v>
      </c>
      <c r="R230" s="306">
        <f t="shared" ca="1" si="107"/>
        <v>0</v>
      </c>
      <c r="S230" s="307">
        <f t="shared" ca="1" si="108"/>
        <v>4.341000000000002</v>
      </c>
      <c r="T230" s="304">
        <f t="shared" ca="1" si="88"/>
        <v>42.585210000000025</v>
      </c>
      <c r="U230" s="311">
        <f t="shared" ca="1" si="89"/>
        <v>0</v>
      </c>
      <c r="V230" s="306">
        <f t="shared" ca="1" si="90"/>
        <v>1.0934619561557812</v>
      </c>
      <c r="W230" s="304">
        <f t="shared" ca="1" si="91"/>
        <v>5.0822109649744114</v>
      </c>
      <c r="Y230" s="314" t="str">
        <f t="shared" ca="1" si="109"/>
        <v/>
      </c>
      <c r="Z230" s="315" t="str">
        <f t="shared" ca="1" si="110"/>
        <v/>
      </c>
      <c r="AA230" s="316" t="str">
        <f t="shared" ca="1" si="111"/>
        <v/>
      </c>
      <c r="AC230" s="310" t="e">
        <f t="shared" ca="1" si="112"/>
        <v>#N/A</v>
      </c>
      <c r="AD230" s="323" t="e">
        <f t="shared" ca="1" si="113"/>
        <v>#N/A</v>
      </c>
      <c r="AE230" s="324" t="e">
        <f t="shared" ca="1" si="92"/>
        <v>#N/A</v>
      </c>
      <c r="AG230" s="306">
        <f t="shared" ca="1" si="114"/>
        <v>7.1359236311753413</v>
      </c>
      <c r="AH230" s="304">
        <f t="shared" ca="1" si="115"/>
        <v>-1.1264341553870951</v>
      </c>
    </row>
    <row r="231" spans="1:34" x14ac:dyDescent="0.2">
      <c r="A231" s="347">
        <f t="shared" ca="1" si="93"/>
        <v>0.1</v>
      </c>
      <c r="B231" s="304">
        <f t="shared" ca="1" si="94"/>
        <v>13.699999999999969</v>
      </c>
      <c r="D231" s="306">
        <f t="shared" ca="1" si="95"/>
        <v>-0.61731616093292607</v>
      </c>
      <c r="E231" s="307">
        <f t="shared" ca="1" si="96"/>
        <v>-8.8152295013218378</v>
      </c>
      <c r="F231" s="304">
        <f t="shared" ca="1" si="97"/>
        <v>8.8368178890098115</v>
      </c>
      <c r="G231" s="306">
        <f t="shared" ca="1" si="98"/>
        <v>19.895396245728438</v>
      </c>
      <c r="H231" s="307">
        <f t="shared" ca="1" si="99"/>
        <v>-33.041319326247681</v>
      </c>
      <c r="I231" s="304">
        <f t="shared" ca="1" si="100"/>
        <v>38.5688420177948</v>
      </c>
      <c r="J231" s="306">
        <f t="shared" ca="1" si="101"/>
        <v>476.83232777705678</v>
      </c>
      <c r="K231" s="307">
        <f t="shared" ca="1" si="102"/>
        <v>1131.4408479322826</v>
      </c>
      <c r="L231" s="304">
        <f t="shared" ca="1" si="87"/>
        <v>1227.8140987881713</v>
      </c>
      <c r="M231" s="306">
        <f t="shared" ca="1" si="103"/>
        <v>-1.0288070875957755</v>
      </c>
      <c r="N231" s="304">
        <f t="shared" ca="1" si="104"/>
        <v>-58.94630405238393</v>
      </c>
      <c r="P231" s="310">
        <f t="shared" ca="1" si="105"/>
        <v>23</v>
      </c>
      <c r="Q231" s="304">
        <f t="shared" ca="1" si="106"/>
        <v>0</v>
      </c>
      <c r="R231" s="306">
        <f t="shared" ca="1" si="107"/>
        <v>0</v>
      </c>
      <c r="S231" s="307">
        <f t="shared" ca="1" si="108"/>
        <v>4.341000000000002</v>
      </c>
      <c r="T231" s="304">
        <f t="shared" ca="1" si="88"/>
        <v>42.585210000000025</v>
      </c>
      <c r="U231" s="311">
        <f t="shared" ca="1" si="89"/>
        <v>0</v>
      </c>
      <c r="V231" s="306">
        <f t="shared" ca="1" si="90"/>
        <v>1.0938196371756008</v>
      </c>
      <c r="W231" s="304">
        <f t="shared" ca="1" si="91"/>
        <v>5.2791175762965405</v>
      </c>
      <c r="Y231" s="314" t="str">
        <f t="shared" ca="1" si="109"/>
        <v/>
      </c>
      <c r="Z231" s="315" t="str">
        <f t="shared" ca="1" si="110"/>
        <v/>
      </c>
      <c r="AA231" s="316" t="str">
        <f t="shared" ca="1" si="111"/>
        <v/>
      </c>
      <c r="AC231" s="310" t="e">
        <f t="shared" ca="1" si="112"/>
        <v>#N/A</v>
      </c>
      <c r="AD231" s="323" t="e">
        <f t="shared" ca="1" si="113"/>
        <v>#N/A</v>
      </c>
      <c r="AE231" s="324" t="e">
        <f t="shared" ca="1" si="92"/>
        <v>#N/A</v>
      </c>
      <c r="AG231" s="306">
        <f t="shared" ca="1" si="114"/>
        <v>7.1647024614359296</v>
      </c>
      <c r="AH231" s="304">
        <f t="shared" ca="1" si="115"/>
        <v>-1.1707465940968462</v>
      </c>
    </row>
    <row r="232" spans="1:34" x14ac:dyDescent="0.2">
      <c r="A232" s="347">
        <f t="shared" ca="1" si="93"/>
        <v>0.1</v>
      </c>
      <c r="B232" s="304">
        <f t="shared" ca="1" si="94"/>
        <v>13.799999999999969</v>
      </c>
      <c r="D232" s="306">
        <f t="shared" ca="1" si="95"/>
        <v>-0.62731770092784578</v>
      </c>
      <c r="E232" s="307">
        <f t="shared" ca="1" si="96"/>
        <v>-8.768180866600499</v>
      </c>
      <c r="F232" s="304">
        <f t="shared" ca="1" si="97"/>
        <v>8.7905928814452832</v>
      </c>
      <c r="G232" s="306">
        <f t="shared" ca="1" si="98"/>
        <v>19.832664475635653</v>
      </c>
      <c r="H232" s="307">
        <f t="shared" ca="1" si="99"/>
        <v>-33.918137412907733</v>
      </c>
      <c r="I232" s="304">
        <f t="shared" ca="1" si="100"/>
        <v>39.290897492473135</v>
      </c>
      <c r="J232" s="306">
        <f t="shared" ca="1" si="101"/>
        <v>478.818730813125</v>
      </c>
      <c r="K232" s="307">
        <f t="shared" ca="1" si="102"/>
        <v>1128.0928750953249</v>
      </c>
      <c r="L232" s="304">
        <f t="shared" ca="1" si="87"/>
        <v>1225.5043499793578</v>
      </c>
      <c r="M232" s="306">
        <f t="shared" ca="1" si="103"/>
        <v>-1.04168676717481</v>
      </c>
      <c r="N232" s="304">
        <f t="shared" ca="1" si="104"/>
        <v>-59.684255333743437</v>
      </c>
      <c r="P232" s="310">
        <f t="shared" ca="1" si="105"/>
        <v>23</v>
      </c>
      <c r="Q232" s="304">
        <f t="shared" ca="1" si="106"/>
        <v>0</v>
      </c>
      <c r="R232" s="306">
        <f t="shared" ca="1" si="107"/>
        <v>0</v>
      </c>
      <c r="S232" s="307">
        <f t="shared" ca="1" si="108"/>
        <v>4.341000000000002</v>
      </c>
      <c r="T232" s="304">
        <f t="shared" ca="1" si="88"/>
        <v>42.585210000000025</v>
      </c>
      <c r="U232" s="311">
        <f t="shared" ca="1" si="89"/>
        <v>0</v>
      </c>
      <c r="V232" s="306">
        <f t="shared" ca="1" si="90"/>
        <v>1.0941870790079025</v>
      </c>
      <c r="W232" s="304">
        <f t="shared" ca="1" si="91"/>
        <v>5.4804711932733401</v>
      </c>
      <c r="Y232" s="314" t="str">
        <f t="shared" ca="1" si="109"/>
        <v/>
      </c>
      <c r="Z232" s="315" t="str">
        <f t="shared" ca="1" si="110"/>
        <v/>
      </c>
      <c r="AA232" s="316" t="str">
        <f t="shared" ca="1" si="111"/>
        <v/>
      </c>
      <c r="AC232" s="310" t="e">
        <f t="shared" ca="1" si="112"/>
        <v>#N/A</v>
      </c>
      <c r="AD232" s="323" t="e">
        <f t="shared" ca="1" si="113"/>
        <v>#N/A</v>
      </c>
      <c r="AE232" s="324" t="e">
        <f t="shared" ca="1" si="92"/>
        <v>#N/A</v>
      </c>
      <c r="AG232" s="306">
        <f t="shared" ca="1" si="114"/>
        <v>7.1879661194861635</v>
      </c>
      <c r="AH232" s="304">
        <f t="shared" ca="1" si="115"/>
        <v>-1.2161063294854959</v>
      </c>
    </row>
    <row r="233" spans="1:34" x14ac:dyDescent="0.2">
      <c r="A233" s="347">
        <f t="shared" ca="1" si="93"/>
        <v>0.1</v>
      </c>
      <c r="B233" s="304">
        <f t="shared" ca="1" si="94"/>
        <v>13.899999999999968</v>
      </c>
      <c r="D233" s="306">
        <f t="shared" ca="1" si="95"/>
        <v>-0.63726083599481487</v>
      </c>
      <c r="E233" s="307">
        <f t="shared" ca="1" si="96"/>
        <v>-8.7201464087344309</v>
      </c>
      <c r="F233" s="304">
        <f t="shared" ca="1" si="97"/>
        <v>8.7434006406464526</v>
      </c>
      <c r="G233" s="306">
        <f t="shared" ca="1" si="98"/>
        <v>19.768938392036173</v>
      </c>
      <c r="H233" s="307">
        <f t="shared" ca="1" si="99"/>
        <v>-34.790152053781178</v>
      </c>
      <c r="I233" s="304">
        <f t="shared" ca="1" si="100"/>
        <v>40.014567410798485</v>
      </c>
      <c r="J233" s="306">
        <f t="shared" ca="1" si="101"/>
        <v>480.79881095650859</v>
      </c>
      <c r="K233" s="307">
        <f t="shared" ca="1" si="102"/>
        <v>1124.6574606219904</v>
      </c>
      <c r="L233" s="304">
        <f t="shared" ca="1" si="87"/>
        <v>1223.1197408062287</v>
      </c>
      <c r="M233" s="306">
        <f t="shared" ca="1" si="103"/>
        <v>-1.0540619345552558</v>
      </c>
      <c r="N233" s="304">
        <f t="shared" ca="1" si="104"/>
        <v>-60.393300195410944</v>
      </c>
      <c r="P233" s="310">
        <f t="shared" ca="1" si="105"/>
        <v>23</v>
      </c>
      <c r="Q233" s="304">
        <f t="shared" ca="1" si="106"/>
        <v>0</v>
      </c>
      <c r="R233" s="306">
        <f t="shared" ca="1" si="107"/>
        <v>0</v>
      </c>
      <c r="S233" s="307">
        <f t="shared" ca="1" si="108"/>
        <v>4.341000000000002</v>
      </c>
      <c r="T233" s="304">
        <f t="shared" ca="1" si="88"/>
        <v>42.585210000000025</v>
      </c>
      <c r="U233" s="311">
        <f t="shared" ca="1" si="89"/>
        <v>0</v>
      </c>
      <c r="V233" s="306">
        <f t="shared" ca="1" si="90"/>
        <v>1.094564238678891</v>
      </c>
      <c r="W233" s="304">
        <f t="shared" ca="1" si="91"/>
        <v>5.6861711328534001</v>
      </c>
      <c r="Y233" s="314" t="str">
        <f t="shared" ca="1" si="109"/>
        <v/>
      </c>
      <c r="Z233" s="315" t="str">
        <f t="shared" ca="1" si="110"/>
        <v/>
      </c>
      <c r="AA233" s="316" t="str">
        <f t="shared" ca="1" si="111"/>
        <v/>
      </c>
      <c r="AC233" s="310" t="e">
        <f t="shared" ca="1" si="112"/>
        <v>#N/A</v>
      </c>
      <c r="AD233" s="323" t="e">
        <f t="shared" ca="1" si="113"/>
        <v>#N/A</v>
      </c>
      <c r="AE233" s="324" t="e">
        <f t="shared" ca="1" si="92"/>
        <v>#N/A</v>
      </c>
      <c r="AG233" s="306">
        <f t="shared" ca="1" si="114"/>
        <v>7.2060594661300144</v>
      </c>
      <c r="AH233" s="304">
        <f t="shared" ca="1" si="115"/>
        <v>-1.2624904845135538</v>
      </c>
    </row>
    <row r="234" spans="1:34" x14ac:dyDescent="0.2">
      <c r="A234" s="347">
        <f t="shared" ca="1" si="93"/>
        <v>0.1</v>
      </c>
      <c r="B234" s="304">
        <f t="shared" ca="1" si="94"/>
        <v>13.999999999999968</v>
      </c>
      <c r="D234" s="306">
        <f t="shared" ca="1" si="95"/>
        <v>-0.64713570494743822</v>
      </c>
      <c r="E234" s="307">
        <f t="shared" ca="1" si="96"/>
        <v>-8.6711452406760561</v>
      </c>
      <c r="F234" s="304">
        <f t="shared" ca="1" si="97"/>
        <v>8.6952598814248692</v>
      </c>
      <c r="G234" s="306">
        <f t="shared" ca="1" si="98"/>
        <v>19.70422482154143</v>
      </c>
      <c r="H234" s="307">
        <f t="shared" ca="1" si="99"/>
        <v>-35.65726657784878</v>
      </c>
      <c r="I234" s="304">
        <f t="shared" ca="1" si="100"/>
        <v>40.739380648478459</v>
      </c>
      <c r="J234" s="306">
        <f t="shared" ca="1" si="101"/>
        <v>482.77246911718748</v>
      </c>
      <c r="K234" s="307">
        <f t="shared" ca="1" si="102"/>
        <v>1121.1350896904089</v>
      </c>
      <c r="L234" s="304">
        <f t="shared" ca="1" si="87"/>
        <v>1220.6609464845785</v>
      </c>
      <c r="M234" s="306">
        <f t="shared" ca="1" si="103"/>
        <v>-1.0659587315672236</v>
      </c>
      <c r="N234" s="304">
        <f t="shared" ca="1" si="104"/>
        <v>-61.07493645392055</v>
      </c>
      <c r="P234" s="310">
        <f t="shared" ca="1" si="105"/>
        <v>23</v>
      </c>
      <c r="Q234" s="304">
        <f t="shared" ca="1" si="106"/>
        <v>0</v>
      </c>
      <c r="R234" s="306">
        <f t="shared" ca="1" si="107"/>
        <v>0</v>
      </c>
      <c r="S234" s="307">
        <f t="shared" ca="1" si="108"/>
        <v>4.341000000000002</v>
      </c>
      <c r="T234" s="304">
        <f t="shared" ca="1" si="88"/>
        <v>42.585210000000025</v>
      </c>
      <c r="U234" s="311">
        <f t="shared" ca="1" si="89"/>
        <v>0</v>
      </c>
      <c r="V234" s="306">
        <f t="shared" ca="1" si="90"/>
        <v>1.0949510723227065</v>
      </c>
      <c r="W234" s="304">
        <f t="shared" ca="1" si="91"/>
        <v>5.8961154222614063</v>
      </c>
      <c r="Y234" s="314" t="str">
        <f t="shared" ca="1" si="109"/>
        <v/>
      </c>
      <c r="Z234" s="315" t="str">
        <f t="shared" ca="1" si="110"/>
        <v/>
      </c>
      <c r="AA234" s="316" t="str">
        <f t="shared" ca="1" si="111"/>
        <v/>
      </c>
      <c r="AC234" s="310">
        <f t="shared" ca="1" si="112"/>
        <v>13.999999999999968</v>
      </c>
      <c r="AD234" s="323">
        <f t="shared" ca="1" si="113"/>
        <v>482.77246911718748</v>
      </c>
      <c r="AE234" s="324" t="e">
        <f t="shared" ca="1" si="92"/>
        <v>#N/A</v>
      </c>
      <c r="AG234" s="306">
        <f t="shared" ca="1" si="114"/>
        <v>7.219302724317112</v>
      </c>
      <c r="AH234" s="304">
        <f t="shared" ca="1" si="115"/>
        <v>-1.3098758656653762</v>
      </c>
    </row>
    <row r="235" spans="1:34" x14ac:dyDescent="0.2">
      <c r="A235" s="347">
        <f t="shared" ca="1" si="93"/>
        <v>0.1</v>
      </c>
      <c r="B235" s="304">
        <f t="shared" ca="1" si="94"/>
        <v>14.099999999999968</v>
      </c>
      <c r="D235" s="306">
        <f t="shared" ca="1" si="95"/>
        <v>-0.65693306680304553</v>
      </c>
      <c r="E235" s="307">
        <f t="shared" ca="1" si="96"/>
        <v>-8.6211972077586427</v>
      </c>
      <c r="F235" s="304">
        <f t="shared" ca="1" si="97"/>
        <v>8.6461900481844989</v>
      </c>
      <c r="G235" s="306">
        <f t="shared" ca="1" si="98"/>
        <v>19.638531514861125</v>
      </c>
      <c r="H235" s="307">
        <f t="shared" ca="1" si="99"/>
        <v>-36.519386298624646</v>
      </c>
      <c r="I235" s="304">
        <f t="shared" ca="1" si="100"/>
        <v>41.464894738662572</v>
      </c>
      <c r="J235" s="306">
        <f t="shared" ca="1" si="101"/>
        <v>484.73960693400761</v>
      </c>
      <c r="K235" s="307">
        <f t="shared" ca="1" si="102"/>
        <v>1117.5262570465852</v>
      </c>
      <c r="L235" s="304">
        <f t="shared" ca="1" si="87"/>
        <v>1218.1286556513999</v>
      </c>
      <c r="M235" s="306">
        <f t="shared" ca="1" si="103"/>
        <v>-1.0774018093517841</v>
      </c>
      <c r="N235" s="304">
        <f t="shared" ca="1" si="104"/>
        <v>-61.73057651561578</v>
      </c>
      <c r="P235" s="310">
        <f t="shared" ca="1" si="105"/>
        <v>23</v>
      </c>
      <c r="Q235" s="304">
        <f t="shared" ca="1" si="106"/>
        <v>0</v>
      </c>
      <c r="R235" s="306">
        <f t="shared" ca="1" si="107"/>
        <v>0</v>
      </c>
      <c r="S235" s="307">
        <f t="shared" ca="1" si="108"/>
        <v>4.341000000000002</v>
      </c>
      <c r="T235" s="304">
        <f t="shared" ca="1" si="88"/>
        <v>42.585210000000025</v>
      </c>
      <c r="U235" s="311">
        <f t="shared" ca="1" si="89"/>
        <v>0</v>
      </c>
      <c r="V235" s="306">
        <f t="shared" ca="1" si="90"/>
        <v>1.0953475351971909</v>
      </c>
      <c r="W235" s="304">
        <f t="shared" ca="1" si="91"/>
        <v>6.1102008846578393</v>
      </c>
      <c r="Y235" s="314" t="str">
        <f t="shared" ca="1" si="109"/>
        <v/>
      </c>
      <c r="Z235" s="315" t="str">
        <f t="shared" ca="1" si="110"/>
        <v/>
      </c>
      <c r="AA235" s="316" t="str">
        <f t="shared" ca="1" si="111"/>
        <v/>
      </c>
      <c r="AC235" s="310" t="e">
        <f t="shared" ca="1" si="112"/>
        <v>#N/A</v>
      </c>
      <c r="AD235" s="323" t="e">
        <f t="shared" ca="1" si="113"/>
        <v>#N/A</v>
      </c>
      <c r="AE235" s="324" t="e">
        <f t="shared" ca="1" si="92"/>
        <v>#N/A</v>
      </c>
      <c r="AG235" s="306">
        <f t="shared" ca="1" si="114"/>
        <v>7.2279932961440654</v>
      </c>
      <c r="AH235" s="304">
        <f t="shared" ca="1" si="115"/>
        <v>-1.3582389823223691</v>
      </c>
    </row>
    <row r="236" spans="1:34" x14ac:dyDescent="0.2">
      <c r="A236" s="347">
        <f t="shared" ca="1" si="93"/>
        <v>0.1</v>
      </c>
      <c r="B236" s="304">
        <f t="shared" ca="1" si="94"/>
        <v>14.199999999999967</v>
      </c>
      <c r="D236" s="306">
        <f t="shared" ca="1" si="95"/>
        <v>-0.66664426245451447</v>
      </c>
      <c r="E236" s="307">
        <f t="shared" ca="1" si="96"/>
        <v>-8.570322821188789</v>
      </c>
      <c r="F236" s="304">
        <f t="shared" ca="1" si="97"/>
        <v>8.5962112486869984</v>
      </c>
      <c r="G236" s="306">
        <f t="shared" ca="1" si="98"/>
        <v>19.571867088615672</v>
      </c>
      <c r="H236" s="307">
        <f t="shared" ca="1" si="99"/>
        <v>-37.376418580743525</v>
      </c>
      <c r="I236" s="304">
        <f t="shared" ca="1" si="100"/>
        <v>42.190693846598293</v>
      </c>
      <c r="J236" s="306">
        <f t="shared" ca="1" si="101"/>
        <v>486.70012686418147</v>
      </c>
      <c r="K236" s="307">
        <f t="shared" ca="1" si="102"/>
        <v>1113.8314668026169</v>
      </c>
      <c r="L236" s="304">
        <f t="shared" ca="1" si="87"/>
        <v>1215.5235702894779</v>
      </c>
      <c r="M236" s="306">
        <f t="shared" ca="1" si="103"/>
        <v>-1.0884144016386779</v>
      </c>
      <c r="N236" s="304">
        <f t="shared" ca="1" si="104"/>
        <v>-62.361551575153115</v>
      </c>
      <c r="P236" s="310">
        <f t="shared" ca="1" si="105"/>
        <v>23</v>
      </c>
      <c r="Q236" s="304">
        <f t="shared" ca="1" si="106"/>
        <v>0</v>
      </c>
      <c r="R236" s="306">
        <f t="shared" ca="1" si="107"/>
        <v>0</v>
      </c>
      <c r="S236" s="307">
        <f t="shared" ca="1" si="108"/>
        <v>4.341000000000002</v>
      </c>
      <c r="T236" s="304">
        <f t="shared" ca="1" si="88"/>
        <v>42.585210000000025</v>
      </c>
      <c r="U236" s="311">
        <f t="shared" ca="1" si="89"/>
        <v>0</v>
      </c>
      <c r="V236" s="306">
        <f t="shared" ca="1" si="90"/>
        <v>1.095753581700363</v>
      </c>
      <c r="W236" s="304">
        <f t="shared" ca="1" si="91"/>
        <v>6.3283232260826994</v>
      </c>
      <c r="Y236" s="314" t="str">
        <f t="shared" ca="1" si="109"/>
        <v/>
      </c>
      <c r="Z236" s="315" t="str">
        <f t="shared" ca="1" si="110"/>
        <v/>
      </c>
      <c r="AA236" s="316" t="str">
        <f t="shared" ca="1" si="111"/>
        <v/>
      </c>
      <c r="AC236" s="310" t="e">
        <f t="shared" ca="1" si="112"/>
        <v>#N/A</v>
      </c>
      <c r="AD236" s="323" t="e">
        <f t="shared" ca="1" si="113"/>
        <v>#N/A</v>
      </c>
      <c r="AE236" s="324" t="e">
        <f t="shared" ca="1" si="92"/>
        <v>#N/A</v>
      </c>
      <c r="AG236" s="306">
        <f t="shared" ca="1" si="114"/>
        <v>7.232407494185054</v>
      </c>
      <c r="AH236" s="304">
        <f t="shared" ca="1" si="115"/>
        <v>-1.4075560664957008</v>
      </c>
    </row>
    <row r="237" spans="1:34" x14ac:dyDescent="0.2">
      <c r="A237" s="347">
        <f t="shared" ca="1" si="93"/>
        <v>0.1</v>
      </c>
      <c r="B237" s="304">
        <f t="shared" ca="1" si="94"/>
        <v>14.299999999999967</v>
      </c>
      <c r="D237" s="306">
        <f t="shared" ca="1" si="95"/>
        <v>-0.67626117926542428</v>
      </c>
      <c r="E237" s="307">
        <f t="shared" ca="1" si="96"/>
        <v>-8.5185431966358447</v>
      </c>
      <c r="F237" s="304">
        <f t="shared" ca="1" si="97"/>
        <v>8.5453441929235527</v>
      </c>
      <c r="G237" s="306">
        <f t="shared" ca="1" si="98"/>
        <v>19.504240970689128</v>
      </c>
      <c r="H237" s="307">
        <f t="shared" ca="1" si="99"/>
        <v>-38.228272900407113</v>
      </c>
      <c r="I237" s="304">
        <f t="shared" ca="1" si="100"/>
        <v>42.916386902798671</v>
      </c>
      <c r="J237" s="306">
        <f t="shared" ca="1" si="101"/>
        <v>488.65393226714673</v>
      </c>
      <c r="K237" s="307">
        <f t="shared" ca="1" si="102"/>
        <v>1110.0512322285595</v>
      </c>
      <c r="L237" s="304">
        <f t="shared" ca="1" si="87"/>
        <v>1212.8464056475941</v>
      </c>
      <c r="M237" s="306">
        <f t="shared" ca="1" si="103"/>
        <v>-1.0990183983584794</v>
      </c>
      <c r="N237" s="304">
        <f t="shared" ca="1" si="104"/>
        <v>-62.96911583316831</v>
      </c>
      <c r="P237" s="310">
        <f t="shared" ca="1" si="105"/>
        <v>23</v>
      </c>
      <c r="Q237" s="304">
        <f t="shared" ca="1" si="106"/>
        <v>0</v>
      </c>
      <c r="R237" s="306">
        <f t="shared" ca="1" si="107"/>
        <v>0</v>
      </c>
      <c r="S237" s="307">
        <f t="shared" ca="1" si="108"/>
        <v>4.341000000000002</v>
      </c>
      <c r="T237" s="304">
        <f t="shared" ca="1" si="88"/>
        <v>42.585210000000025</v>
      </c>
      <c r="U237" s="311">
        <f t="shared" ca="1" si="89"/>
        <v>0</v>
      </c>
      <c r="V237" s="306">
        <f t="shared" ca="1" si="90"/>
        <v>1.0961691653875321</v>
      </c>
      <c r="W237" s="304">
        <f t="shared" ca="1" si="91"/>
        <v>6.5503771234235906</v>
      </c>
      <c r="Y237" s="314" t="str">
        <f t="shared" ca="1" si="109"/>
        <v/>
      </c>
      <c r="Z237" s="315" t="str">
        <f t="shared" ca="1" si="110"/>
        <v/>
      </c>
      <c r="AA237" s="316" t="str">
        <f t="shared" ca="1" si="111"/>
        <v/>
      </c>
      <c r="AC237" s="310" t="e">
        <f t="shared" ca="1" si="112"/>
        <v>#N/A</v>
      </c>
      <c r="AD237" s="323" t="e">
        <f t="shared" ca="1" si="113"/>
        <v>#N/A</v>
      </c>
      <c r="AE237" s="324" t="e">
        <f t="shared" ca="1" si="92"/>
        <v>#N/A</v>
      </c>
      <c r="AG237" s="306">
        <f t="shared" ca="1" si="114"/>
        <v>7.2328021768818767</v>
      </c>
      <c r="AH237" s="304">
        <f t="shared" ca="1" si="115"/>
        <v>-1.4578030928548023</v>
      </c>
    </row>
    <row r="238" spans="1:34" x14ac:dyDescent="0.2">
      <c r="A238" s="347">
        <f t="shared" ca="1" si="93"/>
        <v>0.1</v>
      </c>
      <c r="B238" s="304">
        <f t="shared" ca="1" si="94"/>
        <v>14.399999999999967</v>
      </c>
      <c r="D238" s="306">
        <f t="shared" ca="1" si="95"/>
        <v>-0.68577621840146974</v>
      </c>
      <c r="E238" s="307">
        <f t="shared" ca="1" si="96"/>
        <v>-8.4658799973268426</v>
      </c>
      <c r="F238" s="304">
        <f t="shared" ca="1" si="97"/>
        <v>8.4936101365004841</v>
      </c>
      <c r="G238" s="306">
        <f t="shared" ca="1" si="98"/>
        <v>19.43566334884898</v>
      </c>
      <c r="H238" s="307">
        <f t="shared" ca="1" si="99"/>
        <v>-39.074860900139797</v>
      </c>
      <c r="I238" s="304">
        <f t="shared" ca="1" si="100"/>
        <v>43.641605884466095</v>
      </c>
      <c r="J238" s="306">
        <f t="shared" ca="1" si="101"/>
        <v>490.60092748312366</v>
      </c>
      <c r="K238" s="307">
        <f t="shared" ca="1" si="102"/>
        <v>1106.1860755385321</v>
      </c>
      <c r="L238" s="304">
        <f t="shared" ca="1" si="87"/>
        <v>1210.0978901570898</v>
      </c>
      <c r="M238" s="306">
        <f t="shared" ca="1" si="103"/>
        <v>-1.1092344185063039</v>
      </c>
      <c r="N238" s="304">
        <f t="shared" ca="1" si="104"/>
        <v>-63.554450671059271</v>
      </c>
      <c r="P238" s="310">
        <f t="shared" ca="1" si="105"/>
        <v>23</v>
      </c>
      <c r="Q238" s="304">
        <f t="shared" ca="1" si="106"/>
        <v>0</v>
      </c>
      <c r="R238" s="306">
        <f t="shared" ca="1" si="107"/>
        <v>0</v>
      </c>
      <c r="S238" s="307">
        <f t="shared" ca="1" si="108"/>
        <v>4.341000000000002</v>
      </c>
      <c r="T238" s="304">
        <f t="shared" ca="1" si="88"/>
        <v>42.585210000000025</v>
      </c>
      <c r="U238" s="311">
        <f t="shared" ca="1" si="89"/>
        <v>0</v>
      </c>
      <c r="V238" s="306">
        <f t="shared" ca="1" si="90"/>
        <v>1.0965942389889951</v>
      </c>
      <c r="W238" s="304">
        <f t="shared" ca="1" si="91"/>
        <v>6.7762563131641347</v>
      </c>
      <c r="Y238" s="314" t="str">
        <f t="shared" ca="1" si="109"/>
        <v/>
      </c>
      <c r="Z238" s="315" t="str">
        <f t="shared" ca="1" si="110"/>
        <v/>
      </c>
      <c r="AA238" s="316" t="str">
        <f t="shared" ca="1" si="111"/>
        <v/>
      </c>
      <c r="AC238" s="310" t="e">
        <f t="shared" ca="1" si="112"/>
        <v>#N/A</v>
      </c>
      <c r="AD238" s="323" t="e">
        <f t="shared" ca="1" si="113"/>
        <v>#N/A</v>
      </c>
      <c r="AE238" s="324" t="e">
        <f t="shared" ca="1" si="92"/>
        <v>#N/A</v>
      </c>
      <c r="AG238" s="306">
        <f t="shared" ca="1" si="114"/>
        <v>7.2294162825716697</v>
      </c>
      <c r="AH238" s="304">
        <f t="shared" ca="1" si="115"/>
        <v>-1.5089557989918423</v>
      </c>
    </row>
    <row r="239" spans="1:34" x14ac:dyDescent="0.2">
      <c r="A239" s="347">
        <f t="shared" ca="1" si="93"/>
        <v>0.1</v>
      </c>
      <c r="B239" s="304">
        <f t="shared" ca="1" si="94"/>
        <v>14.499999999999966</v>
      </c>
      <c r="D239" s="306">
        <f t="shared" ca="1" si="95"/>
        <v>-0.6951822647073691</v>
      </c>
      <c r="E239" s="307">
        <f t="shared" ca="1" si="96"/>
        <v>-8.4123553811301566</v>
      </c>
      <c r="F239" s="304">
        <f t="shared" ca="1" si="97"/>
        <v>8.4410308280205424</v>
      </c>
      <c r="G239" s="306">
        <f t="shared" ca="1" si="98"/>
        <v>19.366145122378242</v>
      </c>
      <c r="H239" s="307">
        <f t="shared" ca="1" si="99"/>
        <v>-39.916096438252815</v>
      </c>
      <c r="I239" s="304">
        <f t="shared" ca="1" si="100"/>
        <v>44.36600423487463</v>
      </c>
      <c r="J239" s="306">
        <f t="shared" ca="1" si="101"/>
        <v>492.541017906685</v>
      </c>
      <c r="K239" s="307">
        <f t="shared" ca="1" si="102"/>
        <v>1102.2365276716125</v>
      </c>
      <c r="L239" s="304">
        <f t="shared" ca="1" si="87"/>
        <v>1207.2787653454884</v>
      </c>
      <c r="M239" s="306">
        <f t="shared" ca="1" si="103"/>
        <v>-1.1190818814473609</v>
      </c>
      <c r="N239" s="304">
        <f t="shared" ca="1" si="104"/>
        <v>-64.118668736493319</v>
      </c>
      <c r="P239" s="310">
        <f t="shared" ca="1" si="105"/>
        <v>23</v>
      </c>
      <c r="Q239" s="304">
        <f t="shared" ca="1" si="106"/>
        <v>0</v>
      </c>
      <c r="R239" s="306">
        <f t="shared" ca="1" si="107"/>
        <v>0</v>
      </c>
      <c r="S239" s="307">
        <f t="shared" ca="1" si="108"/>
        <v>4.341000000000002</v>
      </c>
      <c r="T239" s="304">
        <f t="shared" ca="1" si="88"/>
        <v>42.585210000000025</v>
      </c>
      <c r="U239" s="311">
        <f t="shared" ca="1" si="89"/>
        <v>0</v>
      </c>
      <c r="V239" s="306">
        <f t="shared" ca="1" si="90"/>
        <v>1.0970287544282675</v>
      </c>
      <c r="W239" s="304">
        <f t="shared" ca="1" si="91"/>
        <v>7.0058536806828942</v>
      </c>
      <c r="Y239" s="314" t="str">
        <f t="shared" ca="1" si="109"/>
        <v/>
      </c>
      <c r="Z239" s="315" t="str">
        <f t="shared" ca="1" si="110"/>
        <v/>
      </c>
      <c r="AA239" s="316" t="str">
        <f t="shared" ca="1" si="111"/>
        <v/>
      </c>
      <c r="AC239" s="310" t="e">
        <f t="shared" ca="1" si="112"/>
        <v>#N/A</v>
      </c>
      <c r="AD239" s="323" t="e">
        <f t="shared" ca="1" si="113"/>
        <v>#N/A</v>
      </c>
      <c r="AE239" s="324" t="e">
        <f t="shared" ca="1" si="92"/>
        <v>#N/A</v>
      </c>
      <c r="AG239" s="306">
        <f t="shared" ca="1" si="114"/>
        <v>7.2224722603403064</v>
      </c>
      <c r="AH239" s="304">
        <f t="shared" ca="1" si="115"/>
        <v>-1.5609897058659599</v>
      </c>
    </row>
    <row r="240" spans="1:34" x14ac:dyDescent="0.2">
      <c r="A240" s="347">
        <f t="shared" ca="1" si="93"/>
        <v>0.1</v>
      </c>
      <c r="B240" s="304">
        <f t="shared" ca="1" si="94"/>
        <v>14.599999999999966</v>
      </c>
      <c r="D240" s="306">
        <f t="shared" ca="1" si="95"/>
        <v>-0.70447265893989597</v>
      </c>
      <c r="E240" s="307">
        <f t="shared" ca="1" si="96"/>
        <v>-8.357991951177528</v>
      </c>
      <c r="F240" s="304">
        <f t="shared" ca="1" si="97"/>
        <v>8.3876284600083579</v>
      </c>
      <c r="G240" s="306">
        <f t="shared" ca="1" si="98"/>
        <v>19.295697856484253</v>
      </c>
      <c r="H240" s="307">
        <f t="shared" ca="1" si="99"/>
        <v>-40.751895633370566</v>
      </c>
      <c r="I240" s="304">
        <f t="shared" ca="1" si="100"/>
        <v>45.089255410594859</v>
      </c>
      <c r="J240" s="306">
        <f t="shared" ca="1" si="101"/>
        <v>494.4741100556281</v>
      </c>
      <c r="K240" s="307">
        <f t="shared" ca="1" si="102"/>
        <v>1098.2031280680314</v>
      </c>
      <c r="L240" s="304">
        <f t="shared" ca="1" si="87"/>
        <v>1204.3897857478344</v>
      </c>
      <c r="M240" s="306">
        <f t="shared" ca="1" si="103"/>
        <v>-1.128579076074169</v>
      </c>
      <c r="N240" s="304">
        <f t="shared" ca="1" si="104"/>
        <v>-64.662817905823744</v>
      </c>
      <c r="P240" s="310">
        <f t="shared" ca="1" si="105"/>
        <v>23</v>
      </c>
      <c r="Q240" s="304">
        <f t="shared" ca="1" si="106"/>
        <v>0</v>
      </c>
      <c r="R240" s="306">
        <f t="shared" ca="1" si="107"/>
        <v>0</v>
      </c>
      <c r="S240" s="307">
        <f t="shared" ca="1" si="108"/>
        <v>4.341000000000002</v>
      </c>
      <c r="T240" s="304">
        <f t="shared" ca="1" si="88"/>
        <v>42.585210000000025</v>
      </c>
      <c r="U240" s="311">
        <f t="shared" ca="1" si="89"/>
        <v>0</v>
      </c>
      <c r="V240" s="306">
        <f t="shared" ca="1" si="90"/>
        <v>1.0974726628407878</v>
      </c>
      <c r="W240" s="304">
        <f t="shared" ca="1" si="91"/>
        <v>7.2390613498859357</v>
      </c>
      <c r="Y240" s="314" t="str">
        <f t="shared" ca="1" si="109"/>
        <v/>
      </c>
      <c r="Z240" s="315" t="str">
        <f t="shared" ca="1" si="110"/>
        <v/>
      </c>
      <c r="AA240" s="316" t="str">
        <f t="shared" ca="1" si="111"/>
        <v/>
      </c>
      <c r="AC240" s="310" t="e">
        <f t="shared" ca="1" si="112"/>
        <v>#N/A</v>
      </c>
      <c r="AD240" s="323" t="e">
        <f t="shared" ca="1" si="113"/>
        <v>#N/A</v>
      </c>
      <c r="AE240" s="324" t="e">
        <f t="shared" ca="1" si="92"/>
        <v>#N/A</v>
      </c>
      <c r="AG240" s="306">
        <f t="shared" ca="1" si="114"/>
        <v>7.212177398523604</v>
      </c>
      <c r="AH240" s="304">
        <f t="shared" ca="1" si="115"/>
        <v>-1.6138801383743127</v>
      </c>
    </row>
    <row r="241" spans="1:34" x14ac:dyDescent="0.2">
      <c r="A241" s="347">
        <f t="shared" ca="1" si="93"/>
        <v>0.1</v>
      </c>
      <c r="B241" s="304">
        <f t="shared" ca="1" si="94"/>
        <v>14.699999999999966</v>
      </c>
      <c r="D241" s="306">
        <f t="shared" ca="1" si="95"/>
        <v>-0.71364117217267908</v>
      </c>
      <c r="E241" s="307">
        <f t="shared" ca="1" si="96"/>
        <v>-8.3028127096328745</v>
      </c>
      <c r="F241" s="304">
        <f t="shared" ca="1" si="97"/>
        <v>8.3334256229872956</v>
      </c>
      <c r="G241" s="306">
        <f t="shared" ca="1" si="98"/>
        <v>19.224333739266985</v>
      </c>
      <c r="H241" s="307">
        <f t="shared" ca="1" si="99"/>
        <v>-41.582176904333856</v>
      </c>
      <c r="I241" s="304">
        <f t="shared" ca="1" si="100"/>
        <v>45.811051546783283</v>
      </c>
      <c r="J241" s="306">
        <f t="shared" ca="1" si="101"/>
        <v>496.40011163541567</v>
      </c>
      <c r="K241" s="307">
        <f t="shared" ca="1" si="102"/>
        <v>1094.0864244411462</v>
      </c>
      <c r="L241" s="304">
        <f t="shared" ca="1" si="87"/>
        <v>1201.4317188163734</v>
      </c>
      <c r="M241" s="306">
        <f t="shared" ca="1" si="103"/>
        <v>-1.1377432274003527</v>
      </c>
      <c r="N241" s="304">
        <f t="shared" ca="1" si="104"/>
        <v>-65.187885099633291</v>
      </c>
      <c r="P241" s="310">
        <f t="shared" ca="1" si="105"/>
        <v>23</v>
      </c>
      <c r="Q241" s="304">
        <f t="shared" ca="1" si="106"/>
        <v>0</v>
      </c>
      <c r="R241" s="306">
        <f t="shared" ca="1" si="107"/>
        <v>0</v>
      </c>
      <c r="S241" s="307">
        <f t="shared" ca="1" si="108"/>
        <v>4.341000000000002</v>
      </c>
      <c r="T241" s="304">
        <f t="shared" ca="1" si="88"/>
        <v>42.585210000000025</v>
      </c>
      <c r="U241" s="311">
        <f t="shared" ca="1" si="89"/>
        <v>0</v>
      </c>
      <c r="V241" s="306">
        <f t="shared" ca="1" si="90"/>
        <v>1.09792591459306</v>
      </c>
      <c r="W241" s="304">
        <f t="shared" ca="1" si="91"/>
        <v>7.475770772968402</v>
      </c>
      <c r="Y241" s="314" t="str">
        <f t="shared" ca="1" si="109"/>
        <v/>
      </c>
      <c r="Z241" s="315" t="str">
        <f t="shared" ca="1" si="110"/>
        <v/>
      </c>
      <c r="AA241" s="316" t="str">
        <f t="shared" ca="1" si="111"/>
        <v/>
      </c>
      <c r="AC241" s="310" t="e">
        <f t="shared" ca="1" si="112"/>
        <v>#N/A</v>
      </c>
      <c r="AD241" s="323" t="e">
        <f t="shared" ca="1" si="113"/>
        <v>#N/A</v>
      </c>
      <c r="AE241" s="324" t="e">
        <f t="shared" ca="1" si="92"/>
        <v>#N/A</v>
      </c>
      <c r="AG241" s="306">
        <f t="shared" ca="1" si="114"/>
        <v>7.1987250535505813</v>
      </c>
      <c r="AH241" s="304">
        <f t="shared" ca="1" si="115"/>
        <v>-1.6676022459999844</v>
      </c>
    </row>
    <row r="242" spans="1:34" x14ac:dyDescent="0.2">
      <c r="A242" s="347">
        <f t="shared" ca="1" si="93"/>
        <v>0.1</v>
      </c>
      <c r="B242" s="304">
        <f t="shared" ca="1" si="94"/>
        <v>14.799999999999965</v>
      </c>
      <c r="D242" s="306">
        <f t="shared" ca="1" si="95"/>
        <v>-0.72268198219593949</v>
      </c>
      <c r="E242" s="307">
        <f t="shared" ca="1" si="96"/>
        <v>-8.2468410142679929</v>
      </c>
      <c r="F242" s="304">
        <f t="shared" ca="1" si="97"/>
        <v>8.2784452623668052</v>
      </c>
      <c r="G242" s="306">
        <f t="shared" ca="1" si="98"/>
        <v>19.152065541047392</v>
      </c>
      <c r="H242" s="307">
        <f t="shared" ca="1" si="99"/>
        <v>-42.406861005760653</v>
      </c>
      <c r="I242" s="304">
        <f t="shared" ca="1" si="100"/>
        <v>46.531102231200997</v>
      </c>
      <c r="J242" s="306">
        <f t="shared" ca="1" si="101"/>
        <v>498.31893159943138</v>
      </c>
      <c r="K242" s="307">
        <f t="shared" ca="1" si="102"/>
        <v>1089.8869725456414</v>
      </c>
      <c r="L242" s="304">
        <f t="shared" ca="1" si="87"/>
        <v>1198.405344829162</v>
      </c>
      <c r="M242" s="306">
        <f t="shared" ca="1" si="103"/>
        <v>-1.1465905603145186</v>
      </c>
      <c r="N242" s="304">
        <f t="shared" ca="1" si="104"/>
        <v>-65.694799935562173</v>
      </c>
      <c r="P242" s="310">
        <f t="shared" ca="1" si="105"/>
        <v>23</v>
      </c>
      <c r="Q242" s="304">
        <f t="shared" ca="1" si="106"/>
        <v>0</v>
      </c>
      <c r="R242" s="306">
        <f t="shared" ca="1" si="107"/>
        <v>0</v>
      </c>
      <c r="S242" s="307">
        <f t="shared" ca="1" si="108"/>
        <v>4.341000000000002</v>
      </c>
      <c r="T242" s="304">
        <f t="shared" ca="1" si="88"/>
        <v>42.585210000000025</v>
      </c>
      <c r="U242" s="311">
        <f t="shared" ca="1" si="89"/>
        <v>0</v>
      </c>
      <c r="V242" s="306">
        <f t="shared" ca="1" si="90"/>
        <v>1.0983884593021831</v>
      </c>
      <c r="W242" s="304">
        <f t="shared" ca="1" si="91"/>
        <v>7.7158728201115814</v>
      </c>
      <c r="Y242" s="314" t="str">
        <f t="shared" ca="1" si="109"/>
        <v/>
      </c>
      <c r="Z242" s="315" t="str">
        <f t="shared" ca="1" si="110"/>
        <v/>
      </c>
      <c r="AA242" s="316" t="str">
        <f t="shared" ca="1" si="111"/>
        <v/>
      </c>
      <c r="AC242" s="310" t="e">
        <f t="shared" ca="1" si="112"/>
        <v>#N/A</v>
      </c>
      <c r="AD242" s="323" t="e">
        <f t="shared" ca="1" si="113"/>
        <v>#N/A</v>
      </c>
      <c r="AE242" s="324" t="e">
        <f t="shared" ca="1" si="92"/>
        <v>#N/A</v>
      </c>
      <c r="AG242" s="306">
        <f t="shared" ca="1" si="114"/>
        <v>7.1822957831061052</v>
      </c>
      <c r="AH242" s="304">
        <f t="shared" ca="1" si="115"/>
        <v>-1.7221310234896103</v>
      </c>
    </row>
    <row r="243" spans="1:34" x14ac:dyDescent="0.2">
      <c r="A243" s="347">
        <f t="shared" ca="1" si="93"/>
        <v>0.1</v>
      </c>
      <c r="B243" s="304">
        <f t="shared" ca="1" si="94"/>
        <v>14.899999999999965</v>
      </c>
      <c r="D243" s="306">
        <f t="shared" ca="1" si="95"/>
        <v>-0.73158965174346091</v>
      </c>
      <c r="E243" s="307">
        <f t="shared" ca="1" si="96"/>
        <v>-8.1901005375506291</v>
      </c>
      <c r="F243" s="304">
        <f t="shared" ca="1" si="97"/>
        <v>8.2227106378447505</v>
      </c>
      <c r="G243" s="306">
        <f t="shared" ca="1" si="98"/>
        <v>19.078906575873045</v>
      </c>
      <c r="H243" s="307">
        <f t="shared" ca="1" si="99"/>
        <v>-43.225871059515718</v>
      </c>
      <c r="I243" s="304">
        <f t="shared" ca="1" si="100"/>
        <v>47.249133378134779</v>
      </c>
      <c r="J243" s="306">
        <f t="shared" ca="1" si="101"/>
        <v>500.23048020527739</v>
      </c>
      <c r="K243" s="307">
        <f t="shared" ca="1" si="102"/>
        <v>1085.6053359423775</v>
      </c>
      <c r="L243" s="304">
        <f t="shared" ca="1" si="87"/>
        <v>1195.3114567981704</v>
      </c>
      <c r="M243" s="306">
        <f t="shared" ca="1" si="103"/>
        <v>-1.15513636032644</v>
      </c>
      <c r="N243" s="304">
        <f t="shared" ca="1" si="104"/>
        <v>-66.184438208808118</v>
      </c>
      <c r="P243" s="310">
        <f t="shared" ca="1" si="105"/>
        <v>23</v>
      </c>
      <c r="Q243" s="304">
        <f t="shared" ca="1" si="106"/>
        <v>0</v>
      </c>
      <c r="R243" s="306">
        <f t="shared" ca="1" si="107"/>
        <v>0</v>
      </c>
      <c r="S243" s="307">
        <f t="shared" ca="1" si="108"/>
        <v>4.341000000000002</v>
      </c>
      <c r="T243" s="304">
        <f t="shared" ca="1" si="88"/>
        <v>42.585210000000025</v>
      </c>
      <c r="U243" s="311">
        <f t="shared" ca="1" si="89"/>
        <v>0</v>
      </c>
      <c r="V243" s="306">
        <f t="shared" ca="1" si="90"/>
        <v>1.0988602458557326</v>
      </c>
      <c r="W243" s="304">
        <f t="shared" ca="1" si="91"/>
        <v>7.9592578689326068</v>
      </c>
      <c r="Y243" s="314" t="str">
        <f t="shared" ca="1" si="109"/>
        <v/>
      </c>
      <c r="Z243" s="315" t="str">
        <f t="shared" ca="1" si="110"/>
        <v/>
      </c>
      <c r="AA243" s="316" t="str">
        <f t="shared" ca="1" si="111"/>
        <v/>
      </c>
      <c r="AC243" s="310" t="e">
        <f t="shared" ca="1" si="112"/>
        <v>#N/A</v>
      </c>
      <c r="AD243" s="323" t="e">
        <f t="shared" ca="1" si="113"/>
        <v>#N/A</v>
      </c>
      <c r="AE243" s="324" t="e">
        <f t="shared" ca="1" si="92"/>
        <v>#N/A</v>
      </c>
      <c r="AG243" s="306">
        <f t="shared" ca="1" si="114"/>
        <v>7.1630583884229972</v>
      </c>
      <c r="AH243" s="304">
        <f t="shared" ca="1" si="115"/>
        <v>-1.7774413315161433</v>
      </c>
    </row>
    <row r="244" spans="1:34" x14ac:dyDescent="0.2">
      <c r="A244" s="347">
        <f t="shared" ca="1" si="93"/>
        <v>0.1</v>
      </c>
      <c r="B244" s="304">
        <f t="shared" ca="1" si="94"/>
        <v>14.999999999999964</v>
      </c>
      <c r="D244" s="306">
        <f t="shared" ca="1" si="95"/>
        <v>-0.74035910838917618</v>
      </c>
      <c r="E244" s="307">
        <f t="shared" ca="1" si="96"/>
        <v>-8.132615227990124</v>
      </c>
      <c r="F244" s="304">
        <f t="shared" ca="1" si="97"/>
        <v>8.1662452850690013</v>
      </c>
      <c r="G244" s="306">
        <f t="shared" ca="1" si="98"/>
        <v>19.004870665034126</v>
      </c>
      <c r="H244" s="307">
        <f t="shared" ca="1" si="99"/>
        <v>-44.039132582314728</v>
      </c>
      <c r="I244" s="304">
        <f t="shared" ca="1" si="100"/>
        <v>47.964886193937424</v>
      </c>
      <c r="J244" s="306">
        <f t="shared" ca="1" si="101"/>
        <v>502.13466906732276</v>
      </c>
      <c r="K244" s="307">
        <f t="shared" ca="1" si="102"/>
        <v>1081.2420857602858</v>
      </c>
      <c r="L244" s="304">
        <f t="shared" ca="1" si="87"/>
        <v>1192.1508603774118</v>
      </c>
      <c r="M244" s="306">
        <f t="shared" ca="1" si="103"/>
        <v>-1.1633950312222414</v>
      </c>
      <c r="N244" s="304">
        <f t="shared" ca="1" si="104"/>
        <v>-66.657625195525071</v>
      </c>
      <c r="P244" s="310">
        <f t="shared" ca="1" si="105"/>
        <v>23</v>
      </c>
      <c r="Q244" s="304">
        <f t="shared" ca="1" si="106"/>
        <v>0</v>
      </c>
      <c r="R244" s="306">
        <f t="shared" ca="1" si="107"/>
        <v>0</v>
      </c>
      <c r="S244" s="307">
        <f t="shared" ca="1" si="108"/>
        <v>4.341000000000002</v>
      </c>
      <c r="T244" s="304">
        <f t="shared" ca="1" si="88"/>
        <v>42.585210000000025</v>
      </c>
      <c r="U244" s="311">
        <f t="shared" ca="1" si="89"/>
        <v>0</v>
      </c>
      <c r="V244" s="306">
        <f t="shared" ca="1" si="90"/>
        <v>1.0993412224319532</v>
      </c>
      <c r="W244" s="304">
        <f t="shared" ca="1" si="91"/>
        <v>8.2058158935137264</v>
      </c>
      <c r="Y244" s="314" t="str">
        <f t="shared" ca="1" si="109"/>
        <v/>
      </c>
      <c r="Z244" s="315" t="str">
        <f t="shared" ca="1" si="110"/>
        <v/>
      </c>
      <c r="AA244" s="316" t="str">
        <f t="shared" ca="1" si="111"/>
        <v/>
      </c>
      <c r="AC244" s="310">
        <f t="shared" ca="1" si="112"/>
        <v>14.999999999999964</v>
      </c>
      <c r="AD244" s="323">
        <f t="shared" ca="1" si="113"/>
        <v>502.13466906732276</v>
      </c>
      <c r="AE244" s="324" t="e">
        <f t="shared" ca="1" si="92"/>
        <v>#N/A</v>
      </c>
      <c r="AG244" s="306">
        <f t="shared" ca="1" si="114"/>
        <v>7.1411708710057455</v>
      </c>
      <c r="AH244" s="304">
        <f t="shared" ca="1" si="115"/>
        <v>-1.8335079172846356</v>
      </c>
    </row>
    <row r="245" spans="1:34" x14ac:dyDescent="0.2">
      <c r="A245" s="347">
        <f t="shared" ca="1" si="93"/>
        <v>0.1</v>
      </c>
      <c r="B245" s="304">
        <f t="shared" ca="1" si="94"/>
        <v>15.099999999999964</v>
      </c>
      <c r="D245" s="306">
        <f t="shared" ca="1" si="95"/>
        <v>-0.74898562596629903</v>
      </c>
      <c r="E245" s="307">
        <f t="shared" ca="1" si="96"/>
        <v>-8.074409273520379</v>
      </c>
      <c r="F245" s="304">
        <f t="shared" ca="1" si="97"/>
        <v>8.1090729793371583</v>
      </c>
      <c r="G245" s="306">
        <f t="shared" ca="1" si="98"/>
        <v>18.929972102437496</v>
      </c>
      <c r="H245" s="307">
        <f t="shared" ca="1" si="99"/>
        <v>-44.846573509666769</v>
      </c>
      <c r="I245" s="304">
        <f t="shared" ca="1" si="100"/>
        <v>48.678116226462656</v>
      </c>
      <c r="J245" s="306">
        <f t="shared" ca="1" si="101"/>
        <v>504.03141120569632</v>
      </c>
      <c r="K245" s="307">
        <f t="shared" ca="1" si="102"/>
        <v>1076.7978004556867</v>
      </c>
      <c r="L245" s="304">
        <f t="shared" ca="1" si="87"/>
        <v>1188.9243737716081</v>
      </c>
      <c r="M245" s="306">
        <f t="shared" ca="1" si="103"/>
        <v>-1.1713801496100966</v>
      </c>
      <c r="N245" s="304">
        <f t="shared" ca="1" si="104"/>
        <v>-67.115138778061478</v>
      </c>
      <c r="P245" s="310">
        <f t="shared" ca="1" si="105"/>
        <v>23</v>
      </c>
      <c r="Q245" s="304">
        <f t="shared" ca="1" si="106"/>
        <v>0</v>
      </c>
      <c r="R245" s="306">
        <f t="shared" ca="1" si="107"/>
        <v>0</v>
      </c>
      <c r="S245" s="307">
        <f t="shared" ca="1" si="108"/>
        <v>4.341000000000002</v>
      </c>
      <c r="T245" s="304">
        <f t="shared" ca="1" si="88"/>
        <v>42.585210000000025</v>
      </c>
      <c r="U245" s="311">
        <f t="shared" ca="1" si="89"/>
        <v>0</v>
      </c>
      <c r="V245" s="306">
        <f t="shared" ca="1" si="90"/>
        <v>1.0998313365202284</v>
      </c>
      <c r="W245" s="304">
        <f t="shared" ca="1" si="91"/>
        <v>8.4554365528475657</v>
      </c>
      <c r="Y245" s="314" t="str">
        <f t="shared" ca="1" si="109"/>
        <v/>
      </c>
      <c r="Z245" s="315" t="str">
        <f t="shared" ca="1" si="110"/>
        <v/>
      </c>
      <c r="AA245" s="316" t="str">
        <f t="shared" ca="1" si="111"/>
        <v/>
      </c>
      <c r="AC245" s="310" t="e">
        <f t="shared" ca="1" si="112"/>
        <v>#N/A</v>
      </c>
      <c r="AD245" s="323" t="e">
        <f t="shared" ca="1" si="113"/>
        <v>#N/A</v>
      </c>
      <c r="AE245" s="324" t="e">
        <f t="shared" ca="1" si="92"/>
        <v>#N/A</v>
      </c>
      <c r="AG245" s="306">
        <f t="shared" ca="1" si="114"/>
        <v>7.1167813093262886</v>
      </c>
      <c r="AH245" s="304">
        <f t="shared" ca="1" si="115"/>
        <v>-1.8903054350411708</v>
      </c>
    </row>
    <row r="246" spans="1:34" x14ac:dyDescent="0.2">
      <c r="A246" s="347">
        <f t="shared" ca="1" si="93"/>
        <v>0.1</v>
      </c>
      <c r="B246" s="304">
        <f t="shared" ca="1" si="94"/>
        <v>15.199999999999964</v>
      </c>
      <c r="D246" s="306">
        <f t="shared" ca="1" si="95"/>
        <v>-0.75746480737259259</v>
      </c>
      <c r="E246" s="307">
        <f t="shared" ca="1" si="96"/>
        <v>-8.0155070667300947</v>
      </c>
      <c r="F246" s="304">
        <f t="shared" ca="1" si="97"/>
        <v>8.051217701143603</v>
      </c>
      <c r="G246" s="306">
        <f t="shared" ca="1" si="98"/>
        <v>18.854225621700238</v>
      </c>
      <c r="H246" s="307">
        <f t="shared" ca="1" si="99"/>
        <v>-45.648124216339781</v>
      </c>
      <c r="I246" s="304">
        <f t="shared" ca="1" si="100"/>
        <v>49.388592491225779</v>
      </c>
      <c r="J246" s="306">
        <f t="shared" ca="1" si="101"/>
        <v>505.92062109190323</v>
      </c>
      <c r="K246" s="307">
        <f t="shared" ca="1" si="102"/>
        <v>1072.2730655693863</v>
      </c>
      <c r="L246" s="304">
        <f t="shared" ca="1" si="87"/>
        <v>1185.6328276458892</v>
      </c>
      <c r="M246" s="306">
        <f t="shared" ca="1" si="103"/>
        <v>-1.1791045163869929</v>
      </c>
      <c r="N246" s="304">
        <f t="shared" ca="1" si="104"/>
        <v>-67.557712393788705</v>
      </c>
      <c r="P246" s="310">
        <f t="shared" ca="1" si="105"/>
        <v>23</v>
      </c>
      <c r="Q246" s="304">
        <f t="shared" ca="1" si="106"/>
        <v>0</v>
      </c>
      <c r="R246" s="306">
        <f t="shared" ca="1" si="107"/>
        <v>0</v>
      </c>
      <c r="S246" s="307">
        <f t="shared" ca="1" si="108"/>
        <v>4.341000000000002</v>
      </c>
      <c r="T246" s="304">
        <f t="shared" ca="1" si="88"/>
        <v>42.585210000000025</v>
      </c>
      <c r="U246" s="311">
        <f t="shared" ca="1" si="89"/>
        <v>0</v>
      </c>
      <c r="V246" s="306">
        <f t="shared" ca="1" si="90"/>
        <v>1.1003305349417933</v>
      </c>
      <c r="W246" s="304">
        <f t="shared" ca="1" si="91"/>
        <v>8.7080092785436314</v>
      </c>
      <c r="Y246" s="314" t="str">
        <f t="shared" ca="1" si="109"/>
        <v/>
      </c>
      <c r="Z246" s="315" t="str">
        <f t="shared" ca="1" si="110"/>
        <v/>
      </c>
      <c r="AA246" s="316" t="str">
        <f t="shared" ca="1" si="111"/>
        <v/>
      </c>
      <c r="AC246" s="310" t="e">
        <f t="shared" ca="1" si="112"/>
        <v>#N/A</v>
      </c>
      <c r="AD246" s="323" t="e">
        <f t="shared" ca="1" si="113"/>
        <v>#N/A</v>
      </c>
      <c r="AE246" s="324" t="e">
        <f t="shared" ca="1" si="92"/>
        <v>#N/A</v>
      </c>
      <c r="AG246" s="306">
        <f t="shared" ca="1" si="114"/>
        <v>7.0900286610845136</v>
      </c>
      <c r="AH246" s="304">
        <f t="shared" ca="1" si="115"/>
        <v>-1.9478084664472615</v>
      </c>
    </row>
    <row r="247" spans="1:34" x14ac:dyDescent="0.2">
      <c r="A247" s="347">
        <f t="shared" ca="1" si="93"/>
        <v>0.1</v>
      </c>
      <c r="B247" s="304">
        <f t="shared" ca="1" si="94"/>
        <v>15.299999999999963</v>
      </c>
      <c r="D247" s="306">
        <f t="shared" ca="1" si="95"/>
        <v>-0.76579256863584622</v>
      </c>
      <c r="E247" s="307">
        <f t="shared" ca="1" si="96"/>
        <v>-7.9559331717763406</v>
      </c>
      <c r="F247" s="304">
        <f t="shared" ca="1" si="97"/>
        <v>7.9927036034091135</v>
      </c>
      <c r="G247" s="306">
        <f t="shared" ca="1" si="98"/>
        <v>18.777646364836652</v>
      </c>
      <c r="H247" s="307">
        <f t="shared" ca="1" si="99"/>
        <v>-46.443717533517415</v>
      </c>
      <c r="I247" s="304">
        <f t="shared" ca="1" si="100"/>
        <v>50.096096667664796</v>
      </c>
      <c r="J247" s="306">
        <f t="shared" ca="1" si="101"/>
        <v>507.80221469123006</v>
      </c>
      <c r="K247" s="307">
        <f t="shared" ca="1" si="102"/>
        <v>1067.6684734818934</v>
      </c>
      <c r="L247" s="304">
        <f t="shared" ca="1" si="87"/>
        <v>1182.2770650369882</v>
      </c>
      <c r="M247" s="306">
        <f t="shared" ca="1" si="103"/>
        <v>-1.1865802051935024</v>
      </c>
      <c r="N247" s="304">
        <f t="shared" ca="1" si="104"/>
        <v>-67.98603781135489</v>
      </c>
      <c r="P247" s="310">
        <f t="shared" ca="1" si="105"/>
        <v>23</v>
      </c>
      <c r="Q247" s="304">
        <f t="shared" ca="1" si="106"/>
        <v>0</v>
      </c>
      <c r="R247" s="306">
        <f t="shared" ca="1" si="107"/>
        <v>0</v>
      </c>
      <c r="S247" s="307">
        <f t="shared" ca="1" si="108"/>
        <v>4.341000000000002</v>
      </c>
      <c r="T247" s="304">
        <f t="shared" ca="1" si="88"/>
        <v>42.585210000000025</v>
      </c>
      <c r="U247" s="311">
        <f t="shared" ca="1" si="89"/>
        <v>0</v>
      </c>
      <c r="V247" s="306">
        <f t="shared" ca="1" si="90"/>
        <v>1.1008387638706603</v>
      </c>
      <c r="W247" s="304">
        <f t="shared" ca="1" si="91"/>
        <v>8.9634233616500421</v>
      </c>
      <c r="Y247" s="314" t="str">
        <f t="shared" ca="1" si="109"/>
        <v/>
      </c>
      <c r="Z247" s="315" t="str">
        <f t="shared" ca="1" si="110"/>
        <v/>
      </c>
      <c r="AA247" s="316" t="str">
        <f t="shared" ca="1" si="111"/>
        <v/>
      </c>
      <c r="AC247" s="310" t="e">
        <f t="shared" ca="1" si="112"/>
        <v>#N/A</v>
      </c>
      <c r="AD247" s="323" t="e">
        <f t="shared" ca="1" si="113"/>
        <v>#N/A</v>
      </c>
      <c r="AE247" s="324" t="e">
        <f t="shared" ca="1" si="92"/>
        <v>#N/A</v>
      </c>
      <c r="AG247" s="306">
        <f t="shared" ca="1" si="114"/>
        <v>7.0610434965446336</v>
      </c>
      <c r="AH247" s="304">
        <f t="shared" ca="1" si="115"/>
        <v>-2.0059915407840654</v>
      </c>
    </row>
    <row r="248" spans="1:34" x14ac:dyDescent="0.2">
      <c r="A248" s="347">
        <f t="shared" ca="1" si="93"/>
        <v>0.1</v>
      </c>
      <c r="B248" s="304">
        <f t="shared" ca="1" si="94"/>
        <v>15.399999999999963</v>
      </c>
      <c r="D248" s="306">
        <f t="shared" ca="1" si="95"/>
        <v>-0.77396512412381657</v>
      </c>
      <c r="E248" s="307">
        <f t="shared" ca="1" si="96"/>
        <v>-7.8957122928402237</v>
      </c>
      <c r="F248" s="304">
        <f t="shared" ca="1" si="97"/>
        <v>7.9335549802511744</v>
      </c>
      <c r="G248" s="306">
        <f t="shared" ca="1" si="98"/>
        <v>18.700249852424271</v>
      </c>
      <c r="H248" s="307">
        <f t="shared" ca="1" si="99"/>
        <v>-47.233288762801436</v>
      </c>
      <c r="I248" s="304">
        <f t="shared" ca="1" si="100"/>
        <v>50.800422359398532</v>
      </c>
      <c r="J248" s="306">
        <f t="shared" ca="1" si="101"/>
        <v>509.67610950209308</v>
      </c>
      <c r="K248" s="307">
        <f t="shared" ca="1" si="102"/>
        <v>1062.9846231670774</v>
      </c>
      <c r="L248" s="304">
        <f t="shared" ca="1" si="87"/>
        <v>1178.8579412663951</v>
      </c>
      <c r="M248" s="306">
        <f t="shared" ca="1" si="103"/>
        <v>-1.1938186079498252</v>
      </c>
      <c r="N248" s="304">
        <f t="shared" ca="1" si="104"/>
        <v>-68.400767739708058</v>
      </c>
      <c r="P248" s="310">
        <f t="shared" ca="1" si="105"/>
        <v>23</v>
      </c>
      <c r="Q248" s="304">
        <f t="shared" ca="1" si="106"/>
        <v>0</v>
      </c>
      <c r="R248" s="306">
        <f t="shared" ca="1" si="107"/>
        <v>0</v>
      </c>
      <c r="S248" s="307">
        <f t="shared" ca="1" si="108"/>
        <v>4.341000000000002</v>
      </c>
      <c r="T248" s="304">
        <f t="shared" ca="1" si="88"/>
        <v>42.585210000000025</v>
      </c>
      <c r="U248" s="311">
        <f t="shared" ca="1" si="89"/>
        <v>0</v>
      </c>
      <c r="V248" s="306">
        <f t="shared" ca="1" si="90"/>
        <v>1.1013559688547239</v>
      </c>
      <c r="W248" s="304">
        <f t="shared" ca="1" si="91"/>
        <v>9.2215680384524319</v>
      </c>
      <c r="Y248" s="314" t="str">
        <f t="shared" ca="1" si="109"/>
        <v/>
      </c>
      <c r="Z248" s="315" t="str">
        <f t="shared" ca="1" si="110"/>
        <v/>
      </c>
      <c r="AA248" s="316" t="str">
        <f t="shared" ca="1" si="111"/>
        <v/>
      </c>
      <c r="AC248" s="310" t="e">
        <f t="shared" ca="1" si="112"/>
        <v>#N/A</v>
      </c>
      <c r="AD248" s="323" t="e">
        <f t="shared" ca="1" si="113"/>
        <v>#N/A</v>
      </c>
      <c r="AE248" s="324" t="e">
        <f t="shared" ca="1" si="92"/>
        <v>#N/A</v>
      </c>
      <c r="AG248" s="306">
        <f t="shared" ca="1" si="114"/>
        <v>7.0299486682840389</v>
      </c>
      <c r="AH248" s="304">
        <f t="shared" ca="1" si="115"/>
        <v>-2.0648291549527844</v>
      </c>
    </row>
    <row r="249" spans="1:34" x14ac:dyDescent="0.2">
      <c r="A249" s="347">
        <f t="shared" ca="1" si="93"/>
        <v>0.1</v>
      </c>
      <c r="B249" s="304">
        <f t="shared" ca="1" si="94"/>
        <v>15.499999999999963</v>
      </c>
      <c r="D249" s="306">
        <f t="shared" ca="1" si="95"/>
        <v>-0.781978972792575</v>
      </c>
      <c r="E249" s="307">
        <f t="shared" ca="1" si="96"/>
        <v>-7.8348692440030536</v>
      </c>
      <c r="F249" s="304">
        <f t="shared" ca="1" si="97"/>
        <v>7.8737962371726837</v>
      </c>
      <c r="G249" s="306">
        <f t="shared" ca="1" si="98"/>
        <v>18.622051955145015</v>
      </c>
      <c r="H249" s="307">
        <f t="shared" ca="1" si="99"/>
        <v>-48.016775687201743</v>
      </c>
      <c r="I249" s="304">
        <f t="shared" ca="1" si="100"/>
        <v>51.501374412875322</v>
      </c>
      <c r="J249" s="306">
        <f t="shared" ca="1" si="101"/>
        <v>511.54222459247154</v>
      </c>
      <c r="K249" s="307">
        <f t="shared" ca="1" si="102"/>
        <v>1058.2221199445773</v>
      </c>
      <c r="L249" s="304">
        <f t="shared" ca="1" si="87"/>
        <v>1175.3763238559002</v>
      </c>
      <c r="M249" s="306">
        <f t="shared" ca="1" si="103"/>
        <v>-1.2008304775847449</v>
      </c>
      <c r="N249" s="304">
        <f t="shared" ca="1" si="104"/>
        <v>-68.802518276284886</v>
      </c>
      <c r="P249" s="310">
        <f t="shared" ca="1" si="105"/>
        <v>23</v>
      </c>
      <c r="Q249" s="304">
        <f t="shared" ca="1" si="106"/>
        <v>0</v>
      </c>
      <c r="R249" s="306">
        <f t="shared" ca="1" si="107"/>
        <v>0</v>
      </c>
      <c r="S249" s="307">
        <f t="shared" ca="1" si="108"/>
        <v>4.341000000000002</v>
      </c>
      <c r="T249" s="304">
        <f t="shared" ca="1" si="88"/>
        <v>42.585210000000025</v>
      </c>
      <c r="U249" s="311">
        <f t="shared" ca="1" si="89"/>
        <v>0</v>
      </c>
      <c r="V249" s="306">
        <f t="shared" ca="1" si="90"/>
        <v>1.1018820948370243</v>
      </c>
      <c r="W249" s="304">
        <f t="shared" ca="1" si="91"/>
        <v>9.482332575120175</v>
      </c>
      <c r="Y249" s="314" t="str">
        <f t="shared" ca="1" si="109"/>
        <v/>
      </c>
      <c r="Z249" s="315" t="str">
        <f t="shared" ca="1" si="110"/>
        <v/>
      </c>
      <c r="AA249" s="316" t="str">
        <f t="shared" ca="1" si="111"/>
        <v/>
      </c>
      <c r="AC249" s="310" t="e">
        <f t="shared" ca="1" si="112"/>
        <v>#N/A</v>
      </c>
      <c r="AD249" s="323" t="e">
        <f t="shared" ca="1" si="113"/>
        <v>#N/A</v>
      </c>
      <c r="AE249" s="324" t="e">
        <f t="shared" ca="1" si="92"/>
        <v>#N/A</v>
      </c>
      <c r="AG249" s="306">
        <f t="shared" ca="1" si="114"/>
        <v>6.9968599224542594</v>
      </c>
      <c r="AH249" s="304">
        <f t="shared" ca="1" si="115"/>
        <v>-2.1242957932394444</v>
      </c>
    </row>
    <row r="250" spans="1:34" x14ac:dyDescent="0.2">
      <c r="A250" s="347">
        <f t="shared" ca="1" si="93"/>
        <v>0.1</v>
      </c>
      <c r="B250" s="304">
        <f t="shared" ca="1" si="94"/>
        <v>15.599999999999962</v>
      </c>
      <c r="D250" s="306">
        <f t="shared" ca="1" si="95"/>
        <v>-0.78983088537639234</v>
      </c>
      <c r="E250" s="307">
        <f t="shared" ca="1" si="96"/>
        <v>-7.7734289204383842</v>
      </c>
      <c r="F250" s="304">
        <f t="shared" ca="1" si="97"/>
        <v>7.8134518625638378</v>
      </c>
      <c r="G250" s="306">
        <f t="shared" ca="1" si="98"/>
        <v>18.543068866607374</v>
      </c>
      <c r="H250" s="307">
        <f t="shared" ca="1" si="99"/>
        <v>-48.794118579245584</v>
      </c>
      <c r="I250" s="304">
        <f t="shared" ca="1" si="100"/>
        <v>52.198768289273097</v>
      </c>
      <c r="J250" s="306">
        <f t="shared" ca="1" si="101"/>
        <v>513.40048063355914</v>
      </c>
      <c r="K250" s="307">
        <f t="shared" ca="1" si="102"/>
        <v>1053.3815752312551</v>
      </c>
      <c r="L250" s="304">
        <f t="shared" ca="1" si="87"/>
        <v>1171.8330924459549</v>
      </c>
      <c r="M250" s="306">
        <f t="shared" ca="1" si="103"/>
        <v>-1.2076259680812502</v>
      </c>
      <c r="N250" s="304">
        <f t="shared" ca="1" si="104"/>
        <v>-69.191871201455911</v>
      </c>
      <c r="P250" s="310">
        <f t="shared" ca="1" si="105"/>
        <v>23</v>
      </c>
      <c r="Q250" s="304">
        <f t="shared" ca="1" si="106"/>
        <v>0</v>
      </c>
      <c r="R250" s="306">
        <f t="shared" ca="1" si="107"/>
        <v>0</v>
      </c>
      <c r="S250" s="307">
        <f t="shared" ca="1" si="108"/>
        <v>4.341000000000002</v>
      </c>
      <c r="T250" s="304">
        <f t="shared" ca="1" si="88"/>
        <v>42.585210000000025</v>
      </c>
      <c r="U250" s="311">
        <f t="shared" ca="1" si="89"/>
        <v>0</v>
      </c>
      <c r="V250" s="306">
        <f t="shared" ca="1" si="90"/>
        <v>1.1024170861771301</v>
      </c>
      <c r="W250" s="304">
        <f t="shared" ca="1" si="91"/>
        <v>9.7456063510774698</v>
      </c>
      <c r="Y250" s="314" t="str">
        <f t="shared" ca="1" si="109"/>
        <v/>
      </c>
      <c r="Z250" s="315" t="str">
        <f t="shared" ca="1" si="110"/>
        <v/>
      </c>
      <c r="AA250" s="316" t="str">
        <f t="shared" ca="1" si="111"/>
        <v/>
      </c>
      <c r="AC250" s="310" t="e">
        <f t="shared" ca="1" si="112"/>
        <v>#N/A</v>
      </c>
      <c r="AD250" s="323" t="e">
        <f t="shared" ca="1" si="113"/>
        <v>#N/A</v>
      </c>
      <c r="AE250" s="324" t="e">
        <f t="shared" ca="1" si="92"/>
        <v>#N/A</v>
      </c>
      <c r="AG250" s="306">
        <f t="shared" ca="1" si="114"/>
        <v>6.9618864563778082</v>
      </c>
      <c r="AH250" s="304">
        <f t="shared" ca="1" si="115"/>
        <v>-2.1843659468141374</v>
      </c>
    </row>
    <row r="251" spans="1:34" x14ac:dyDescent="0.2">
      <c r="A251" s="347">
        <f t="shared" ca="1" si="93"/>
        <v>0.1</v>
      </c>
      <c r="B251" s="304">
        <f t="shared" ca="1" si="94"/>
        <v>15.699999999999962</v>
      </c>
      <c r="D251" s="306">
        <f t="shared" ca="1" si="95"/>
        <v>-0.79751789243087867</v>
      </c>
      <c r="E251" s="307">
        <f t="shared" ca="1" si="96"/>
        <v>-7.7114162708299308</v>
      </c>
      <c r="F251" s="304">
        <f t="shared" ca="1" si="97"/>
        <v>7.7525464004266356</v>
      </c>
      <c r="G251" s="306">
        <f t="shared" ca="1" si="98"/>
        <v>18.463317077364287</v>
      </c>
      <c r="H251" s="307">
        <f t="shared" ca="1" si="99"/>
        <v>-49.565260206328574</v>
      </c>
      <c r="I251" s="304">
        <f t="shared" ca="1" si="100"/>
        <v>52.892429484949453</v>
      </c>
      <c r="J251" s="306">
        <f t="shared" ca="1" si="101"/>
        <v>515.25079993075769</v>
      </c>
      <c r="K251" s="307">
        <f t="shared" ca="1" si="102"/>
        <v>1048.4636062919762</v>
      </c>
      <c r="L251" s="304">
        <f t="shared" ca="1" si="87"/>
        <v>1168.2291387172561</v>
      </c>
      <c r="M251" s="306">
        <f t="shared" ca="1" si="103"/>
        <v>-1.2142146719698257</v>
      </c>
      <c r="N251" s="304">
        <f t="shared" ca="1" si="104"/>
        <v>-69.569376126732706</v>
      </c>
      <c r="P251" s="310">
        <f t="shared" ca="1" si="105"/>
        <v>23</v>
      </c>
      <c r="Q251" s="304">
        <f t="shared" ca="1" si="106"/>
        <v>0</v>
      </c>
      <c r="R251" s="306">
        <f t="shared" ca="1" si="107"/>
        <v>0</v>
      </c>
      <c r="S251" s="307">
        <f t="shared" ca="1" si="108"/>
        <v>4.341000000000002</v>
      </c>
      <c r="T251" s="304">
        <f t="shared" ca="1" si="88"/>
        <v>42.585210000000025</v>
      </c>
      <c r="U251" s="311">
        <f t="shared" ca="1" si="89"/>
        <v>0</v>
      </c>
      <c r="V251" s="306">
        <f t="shared" ca="1" si="90"/>
        <v>1.1029608866726279</v>
      </c>
      <c r="W251" s="304">
        <f t="shared" ca="1" si="91"/>
        <v>10.011278940984583</v>
      </c>
      <c r="Y251" s="314" t="str">
        <f t="shared" ca="1" si="109"/>
        <v/>
      </c>
      <c r="Z251" s="315" t="str">
        <f t="shared" ca="1" si="110"/>
        <v/>
      </c>
      <c r="AA251" s="316" t="str">
        <f t="shared" ca="1" si="111"/>
        <v/>
      </c>
      <c r="AC251" s="310" t="e">
        <f t="shared" ca="1" si="112"/>
        <v>#N/A</v>
      </c>
      <c r="AD251" s="323" t="e">
        <f t="shared" ca="1" si="113"/>
        <v>#N/A</v>
      </c>
      <c r="AE251" s="324" t="e">
        <f t="shared" ca="1" si="92"/>
        <v>#N/A</v>
      </c>
      <c r="AG251" s="306">
        <f t="shared" ca="1" si="114"/>
        <v>6.9251314270070115</v>
      </c>
      <c r="AH251" s="304">
        <f t="shared" ca="1" si="115"/>
        <v>-2.2450141329365274</v>
      </c>
    </row>
    <row r="252" spans="1:34" x14ac:dyDescent="0.2">
      <c r="A252" s="347">
        <f t="shared" ca="1" si="93"/>
        <v>0.1</v>
      </c>
      <c r="B252" s="304">
        <f t="shared" ca="1" si="94"/>
        <v>15.799999999999962</v>
      </c>
      <c r="D252" s="306">
        <f t="shared" ca="1" si="95"/>
        <v>-0.8050372731491261</v>
      </c>
      <c r="E252" s="307">
        <f t="shared" ca="1" si="96"/>
        <v>-7.6488562709379746</v>
      </c>
      <c r="F252" s="304">
        <f t="shared" ca="1" si="97"/>
        <v>7.6911044242440605</v>
      </c>
      <c r="G252" s="306">
        <f t="shared" ca="1" si="98"/>
        <v>18.382813350049375</v>
      </c>
      <c r="H252" s="307">
        <f t="shared" ca="1" si="99"/>
        <v>-50.330145833422371</v>
      </c>
      <c r="I252" s="304">
        <f t="shared" ca="1" si="100"/>
        <v>53.582192996146738</v>
      </c>
      <c r="J252" s="306">
        <f t="shared" ca="1" si="101"/>
        <v>517.09310645212838</v>
      </c>
      <c r="K252" s="307">
        <f t="shared" ca="1" si="102"/>
        <v>1043.4688359899887</v>
      </c>
      <c r="L252" s="304">
        <f t="shared" ca="1" si="87"/>
        <v>1164.5653663159549</v>
      </c>
      <c r="M252" s="306">
        <f t="shared" ca="1" si="103"/>
        <v>-1.2206056554039013</v>
      </c>
      <c r="N252" s="304">
        <f t="shared" ca="1" si="104"/>
        <v>-69.935552504443265</v>
      </c>
      <c r="P252" s="310">
        <f t="shared" ca="1" si="105"/>
        <v>23</v>
      </c>
      <c r="Q252" s="304">
        <f t="shared" ca="1" si="106"/>
        <v>0</v>
      </c>
      <c r="R252" s="306">
        <f t="shared" ca="1" si="107"/>
        <v>0</v>
      </c>
      <c r="S252" s="307">
        <f t="shared" ca="1" si="108"/>
        <v>4.341000000000002</v>
      </c>
      <c r="T252" s="304">
        <f t="shared" ca="1" si="88"/>
        <v>42.585210000000025</v>
      </c>
      <c r="U252" s="311">
        <f t="shared" ca="1" si="89"/>
        <v>0</v>
      </c>
      <c r="V252" s="306">
        <f t="shared" ca="1" si="90"/>
        <v>1.1035134395806849</v>
      </c>
      <c r="W252" s="304">
        <f t="shared" ca="1" si="91"/>
        <v>10.279240195221488</v>
      </c>
      <c r="Y252" s="314" t="str">
        <f t="shared" ca="1" si="109"/>
        <v/>
      </c>
      <c r="Z252" s="315" t="str">
        <f t="shared" ca="1" si="110"/>
        <v/>
      </c>
      <c r="AA252" s="316" t="str">
        <f t="shared" ca="1" si="111"/>
        <v/>
      </c>
      <c r="AC252" s="310" t="e">
        <f t="shared" ca="1" si="112"/>
        <v>#N/A</v>
      </c>
      <c r="AD252" s="323" t="e">
        <f t="shared" ca="1" si="113"/>
        <v>#N/A</v>
      </c>
      <c r="AE252" s="324" t="e">
        <f t="shared" ca="1" si="92"/>
        <v>#N/A</v>
      </c>
      <c r="AG252" s="306">
        <f t="shared" ca="1" si="114"/>
        <v>6.8866924144644974</v>
      </c>
      <c r="AH252" s="304">
        <f t="shared" ca="1" si="115"/>
        <v>-2.3062149138411838</v>
      </c>
    </row>
    <row r="253" spans="1:34" x14ac:dyDescent="0.2">
      <c r="A253" s="347">
        <f t="shared" ca="1" si="93"/>
        <v>0.1</v>
      </c>
      <c r="B253" s="304">
        <f t="shared" ca="1" si="94"/>
        <v>15.899999999999961</v>
      </c>
      <c r="D253" s="306">
        <f t="shared" ca="1" si="95"/>
        <v>-0.8123865448780021</v>
      </c>
      <c r="E253" s="307">
        <f t="shared" ca="1" si="96"/>
        <v>-7.5857738982477283</v>
      </c>
      <c r="F253" s="304">
        <f t="shared" ca="1" si="97"/>
        <v>7.6291505119269569</v>
      </c>
      <c r="G253" s="306">
        <f t="shared" ca="1" si="98"/>
        <v>18.301574695561573</v>
      </c>
      <c r="H253" s="307">
        <f t="shared" ca="1" si="99"/>
        <v>-51.088723223247143</v>
      </c>
      <c r="I253" s="304">
        <f t="shared" ca="1" si="100"/>
        <v>54.267902824033762</v>
      </c>
      <c r="J253" s="306">
        <f t="shared" ca="1" si="101"/>
        <v>518.92732585440888</v>
      </c>
      <c r="K253" s="307">
        <f t="shared" ca="1" si="102"/>
        <v>1038.3978925371553</v>
      </c>
      <c r="L253" s="304">
        <f t="shared" ca="1" si="87"/>
        <v>1160.8426907828698</v>
      </c>
      <c r="M253" s="306">
        <f t="shared" ca="1" si="103"/>
        <v>-1.226807490952569</v>
      </c>
      <c r="N253" s="304">
        <f t="shared" ca="1" si="104"/>
        <v>-70.290891506616134</v>
      </c>
      <c r="P253" s="310">
        <f t="shared" ca="1" si="105"/>
        <v>23</v>
      </c>
      <c r="Q253" s="304">
        <f t="shared" ca="1" si="106"/>
        <v>0</v>
      </c>
      <c r="R253" s="306">
        <f t="shared" ca="1" si="107"/>
        <v>0</v>
      </c>
      <c r="S253" s="307">
        <f t="shared" ca="1" si="108"/>
        <v>4.341000000000002</v>
      </c>
      <c r="T253" s="304">
        <f t="shared" ca="1" si="88"/>
        <v>42.585210000000025</v>
      </c>
      <c r="U253" s="311">
        <f t="shared" ca="1" si="89"/>
        <v>0</v>
      </c>
      <c r="V253" s="306">
        <f t="shared" ca="1" si="90"/>
        <v>1.104074687639667</v>
      </c>
      <c r="W253" s="304">
        <f t="shared" ca="1" si="91"/>
        <v>10.549380318773487</v>
      </c>
      <c r="Y253" s="314" t="str">
        <f t="shared" ca="1" si="109"/>
        <v/>
      </c>
      <c r="Z253" s="315" t="str">
        <f t="shared" ca="1" si="110"/>
        <v/>
      </c>
      <c r="AA253" s="316" t="str">
        <f t="shared" ca="1" si="111"/>
        <v/>
      </c>
      <c r="AC253" s="310" t="e">
        <f t="shared" ca="1" si="112"/>
        <v>#N/A</v>
      </c>
      <c r="AD253" s="323" t="e">
        <f t="shared" ca="1" si="113"/>
        <v>#N/A</v>
      </c>
      <c r="AE253" s="324" t="e">
        <f t="shared" ca="1" si="92"/>
        <v>#N/A</v>
      </c>
      <c r="AG253" s="306">
        <f t="shared" ca="1" si="114"/>
        <v>6.8466618445791347</v>
      </c>
      <c r="AH253" s="304">
        <f t="shared" ca="1" si="115"/>
        <v>-2.3679429152779274</v>
      </c>
    </row>
    <row r="254" spans="1:34" x14ac:dyDescent="0.2">
      <c r="A254" s="347">
        <f t="shared" ca="1" si="93"/>
        <v>0.1</v>
      </c>
      <c r="B254" s="304">
        <f t="shared" ca="1" si="94"/>
        <v>15.999999999999961</v>
      </c>
      <c r="D254" s="306">
        <f t="shared" ca="1" si="95"/>
        <v>-0.81956345326861224</v>
      </c>
      <c r="E254" s="307">
        <f t="shared" ca="1" si="96"/>
        <v>-7.5221941076423864</v>
      </c>
      <c r="F254" s="304">
        <f t="shared" ca="1" si="97"/>
        <v>7.5667092217808536</v>
      </c>
      <c r="G254" s="306">
        <f t="shared" ca="1" si="98"/>
        <v>18.219618350234711</v>
      </c>
      <c r="H254" s="307">
        <f t="shared" ca="1" si="99"/>
        <v>-51.840942634011384</v>
      </c>
      <c r="I254" s="304">
        <f t="shared" ca="1" si="100"/>
        <v>54.949411516512789</v>
      </c>
      <c r="J254" s="306">
        <f t="shared" ca="1" si="101"/>
        <v>520.75338550669869</v>
      </c>
      <c r="K254" s="307">
        <f t="shared" ca="1" si="102"/>
        <v>1033.2514092442923</v>
      </c>
      <c r="L254" s="304">
        <f t="shared" ca="1" si="87"/>
        <v>1157.0620394870814</v>
      </c>
      <c r="M254" s="306">
        <f t="shared" ca="1" si="103"/>
        <v>-1.2328282882441444</v>
      </c>
      <c r="N254" s="304">
        <f t="shared" ca="1" si="104"/>
        <v>-70.635857780727193</v>
      </c>
      <c r="P254" s="310">
        <f t="shared" ca="1" si="105"/>
        <v>23</v>
      </c>
      <c r="Q254" s="304">
        <f t="shared" ca="1" si="106"/>
        <v>0</v>
      </c>
      <c r="R254" s="306">
        <f t="shared" ca="1" si="107"/>
        <v>0</v>
      </c>
      <c r="S254" s="307">
        <f t="shared" ca="1" si="108"/>
        <v>4.341000000000002</v>
      </c>
      <c r="T254" s="304">
        <f t="shared" ca="1" si="88"/>
        <v>42.585210000000025</v>
      </c>
      <c r="U254" s="311">
        <f t="shared" ca="1" si="89"/>
        <v>0</v>
      </c>
      <c r="V254" s="306">
        <f t="shared" ca="1" si="90"/>
        <v>1.1046445730907819</v>
      </c>
      <c r="W254" s="304">
        <f t="shared" ca="1" si="91"/>
        <v>10.821589948425059</v>
      </c>
      <c r="Y254" s="314" t="str">
        <f t="shared" ca="1" si="109"/>
        <v/>
      </c>
      <c r="Z254" s="315" t="str">
        <f t="shared" ca="1" si="110"/>
        <v/>
      </c>
      <c r="AA254" s="316" t="str">
        <f t="shared" ca="1" si="111"/>
        <v/>
      </c>
      <c r="AC254" s="310">
        <f t="shared" ca="1" si="112"/>
        <v>15.999999999999961</v>
      </c>
      <c r="AD254" s="323">
        <f t="shared" ca="1" si="113"/>
        <v>520.75338550669869</v>
      </c>
      <c r="AE254" s="324" t="e">
        <f t="shared" ca="1" si="92"/>
        <v>#N/A</v>
      </c>
      <c r="AG254" s="306">
        <f t="shared" ca="1" si="114"/>
        <v>6.8051273740318869</v>
      </c>
      <c r="AH254" s="304">
        <f t="shared" ca="1" si="115"/>
        <v>-2.4301728446840549</v>
      </c>
    </row>
    <row r="255" spans="1:34" x14ac:dyDescent="0.2">
      <c r="A255" s="347">
        <f t="shared" ca="1" si="93"/>
        <v>0.1</v>
      </c>
      <c r="B255" s="304">
        <f t="shared" ca="1" si="94"/>
        <v>16.099999999999962</v>
      </c>
      <c r="D255" s="306">
        <f t="shared" ca="1" si="95"/>
        <v>-0.82656596300121321</v>
      </c>
      <c r="E255" s="307">
        <f t="shared" ca="1" si="96"/>
        <v>-7.4581418080516357</v>
      </c>
      <c r="F255" s="304">
        <f t="shared" ca="1" si="97"/>
        <v>7.503805069443092</v>
      </c>
      <c r="G255" s="306">
        <f t="shared" ca="1" si="98"/>
        <v>18.136961753934589</v>
      </c>
      <c r="H255" s="307">
        <f t="shared" ca="1" si="99"/>
        <v>-52.586756814816546</v>
      </c>
      <c r="I255" s="304">
        <f t="shared" ca="1" si="100"/>
        <v>55.626579743539331</v>
      </c>
      <c r="J255" s="306">
        <f t="shared" ca="1" si="101"/>
        <v>522.5712145119071</v>
      </c>
      <c r="K255" s="307">
        <f t="shared" ca="1" si="102"/>
        <v>1028.0300242718508</v>
      </c>
      <c r="L255" s="304">
        <f t="shared" ca="1" si="87"/>
        <v>1153.2243515642704</v>
      </c>
      <c r="M255" s="306">
        <f t="shared" ca="1" si="103"/>
        <v>-1.2386757225910261</v>
      </c>
      <c r="N255" s="304">
        <f t="shared" ca="1" si="104"/>
        <v>-70.97089108978335</v>
      </c>
      <c r="P255" s="310">
        <f t="shared" ca="1" si="105"/>
        <v>23</v>
      </c>
      <c r="Q255" s="304">
        <f t="shared" ca="1" si="106"/>
        <v>0</v>
      </c>
      <c r="R255" s="306">
        <f t="shared" ca="1" si="107"/>
        <v>0</v>
      </c>
      <c r="S255" s="307">
        <f t="shared" ca="1" si="108"/>
        <v>4.341000000000002</v>
      </c>
      <c r="T255" s="304">
        <f t="shared" ca="1" si="88"/>
        <v>42.585210000000025</v>
      </c>
      <c r="U255" s="311">
        <f t="shared" ca="1" si="89"/>
        <v>0</v>
      </c>
      <c r="V255" s="306">
        <f t="shared" ca="1" si="90"/>
        <v>1.1052230376997356</v>
      </c>
      <c r="W255" s="304">
        <f t="shared" ca="1" si="91"/>
        <v>11.095760228175156</v>
      </c>
      <c r="Y255" s="314" t="str">
        <f t="shared" ca="1" si="109"/>
        <v/>
      </c>
      <c r="Z255" s="315" t="str">
        <f t="shared" ca="1" si="110"/>
        <v/>
      </c>
      <c r="AA255" s="316" t="str">
        <f t="shared" ca="1" si="111"/>
        <v/>
      </c>
      <c r="AC255" s="310" t="e">
        <f t="shared" ca="1" si="112"/>
        <v>#N/A</v>
      </c>
      <c r="AD255" s="323" t="e">
        <f t="shared" ca="1" si="113"/>
        <v>#N/A</v>
      </c>
      <c r="AE255" s="324" t="e">
        <f t="shared" ca="1" si="92"/>
        <v>#N/A</v>
      </c>
      <c r="AG255" s="306">
        <f t="shared" ca="1" si="114"/>
        <v>6.7621722414386216</v>
      </c>
      <c r="AH255" s="304">
        <f t="shared" ca="1" si="115"/>
        <v>-2.4928795089668405</v>
      </c>
    </row>
    <row r="256" spans="1:34" x14ac:dyDescent="0.2">
      <c r="A256" s="347">
        <f t="shared" ca="1" si="93"/>
        <v>0.1</v>
      </c>
      <c r="B256" s="304">
        <f t="shared" ca="1" si="94"/>
        <v>16.199999999999964</v>
      </c>
      <c r="D256" s="306">
        <f t="shared" ca="1" si="95"/>
        <v>-0.83339224903064713</v>
      </c>
      <c r="E256" s="307">
        <f t="shared" ca="1" si="96"/>
        <v>-7.3936418400330863</v>
      </c>
      <c r="F256" s="304">
        <f t="shared" ca="1" si="97"/>
        <v>7.4404625057473543</v>
      </c>
      <c r="G256" s="306">
        <f t="shared" ca="1" si="98"/>
        <v>18.053622529031525</v>
      </c>
      <c r="H256" s="307">
        <f t="shared" ca="1" si="99"/>
        <v>-53.326120998819853</v>
      </c>
      <c r="I256" s="304">
        <f t="shared" ca="1" si="100"/>
        <v>56.299275902994793</v>
      </c>
      <c r="J256" s="306">
        <f t="shared" ca="1" si="101"/>
        <v>524.38074372605536</v>
      </c>
      <c r="K256" s="307">
        <f t="shared" ca="1" si="102"/>
        <v>1022.734380381169</v>
      </c>
      <c r="L256" s="304">
        <f t="shared" ca="1" si="87"/>
        <v>1149.3305778601491</v>
      </c>
      <c r="M256" s="306">
        <f t="shared" ca="1" si="103"/>
        <v>-1.2443570617220425</v>
      </c>
      <c r="N256" s="304">
        <f t="shared" ca="1" si="104"/>
        <v>-71.296407843973114</v>
      </c>
      <c r="P256" s="310">
        <f t="shared" ca="1" si="105"/>
        <v>23</v>
      </c>
      <c r="Q256" s="304">
        <f t="shared" ca="1" si="106"/>
        <v>0</v>
      </c>
      <c r="R256" s="306">
        <f t="shared" ca="1" si="107"/>
        <v>0</v>
      </c>
      <c r="S256" s="307">
        <f t="shared" ca="1" si="108"/>
        <v>4.341000000000002</v>
      </c>
      <c r="T256" s="304">
        <f t="shared" ca="1" si="88"/>
        <v>42.585210000000025</v>
      </c>
      <c r="U256" s="311">
        <f t="shared" ca="1" si="89"/>
        <v>0</v>
      </c>
      <c r="V256" s="306">
        <f t="shared" ca="1" si="90"/>
        <v>1.1058100227783774</v>
      </c>
      <c r="W256" s="304">
        <f t="shared" ca="1" si="91"/>
        <v>11.371782882793669</v>
      </c>
      <c r="Y256" s="314" t="str">
        <f t="shared" ca="1" si="109"/>
        <v/>
      </c>
      <c r="Z256" s="315" t="str">
        <f t="shared" ca="1" si="110"/>
        <v/>
      </c>
      <c r="AA256" s="316" t="str">
        <f t="shared" ca="1" si="111"/>
        <v/>
      </c>
      <c r="AC256" s="310" t="e">
        <f t="shared" ca="1" si="112"/>
        <v>#N/A</v>
      </c>
      <c r="AD256" s="323" t="e">
        <f t="shared" ca="1" si="113"/>
        <v>#N/A</v>
      </c>
      <c r="AE256" s="324" t="e">
        <f t="shared" ca="1" si="92"/>
        <v>#N/A</v>
      </c>
      <c r="AG256" s="306">
        <f t="shared" ca="1" si="114"/>
        <v>6.7178755874232996</v>
      </c>
      <c r="AH256" s="304">
        <f t="shared" ca="1" si="115"/>
        <v>-2.5560378318763304</v>
      </c>
    </row>
    <row r="257" spans="1:34" x14ac:dyDescent="0.2">
      <c r="A257" s="347">
        <f t="shared" ca="1" si="93"/>
        <v>0.1</v>
      </c>
      <c r="B257" s="304">
        <f t="shared" ca="1" si="94"/>
        <v>16.299999999999965</v>
      </c>
      <c r="D257" s="306">
        <f t="shared" ca="1" si="95"/>
        <v>-0.84004068830363432</v>
      </c>
      <c r="E257" s="307">
        <f t="shared" ca="1" si="96"/>
        <v>-7.3287189542499771</v>
      </c>
      <c r="F257" s="304">
        <f t="shared" ca="1" si="97"/>
        <v>7.3767058954785858</v>
      </c>
      <c r="G257" s="306">
        <f t="shared" ca="1" si="98"/>
        <v>17.969618460201161</v>
      </c>
      <c r="H257" s="307">
        <f t="shared" ca="1" si="99"/>
        <v>-54.058992894244852</v>
      </c>
      <c r="I257" s="304">
        <f t="shared" ca="1" si="100"/>
        <v>56.967375754419457</v>
      </c>
      <c r="J257" s="306">
        <f t="shared" ca="1" si="101"/>
        <v>526.18190577551695</v>
      </c>
      <c r="K257" s="307">
        <f t="shared" ca="1" si="102"/>
        <v>1017.3651246865157</v>
      </c>
      <c r="L257" s="304">
        <f t="shared" ca="1" si="87"/>
        <v>1145.3816808793324</v>
      </c>
      <c r="M257" s="306">
        <f t="shared" ca="1" si="103"/>
        <v>-1.2498791907434319</v>
      </c>
      <c r="N257" s="304">
        <f t="shared" ca="1" si="104"/>
        <v>-71.612802530825434</v>
      </c>
      <c r="P257" s="310">
        <f t="shared" ca="1" si="105"/>
        <v>23</v>
      </c>
      <c r="Q257" s="304">
        <f t="shared" ca="1" si="106"/>
        <v>0</v>
      </c>
      <c r="R257" s="306">
        <f t="shared" ca="1" si="107"/>
        <v>0</v>
      </c>
      <c r="S257" s="307">
        <f t="shared" ca="1" si="108"/>
        <v>4.341000000000002</v>
      </c>
      <c r="T257" s="304">
        <f t="shared" ca="1" si="88"/>
        <v>42.585210000000025</v>
      </c>
      <c r="U257" s="311">
        <f t="shared" ca="1" si="89"/>
        <v>0</v>
      </c>
      <c r="V257" s="306">
        <f t="shared" ca="1" si="90"/>
        <v>1.1064054692063052</v>
      </c>
      <c r="W257" s="304">
        <f t="shared" ca="1" si="91"/>
        <v>11.649550289445095</v>
      </c>
      <c r="Y257" s="314" t="str">
        <f t="shared" ca="1" si="109"/>
        <v/>
      </c>
      <c r="Z257" s="315" t="str">
        <f t="shared" ca="1" si="110"/>
        <v/>
      </c>
      <c r="AA257" s="316" t="str">
        <f t="shared" ca="1" si="111"/>
        <v/>
      </c>
      <c r="AC257" s="310" t="e">
        <f t="shared" ca="1" si="112"/>
        <v>#N/A</v>
      </c>
      <c r="AD257" s="323" t="e">
        <f t="shared" ca="1" si="113"/>
        <v>#N/A</v>
      </c>
      <c r="AE257" s="324" t="e">
        <f t="shared" ca="1" si="92"/>
        <v>#N/A</v>
      </c>
      <c r="AG257" s="306">
        <f t="shared" ca="1" si="114"/>
        <v>6.6723127464777026</v>
      </c>
      <c r="AH257" s="304">
        <f t="shared" ca="1" si="115"/>
        <v>-2.6196228709499341</v>
      </c>
    </row>
    <row r="258" spans="1:34" x14ac:dyDescent="0.2">
      <c r="A258" s="347">
        <f t="shared" ca="1" si="93"/>
        <v>0.1</v>
      </c>
      <c r="B258" s="304">
        <f t="shared" ca="1" si="94"/>
        <v>16.399999999999967</v>
      </c>
      <c r="D258" s="306">
        <f t="shared" ca="1" si="95"/>
        <v>-0.84650985190403738</v>
      </c>
      <c r="E258" s="307">
        <f t="shared" ca="1" si="96"/>
        <v>-7.2633977908133991</v>
      </c>
      <c r="F258" s="304">
        <f t="shared" ca="1" si="97"/>
        <v>7.3125594969862338</v>
      </c>
      <c r="G258" s="306">
        <f t="shared" ca="1" si="98"/>
        <v>17.884967475010757</v>
      </c>
      <c r="H258" s="307">
        <f t="shared" ca="1" si="99"/>
        <v>-54.785332673326195</v>
      </c>
      <c r="I258" s="304">
        <f t="shared" ca="1" si="100"/>
        <v>57.630762078157659</v>
      </c>
      <c r="J258" s="306">
        <f t="shared" ca="1" si="101"/>
        <v>527.97463507227758</v>
      </c>
      <c r="K258" s="307">
        <f t="shared" ca="1" si="102"/>
        <v>1011.9229084081372</v>
      </c>
      <c r="L258" s="304">
        <f t="shared" ca="1" si="87"/>
        <v>1141.3786347399744</v>
      </c>
      <c r="M258" s="306">
        <f t="shared" ca="1" si="103"/>
        <v>-1.2552486354440371</v>
      </c>
      <c r="N258" s="304">
        <f t="shared" ca="1" si="104"/>
        <v>-71.920449050499002</v>
      </c>
      <c r="P258" s="310">
        <f t="shared" ca="1" si="105"/>
        <v>23</v>
      </c>
      <c r="Q258" s="304">
        <f t="shared" ca="1" si="106"/>
        <v>0</v>
      </c>
      <c r="R258" s="306">
        <f t="shared" ca="1" si="107"/>
        <v>0</v>
      </c>
      <c r="S258" s="307">
        <f t="shared" ca="1" si="108"/>
        <v>4.341000000000002</v>
      </c>
      <c r="T258" s="304">
        <f t="shared" ca="1" si="88"/>
        <v>42.585210000000025</v>
      </c>
      <c r="U258" s="311">
        <f t="shared" ca="1" si="89"/>
        <v>0</v>
      </c>
      <c r="V258" s="306">
        <f t="shared" ca="1" si="90"/>
        <v>1.1070093174524329</v>
      </c>
      <c r="W258" s="304">
        <f t="shared" ca="1" si="91"/>
        <v>11.928955547312217</v>
      </c>
      <c r="Y258" s="314" t="str">
        <f t="shared" ca="1" si="109"/>
        <v/>
      </c>
      <c r="Z258" s="315" t="str">
        <f t="shared" ca="1" si="110"/>
        <v/>
      </c>
      <c r="AA258" s="316" t="str">
        <f t="shared" ca="1" si="111"/>
        <v/>
      </c>
      <c r="AC258" s="310" t="e">
        <f t="shared" ca="1" si="112"/>
        <v>#N/A</v>
      </c>
      <c r="AD258" s="323" t="e">
        <f t="shared" ca="1" si="113"/>
        <v>#N/A</v>
      </c>
      <c r="AE258" s="324" t="e">
        <f t="shared" ca="1" si="92"/>
        <v>#N/A</v>
      </c>
      <c r="AG258" s="306">
        <f t="shared" ca="1" si="114"/>
        <v>6.6255555131632864</v>
      </c>
      <c r="AH258" s="304">
        <f t="shared" ca="1" si="115"/>
        <v>-2.6836098340117691</v>
      </c>
    </row>
    <row r="259" spans="1:34" x14ac:dyDescent="0.2">
      <c r="A259" s="347">
        <f t="shared" ca="1" si="93"/>
        <v>0.1</v>
      </c>
      <c r="B259" s="304">
        <f t="shared" ca="1" si="94"/>
        <v>16.499999999999968</v>
      </c>
      <c r="D259" s="306">
        <f t="shared" ca="1" si="95"/>
        <v>-0.85279849758664172</v>
      </c>
      <c r="E259" s="307">
        <f t="shared" ca="1" si="96"/>
        <v>-7.1977028594613754</v>
      </c>
      <c r="F259" s="304">
        <f t="shared" ca="1" si="97"/>
        <v>7.2480474426278763</v>
      </c>
      <c r="G259" s="306">
        <f t="shared" ca="1" si="98"/>
        <v>17.799687625252094</v>
      </c>
      <c r="H259" s="307">
        <f t="shared" ca="1" si="99"/>
        <v>-55.505102959272335</v>
      </c>
      <c r="I259" s="304">
        <f t="shared" ca="1" si="100"/>
        <v>58.28932435768985</v>
      </c>
      <c r="J259" s="306">
        <f t="shared" ca="1" si="101"/>
        <v>529.75886782729071</v>
      </c>
      <c r="K259" s="307">
        <f t="shared" ca="1" si="102"/>
        <v>1006.4083866265073</v>
      </c>
      <c r="L259" s="304">
        <f t="shared" ca="1" si="87"/>
        <v>1137.3224251345009</v>
      </c>
      <c r="M259" s="306">
        <f t="shared" ca="1" si="103"/>
        <v>-1.2604715840544443</v>
      </c>
      <c r="N259" s="304">
        <f t="shared" ca="1" si="104"/>
        <v>-72.219701962489054</v>
      </c>
      <c r="P259" s="310">
        <f t="shared" ca="1" si="105"/>
        <v>23</v>
      </c>
      <c r="Q259" s="304">
        <f t="shared" ca="1" si="106"/>
        <v>0</v>
      </c>
      <c r="R259" s="306">
        <f t="shared" ca="1" si="107"/>
        <v>0</v>
      </c>
      <c r="S259" s="307">
        <f t="shared" ca="1" si="108"/>
        <v>4.341000000000002</v>
      </c>
      <c r="T259" s="304">
        <f t="shared" ca="1" si="88"/>
        <v>42.585210000000025</v>
      </c>
      <c r="U259" s="311">
        <f t="shared" ca="1" si="89"/>
        <v>0</v>
      </c>
      <c r="V259" s="306">
        <f t="shared" ca="1" si="90"/>
        <v>1.1076215075964773</v>
      </c>
      <c r="W259" s="304">
        <f t="shared" ca="1" si="91"/>
        <v>12.209892545158246</v>
      </c>
      <c r="Y259" s="314" t="str">
        <f t="shared" ca="1" si="109"/>
        <v/>
      </c>
      <c r="Z259" s="315" t="str">
        <f t="shared" ca="1" si="110"/>
        <v/>
      </c>
      <c r="AA259" s="316" t="str">
        <f t="shared" ca="1" si="111"/>
        <v/>
      </c>
      <c r="AC259" s="310" t="e">
        <f t="shared" ca="1" si="112"/>
        <v>#N/A</v>
      </c>
      <c r="AD259" s="323" t="e">
        <f t="shared" ca="1" si="113"/>
        <v>#N/A</v>
      </c>
      <c r="AE259" s="324" t="e">
        <f t="shared" ca="1" si="92"/>
        <v>#N/A</v>
      </c>
      <c r="AG259" s="306">
        <f t="shared" ca="1" si="114"/>
        <v>6.5776723849872418</v>
      </c>
      <c r="AH259" s="304">
        <f t="shared" ca="1" si="115"/>
        <v>-2.7479740952112905</v>
      </c>
    </row>
    <row r="260" spans="1:34" x14ac:dyDescent="0.2">
      <c r="A260" s="347">
        <f t="shared" ca="1" si="93"/>
        <v>0.1</v>
      </c>
      <c r="B260" s="304">
        <f t="shared" ca="1" si="94"/>
        <v>16.599999999999969</v>
      </c>
      <c r="D260" s="306">
        <f t="shared" ca="1" si="95"/>
        <v>-0.85890556266391549</v>
      </c>
      <c r="E260" s="307">
        <f t="shared" ca="1" si="96"/>
        <v>-7.1316585205507419</v>
      </c>
      <c r="F260" s="304">
        <f t="shared" ca="1" si="97"/>
        <v>7.1831937200189033</v>
      </c>
      <c r="G260" s="306">
        <f t="shared" ca="1" si="98"/>
        <v>17.713797068985702</v>
      </c>
      <c r="H260" s="307">
        <f t="shared" ca="1" si="99"/>
        <v>-56.218268811327412</v>
      </c>
      <c r="I260" s="304">
        <f t="shared" ca="1" si="100"/>
        <v>58.942958483129054</v>
      </c>
      <c r="J260" s="306">
        <f t="shared" ca="1" si="101"/>
        <v>531.53454206200263</v>
      </c>
      <c r="K260" s="307">
        <f t="shared" ca="1" si="102"/>
        <v>1000.8222180379773</v>
      </c>
      <c r="L260" s="304">
        <f t="shared" ref="L260:L323" ca="1" si="116">SQRT(pos_x^2+pos_z^2)</f>
        <v>1133.2140492967424</v>
      </c>
      <c r="M260" s="306">
        <f t="shared" ca="1" si="103"/>
        <v>-1.265553907563804</v>
      </c>
      <c r="N260" s="304">
        <f t="shared" ca="1" si="104"/>
        <v>-72.51089764969548</v>
      </c>
      <c r="P260" s="310">
        <f t="shared" ca="1" si="105"/>
        <v>23</v>
      </c>
      <c r="Q260" s="304">
        <f t="shared" ca="1" si="106"/>
        <v>0</v>
      </c>
      <c r="R260" s="306">
        <f t="shared" ca="1" si="107"/>
        <v>0</v>
      </c>
      <c r="S260" s="307">
        <f t="shared" ca="1" si="108"/>
        <v>4.341000000000002</v>
      </c>
      <c r="T260" s="304">
        <f t="shared" ref="T260:T323" ca="1" si="117">m*g</f>
        <v>42.585210000000025</v>
      </c>
      <c r="U260" s="311">
        <f t="shared" ref="U260:U323" ca="1" si="118">IF(pos_xz&lt;L_rampe,Poids*COS(Beta),0)</f>
        <v>0</v>
      </c>
      <c r="V260" s="306">
        <f t="shared" ref="V260:V323" ca="1" si="119">Rho_moyen*(20000-Alt_rampe-pos_z)/(20000+Alt_rampe+pos_z)</f>
        <v>1.1082419793503624</v>
      </c>
      <c r="W260" s="304">
        <f t="shared" ref="W260:W323" ca="1" si="120">1/2*Rho*Sref*Cx*vit_xz^2</f>
        <v>12.492256026772287</v>
      </c>
      <c r="Y260" s="314" t="str">
        <f t="shared" ca="1" si="109"/>
        <v/>
      </c>
      <c r="Z260" s="315" t="str">
        <f t="shared" ca="1" si="110"/>
        <v/>
      </c>
      <c r="AA260" s="316" t="str">
        <f t="shared" ca="1" si="111"/>
        <v/>
      </c>
      <c r="AC260" s="310" t="e">
        <f t="shared" ca="1" si="112"/>
        <v>#N/A</v>
      </c>
      <c r="AD260" s="323" t="e">
        <f t="shared" ca="1" si="113"/>
        <v>#N/A</v>
      </c>
      <c r="AE260" s="324" t="e">
        <f t="shared" ref="AE260:AE323" ca="1" si="121">IF(t&lt;T_para, pos_z, NA())</f>
        <v>#N/A</v>
      </c>
      <c r="AG260" s="306">
        <f t="shared" ca="1" si="114"/>
        <v>6.5287287840783961</v>
      </c>
      <c r="AH260" s="304">
        <f t="shared" ca="1" si="115"/>
        <v>-2.8126912105870168</v>
      </c>
    </row>
    <row r="261" spans="1:34" x14ac:dyDescent="0.2">
      <c r="A261" s="347">
        <f t="shared" ref="A261:A324" ca="1" si="122">IF(B260+0.01&lt;=T_ini+ROUNDUP(Temps_fin_propu,0), 0.01, IF(K260&gt;0, 0.1, 0.0001))</f>
        <v>0.1</v>
      </c>
      <c r="B261" s="304">
        <f t="shared" ref="B261:B324" ca="1" si="123">B260+pas</f>
        <v>16.699999999999971</v>
      </c>
      <c r="D261" s="306">
        <f t="shared" ref="D261:D324" ca="1" si="124">IF(AND(L260&lt;L_rampe,Poussee&lt;Poids*SIN(M260)),0,(-W260+Poussee)/m*COS(M260)-U260/m*SIN(M260))</f>
        <v>-0.86483015721385714</v>
      </c>
      <c r="E261" s="307">
        <f t="shared" ref="E261:E324" ca="1" si="125">IF(AND(L260&lt;L_rampe,Poussee&lt;Poids*SIN(M260)),0,(-W260+Poussee)/m*SIN(M260)+U260/m*COS(M260)-Poids/m)</f>
        <v>-7.0652889668406313</v>
      </c>
      <c r="F261" s="304">
        <f t="shared" ref="F261:F324" ca="1" si="126">SQRT(acc_x^2+acc_z^2)</f>
        <v>7.1180221540668516</v>
      </c>
      <c r="G261" s="306">
        <f t="shared" ref="G261:G324" ca="1" si="127">G260+acc_x*pas</f>
        <v>17.627314053264318</v>
      </c>
      <c r="H261" s="307">
        <f t="shared" ref="H261:H324" ca="1" si="128">H260+acc_z*pas</f>
        <v>-56.924797708011475</v>
      </c>
      <c r="I261" s="304">
        <f t="shared" ref="I261:I324" ca="1" si="129">SQRT(vit_x^2+vit_z^2)</f>
        <v>59.591566474044278</v>
      </c>
      <c r="J261" s="306">
        <f t="shared" ref="J261:J324" ca="1" si="130">J260+0.5*(vit_x+G260)*pas*(K260&gt;=0)</f>
        <v>533.30159761811512</v>
      </c>
      <c r="K261" s="307">
        <f t="shared" ref="K261:K324" ca="1" si="131">K260+0.5*(vit_z+H260)*pas</f>
        <v>995.16506471201035</v>
      </c>
      <c r="L261" s="304">
        <f t="shared" ca="1" si="116"/>
        <v>1129.054515975776</v>
      </c>
      <c r="M261" s="306">
        <f t="shared" ref="M261:M324" ca="1" si="132">IF(AND(L260&gt;L_rampe,G261&gt;0),ATAN2(G261,H261),$M$4)</f>
        <v>-1.2705011786920772</v>
      </c>
      <c r="N261" s="304">
        <f t="shared" ref="N261:N324" ca="1" si="133">DEGREES(Beta)</f>
        <v>-72.794355405452464</v>
      </c>
      <c r="P261" s="310">
        <f t="shared" ref="P261:P324" ca="1" si="134">MATCH(t-pas/2-T_ini,CdP_t)</f>
        <v>23</v>
      </c>
      <c r="Q261" s="304">
        <f t="shared" ref="Q261:Q324" ca="1" si="135">(INDEX(CdP,2,i_P+1)-INDEX(CdP,2,i_P+0))/(INDEX(CdP,1,i_P+1)-INDEX(CdP,1,i_P+0))*(t-pas/2-T_ini-INDEX(CdP,1,i_P+0))+INDEX(CdP,2,i_P+0)</f>
        <v>0</v>
      </c>
      <c r="R261" s="306">
        <f t="shared" ref="R261:R324" ca="1" si="136">Poussee/(g*ISP)</f>
        <v>0</v>
      </c>
      <c r="S261" s="307">
        <f t="shared" ref="S261:S324" ca="1" si="137">S260-Débit*pas</f>
        <v>4.341000000000002</v>
      </c>
      <c r="T261" s="304">
        <f t="shared" ca="1" si="117"/>
        <v>42.585210000000025</v>
      </c>
      <c r="U261" s="311">
        <f t="shared" ca="1" si="118"/>
        <v>0</v>
      </c>
      <c r="V261" s="306">
        <f t="shared" ca="1" si="119"/>
        <v>1.1088706720795256</v>
      </c>
      <c r="W261" s="304">
        <f t="shared" ca="1" si="120"/>
        <v>12.77594165424898</v>
      </c>
      <c r="Y261" s="314" t="str">
        <f t="shared" ref="Y261:Y324" ca="1" si="138">IF(AND(pos_z&lt;=0,K260&gt;0),"Impact balistique","") &amp; IF(AND(H262&lt;0,vit_z&gt;=0),"Apogée","") &amp; IF(AND(Poussee=0,Q260&gt;0),"Fin de propulsion","") &amp; IF(AND(L262&gt;L_rampe,pos_xz&lt;=L_rampe),"Sortie de rampe","")</f>
        <v/>
      </c>
      <c r="Z261" s="315" t="str">
        <f t="shared" ref="Z261:Z324" ca="1" si="139">IF(ABS(t-T_para)&lt;pas/2,"Para","")</f>
        <v/>
      </c>
      <c r="AA261" s="316" t="str">
        <f t="shared" ref="AA261:AA324" ca="1" si="140">IF(ABS(t-T_satellite)&lt;pas/2,"Satellite","")</f>
        <v/>
      </c>
      <c r="AC261" s="310" t="e">
        <f t="shared" ref="AC261:AC324" ca="1" si="141">IF(ABS(t-ROUND(t,0))&lt;0.001,t,NA())</f>
        <v>#N/A</v>
      </c>
      <c r="AD261" s="323" t="e">
        <f t="shared" ref="AD261:AD324" ca="1" si="142">IF(ABS(t-ROUND(t,0))&lt;0.001,pos_x,NA())</f>
        <v>#N/A</v>
      </c>
      <c r="AE261" s="324" t="e">
        <f t="shared" ca="1" si="121"/>
        <v>#N/A</v>
      </c>
      <c r="AG261" s="306">
        <f t="shared" ref="AG261:AG324" ca="1" si="143">IF(AND(L260&lt;L_rampe,Poussee&lt;Poids*SIN(M260)),0,(-W260+Poussee)/m-Poids*SIN(M260)/m)</f>
        <v>6.4787872595982829</v>
      </c>
      <c r="AH261" s="304">
        <f t="shared" ref="AH261:AH324" ca="1" si="144">IF(AND(L260&lt;L_rampe,Poussee&lt;Poids*SIN(M260)), g*SIN(M260), (-W260+Poussee)/m)</f>
        <v>-2.8777369331426588</v>
      </c>
    </row>
    <row r="262" spans="1:34" x14ac:dyDescent="0.2">
      <c r="A262" s="347">
        <f t="shared" ca="1" si="122"/>
        <v>0.1</v>
      </c>
      <c r="B262" s="304">
        <f t="shared" ca="1" si="123"/>
        <v>16.799999999999972</v>
      </c>
      <c r="D262" s="306">
        <f t="shared" ca="1" si="124"/>
        <v>-0.87057155758031213</v>
      </c>
      <c r="E262" s="307">
        <f t="shared" ca="1" si="125"/>
        <v>-6.9986182060487838</v>
      </c>
      <c r="F262" s="304">
        <f t="shared" ca="1" si="126"/>
        <v>7.0525563897713939</v>
      </c>
      <c r="G262" s="306">
        <f t="shared" ca="1" si="127"/>
        <v>17.540256897506286</v>
      </c>
      <c r="H262" s="307">
        <f t="shared" ca="1" si="128"/>
        <v>-57.624659528616355</v>
      </c>
      <c r="I262" s="304">
        <f t="shared" ca="1" si="129"/>
        <v>60.235056219941164</v>
      </c>
      <c r="J262" s="306">
        <f t="shared" ca="1" si="130"/>
        <v>535.05997616565367</v>
      </c>
      <c r="K262" s="307">
        <f t="shared" ca="1" si="131"/>
        <v>989.43759185017893</v>
      </c>
      <c r="L262" s="304">
        <f t="shared" ca="1" si="116"/>
        <v>1124.8448454167674</v>
      </c>
      <c r="M262" s="306">
        <f t="shared" ca="1" si="132"/>
        <v>-1.2753186896095343</v>
      </c>
      <c r="N262" s="304">
        <f t="shared" ca="1" si="133"/>
        <v>-73.070378448780957</v>
      </c>
      <c r="P262" s="310">
        <f t="shared" ca="1" si="134"/>
        <v>23</v>
      </c>
      <c r="Q262" s="304">
        <f t="shared" ca="1" si="135"/>
        <v>0</v>
      </c>
      <c r="R262" s="306">
        <f t="shared" ca="1" si="136"/>
        <v>0</v>
      </c>
      <c r="S262" s="307">
        <f t="shared" ca="1" si="137"/>
        <v>4.341000000000002</v>
      </c>
      <c r="T262" s="304">
        <f t="shared" ca="1" si="117"/>
        <v>42.585210000000025</v>
      </c>
      <c r="U262" s="311">
        <f t="shared" ca="1" si="118"/>
        <v>0</v>
      </c>
      <c r="V262" s="306">
        <f t="shared" ca="1" si="119"/>
        <v>1.1095075248240962</v>
      </c>
      <c r="W262" s="304">
        <f t="shared" ca="1" si="120"/>
        <v>13.060846069058568</v>
      </c>
      <c r="Y262" s="314" t="str">
        <f t="shared" ca="1" si="138"/>
        <v/>
      </c>
      <c r="Z262" s="315" t="str">
        <f t="shared" ca="1" si="139"/>
        <v/>
      </c>
      <c r="AA262" s="316" t="str">
        <f t="shared" ca="1" si="140"/>
        <v/>
      </c>
      <c r="AC262" s="310" t="e">
        <f t="shared" ca="1" si="141"/>
        <v>#N/A</v>
      </c>
      <c r="AD262" s="323" t="e">
        <f t="shared" ca="1" si="142"/>
        <v>#N/A</v>
      </c>
      <c r="AE262" s="324" t="e">
        <f t="shared" ca="1" si="121"/>
        <v>#N/A</v>
      </c>
      <c r="AG262" s="306">
        <f t="shared" ca="1" si="143"/>
        <v>6.4279076726480522</v>
      </c>
      <c r="AH262" s="304">
        <f t="shared" ca="1" si="144"/>
        <v>-2.9430872274243201</v>
      </c>
    </row>
    <row r="263" spans="1:34" x14ac:dyDescent="0.2">
      <c r="A263" s="347">
        <f t="shared" ca="1" si="122"/>
        <v>0.1</v>
      </c>
      <c r="B263" s="304">
        <f t="shared" ca="1" si="123"/>
        <v>16.899999999999974</v>
      </c>
      <c r="D263" s="306">
        <f t="shared" ca="1" si="124"/>
        <v>-0.87612920014008389</v>
      </c>
      <c r="E263" s="307">
        <f t="shared" ca="1" si="125"/>
        <v>-6.9316700441640036</v>
      </c>
      <c r="F263" s="304">
        <f t="shared" ca="1" si="126"/>
        <v>6.9868198757731479</v>
      </c>
      <c r="G263" s="306">
        <f t="shared" ca="1" si="127"/>
        <v>17.452643977492276</v>
      </c>
      <c r="H263" s="307">
        <f t="shared" ca="1" si="128"/>
        <v>-58.317826533032758</v>
      </c>
      <c r="I263" s="304">
        <f t="shared" ca="1" si="129"/>
        <v>60.873341236882972</v>
      </c>
      <c r="J263" s="306">
        <f t="shared" ca="1" si="130"/>
        <v>536.80962120940364</v>
      </c>
      <c r="K263" s="307">
        <f t="shared" ca="1" si="131"/>
        <v>983.64046754709648</v>
      </c>
      <c r="L263" s="304">
        <f t="shared" ca="1" si="116"/>
        <v>1120.5860693490947</v>
      </c>
      <c r="M263" s="306">
        <f t="shared" ca="1" si="132"/>
        <v>-1.2800114684895803</v>
      </c>
      <c r="N263" s="304">
        <f t="shared" ca="1" si="133"/>
        <v>-73.339254872795706</v>
      </c>
      <c r="P263" s="310">
        <f t="shared" ca="1" si="134"/>
        <v>23</v>
      </c>
      <c r="Q263" s="304">
        <f t="shared" ca="1" si="135"/>
        <v>0</v>
      </c>
      <c r="R263" s="306">
        <f t="shared" ca="1" si="136"/>
        <v>0</v>
      </c>
      <c r="S263" s="307">
        <f t="shared" ca="1" si="137"/>
        <v>4.341000000000002</v>
      </c>
      <c r="T263" s="304">
        <f t="shared" ca="1" si="117"/>
        <v>42.585210000000025</v>
      </c>
      <c r="U263" s="311">
        <f t="shared" ca="1" si="118"/>
        <v>0</v>
      </c>
      <c r="V263" s="306">
        <f t="shared" ca="1" si="119"/>
        <v>1.1101524763199448</v>
      </c>
      <c r="W263" s="304">
        <f t="shared" ca="1" si="120"/>
        <v>13.346866950869687</v>
      </c>
      <c r="Y263" s="314" t="str">
        <f t="shared" ca="1" si="138"/>
        <v/>
      </c>
      <c r="Z263" s="315" t="str">
        <f t="shared" ca="1" si="139"/>
        <v/>
      </c>
      <c r="AA263" s="316" t="str">
        <f t="shared" ca="1" si="140"/>
        <v/>
      </c>
      <c r="AC263" s="310" t="e">
        <f t="shared" ca="1" si="141"/>
        <v>#N/A</v>
      </c>
      <c r="AD263" s="323" t="e">
        <f t="shared" ca="1" si="142"/>
        <v>#N/A</v>
      </c>
      <c r="AE263" s="324" t="e">
        <f t="shared" ca="1" si="121"/>
        <v>#N/A</v>
      </c>
      <c r="AG263" s="306">
        <f t="shared" ca="1" si="143"/>
        <v>6.3761473652721241</v>
      </c>
      <c r="AH263" s="304">
        <f t="shared" ca="1" si="144"/>
        <v>-3.0087182835887036</v>
      </c>
    </row>
    <row r="264" spans="1:34" x14ac:dyDescent="0.2">
      <c r="A264" s="347">
        <f t="shared" ca="1" si="122"/>
        <v>0.1</v>
      </c>
      <c r="B264" s="304">
        <f t="shared" ca="1" si="123"/>
        <v>16.999999999999975</v>
      </c>
      <c r="D264" s="306">
        <f t="shared" ca="1" si="124"/>
        <v>-0.88150267531386561</v>
      </c>
      <c r="E264" s="307">
        <f t="shared" ca="1" si="125"/>
        <v>-6.8644680694996403</v>
      </c>
      <c r="F264" s="304">
        <f t="shared" ca="1" si="126"/>
        <v>6.9208358486360311</v>
      </c>
      <c r="G264" s="306">
        <f t="shared" ca="1" si="127"/>
        <v>17.36449370996089</v>
      </c>
      <c r="H264" s="307">
        <f t="shared" ca="1" si="128"/>
        <v>-59.004273339982724</v>
      </c>
      <c r="I264" s="304">
        <f t="shared" ca="1" si="129"/>
        <v>61.506340438873998</v>
      </c>
      <c r="J264" s="306">
        <f t="shared" ca="1" si="130"/>
        <v>538.55047809377629</v>
      </c>
      <c r="K264" s="307">
        <f t="shared" ca="1" si="131"/>
        <v>977.77436255344571</v>
      </c>
      <c r="L264" s="304">
        <f t="shared" ca="1" si="116"/>
        <v>1116.27923098203</v>
      </c>
      <c r="M264" s="306">
        <f t="shared" ca="1" si="132"/>
        <v>-1.284584294975416</v>
      </c>
      <c r="N264" s="304">
        <f t="shared" ca="1" si="133"/>
        <v>-73.601258530879747</v>
      </c>
      <c r="P264" s="310">
        <f t="shared" ca="1" si="134"/>
        <v>23</v>
      </c>
      <c r="Q264" s="304">
        <f t="shared" ca="1" si="135"/>
        <v>0</v>
      </c>
      <c r="R264" s="306">
        <f t="shared" ca="1" si="136"/>
        <v>0</v>
      </c>
      <c r="S264" s="307">
        <f t="shared" ca="1" si="137"/>
        <v>4.341000000000002</v>
      </c>
      <c r="T264" s="304">
        <f t="shared" ca="1" si="117"/>
        <v>42.585210000000025</v>
      </c>
      <c r="U264" s="311">
        <f t="shared" ca="1" si="118"/>
        <v>0</v>
      </c>
      <c r="V264" s="306">
        <f t="shared" ca="1" si="119"/>
        <v>1.1108054650195813</v>
      </c>
      <c r="W264" s="304">
        <f t="shared" ca="1" si="120"/>
        <v>13.633903074092467</v>
      </c>
      <c r="Y264" s="314" t="str">
        <f t="shared" ca="1" si="138"/>
        <v/>
      </c>
      <c r="Z264" s="315" t="str">
        <f t="shared" ca="1" si="139"/>
        <v/>
      </c>
      <c r="AA264" s="316" t="str">
        <f t="shared" ca="1" si="140"/>
        <v/>
      </c>
      <c r="AC264" s="310">
        <f t="shared" ca="1" si="141"/>
        <v>16.999999999999975</v>
      </c>
      <c r="AD264" s="323">
        <f t="shared" ca="1" si="142"/>
        <v>538.55047809377629</v>
      </c>
      <c r="AE264" s="324" t="e">
        <f t="shared" ca="1" si="121"/>
        <v>#N/A</v>
      </c>
      <c r="AG264" s="306">
        <f t="shared" ca="1" si="143"/>
        <v>6.3235613150133894</v>
      </c>
      <c r="AH264" s="304">
        <f t="shared" ca="1" si="144"/>
        <v>-3.0746065309536239</v>
      </c>
    </row>
    <row r="265" spans="1:34" x14ac:dyDescent="0.2">
      <c r="A265" s="347">
        <f t="shared" ca="1" si="122"/>
        <v>0.1</v>
      </c>
      <c r="B265" s="304">
        <f t="shared" ca="1" si="123"/>
        <v>17.099999999999977</v>
      </c>
      <c r="D265" s="306">
        <f t="shared" ca="1" si="124"/>
        <v>-0.88669172180044176</v>
      </c>
      <c r="E265" s="307">
        <f t="shared" ca="1" si="125"/>
        <v>-6.7970356374743393</v>
      </c>
      <c r="F265" s="304">
        <f t="shared" ca="1" si="126"/>
        <v>6.8546273178492809</v>
      </c>
      <c r="G265" s="306">
        <f t="shared" ca="1" si="127"/>
        <v>17.275824537780846</v>
      </c>
      <c r="H265" s="307">
        <f t="shared" ca="1" si="128"/>
        <v>-59.683976903730155</v>
      </c>
      <c r="I265" s="304">
        <f t="shared" ca="1" si="129"/>
        <v>62.133977922753225</v>
      </c>
      <c r="J265" s="306">
        <f t="shared" ca="1" si="130"/>
        <v>540.28249400616335</v>
      </c>
      <c r="K265" s="307">
        <f t="shared" ca="1" si="131"/>
        <v>971.83995004126007</v>
      </c>
      <c r="L265" s="304">
        <f t="shared" ca="1" si="116"/>
        <v>1111.9253850082382</v>
      </c>
      <c r="M265" s="306">
        <f t="shared" ca="1" si="132"/>
        <v>-1.2890417146357267</v>
      </c>
      <c r="N265" s="304">
        <f t="shared" ca="1" si="133"/>
        <v>-73.856649864934184</v>
      </c>
      <c r="P265" s="310">
        <f t="shared" ca="1" si="134"/>
        <v>23</v>
      </c>
      <c r="Q265" s="304">
        <f t="shared" ca="1" si="135"/>
        <v>0</v>
      </c>
      <c r="R265" s="306">
        <f t="shared" ca="1" si="136"/>
        <v>0</v>
      </c>
      <c r="S265" s="307">
        <f t="shared" ca="1" si="137"/>
        <v>4.341000000000002</v>
      </c>
      <c r="T265" s="304">
        <f t="shared" ca="1" si="117"/>
        <v>42.585210000000025</v>
      </c>
      <c r="U265" s="311">
        <f t="shared" ca="1" si="118"/>
        <v>0</v>
      </c>
      <c r="V265" s="306">
        <f t="shared" ca="1" si="119"/>
        <v>1.1114664291128924</v>
      </c>
      <c r="W265" s="304">
        <f t="shared" ca="1" si="120"/>
        <v>13.921854362115031</v>
      </c>
      <c r="Y265" s="314" t="str">
        <f t="shared" ca="1" si="138"/>
        <v/>
      </c>
      <c r="Z265" s="315" t="str">
        <f t="shared" ca="1" si="139"/>
        <v/>
      </c>
      <c r="AA265" s="316" t="str">
        <f t="shared" ca="1" si="140"/>
        <v/>
      </c>
      <c r="AC265" s="310" t="e">
        <f t="shared" ca="1" si="141"/>
        <v>#N/A</v>
      </c>
      <c r="AD265" s="323" t="e">
        <f t="shared" ca="1" si="142"/>
        <v>#N/A</v>
      </c>
      <c r="AE265" s="324" t="e">
        <f t="shared" ca="1" si="121"/>
        <v>#N/A</v>
      </c>
      <c r="AG265" s="306">
        <f t="shared" ca="1" si="143"/>
        <v>6.2702022763414753</v>
      </c>
      <c r="AH265" s="304">
        <f t="shared" ca="1" si="144"/>
        <v>-3.1407286510233727</v>
      </c>
    </row>
    <row r="266" spans="1:34" x14ac:dyDescent="0.2">
      <c r="A266" s="347">
        <f t="shared" ca="1" si="122"/>
        <v>0.1</v>
      </c>
      <c r="B266" s="304">
        <f t="shared" ca="1" si="123"/>
        <v>17.199999999999978</v>
      </c>
      <c r="D266" s="306">
        <f t="shared" ca="1" si="124"/>
        <v>-0.89169622101579815</v>
      </c>
      <c r="E266" s="307">
        <f t="shared" ca="1" si="125"/>
        <v>-6.729395856107331</v>
      </c>
      <c r="F266" s="304">
        <f t="shared" ca="1" si="126"/>
        <v>6.7882170515363143</v>
      </c>
      <c r="G266" s="306">
        <f t="shared" ca="1" si="127"/>
        <v>17.186654915679267</v>
      </c>
      <c r="H266" s="307">
        <f t="shared" ca="1" si="128"/>
        <v>-60.35691648934089</v>
      </c>
      <c r="I266" s="304">
        <f t="shared" ca="1" si="129"/>
        <v>62.75618276546075</v>
      </c>
      <c r="J266" s="306">
        <f t="shared" ca="1" si="130"/>
        <v>542.00561797883631</v>
      </c>
      <c r="K266" s="307">
        <f t="shared" ca="1" si="131"/>
        <v>965.83790537160655</v>
      </c>
      <c r="L266" s="304">
        <f t="shared" ca="1" si="116"/>
        <v>1107.5255976153476</v>
      </c>
      <c r="M266" s="306">
        <f t="shared" ca="1" si="132"/>
        <v>-1.2933880524795163</v>
      </c>
      <c r="N266" s="304">
        <f t="shared" ca="1" si="133"/>
        <v>-74.105676679721313</v>
      </c>
      <c r="P266" s="310">
        <f t="shared" ca="1" si="134"/>
        <v>23</v>
      </c>
      <c r="Q266" s="304">
        <f t="shared" ca="1" si="135"/>
        <v>0</v>
      </c>
      <c r="R266" s="306">
        <f t="shared" ca="1" si="136"/>
        <v>0</v>
      </c>
      <c r="S266" s="307">
        <f t="shared" ca="1" si="137"/>
        <v>4.341000000000002</v>
      </c>
      <c r="T266" s="304">
        <f t="shared" ca="1" si="117"/>
        <v>42.585210000000025</v>
      </c>
      <c r="U266" s="311">
        <f t="shared" ca="1" si="118"/>
        <v>0</v>
      </c>
      <c r="V266" s="306">
        <f t="shared" ca="1" si="119"/>
        <v>1.1121353065476975</v>
      </c>
      <c r="W266" s="304">
        <f t="shared" ca="1" si="120"/>
        <v>14.210621939211446</v>
      </c>
      <c r="Y266" s="314" t="str">
        <f t="shared" ca="1" si="138"/>
        <v/>
      </c>
      <c r="Z266" s="315" t="str">
        <f t="shared" ca="1" si="139"/>
        <v/>
      </c>
      <c r="AA266" s="316" t="str">
        <f t="shared" ca="1" si="140"/>
        <v/>
      </c>
      <c r="AC266" s="310" t="e">
        <f t="shared" ca="1" si="141"/>
        <v>#N/A</v>
      </c>
      <c r="AD266" s="323" t="e">
        <f t="shared" ca="1" si="142"/>
        <v>#N/A</v>
      </c>
      <c r="AE266" s="324" t="e">
        <f t="shared" ca="1" si="121"/>
        <v>#N/A</v>
      </c>
      <c r="AG266" s="306">
        <f t="shared" ca="1" si="143"/>
        <v>6.216120910154368</v>
      </c>
      <c r="AH266" s="304">
        <f t="shared" ca="1" si="144"/>
        <v>-3.2070615899827284</v>
      </c>
    </row>
    <row r="267" spans="1:34" x14ac:dyDescent="0.2">
      <c r="A267" s="347">
        <f t="shared" ca="1" si="122"/>
        <v>0.1</v>
      </c>
      <c r="B267" s="304">
        <f t="shared" ca="1" si="123"/>
        <v>17.299999999999979</v>
      </c>
      <c r="D267" s="306">
        <f t="shared" ca="1" si="124"/>
        <v>-0.8965161917207487</v>
      </c>
      <c r="E267" s="307">
        <f t="shared" ca="1" si="125"/>
        <v>-6.6615715722164124</v>
      </c>
      <c r="F267" s="304">
        <f t="shared" ca="1" si="126"/>
        <v>6.7216275628585169</v>
      </c>
      <c r="G267" s="306">
        <f t="shared" ca="1" si="127"/>
        <v>17.097003296507193</v>
      </c>
      <c r="H267" s="307">
        <f t="shared" ca="1" si="128"/>
        <v>-61.02307364656253</v>
      </c>
      <c r="I267" s="304">
        <f t="shared" ca="1" si="129"/>
        <v>63.372888832643348</v>
      </c>
      <c r="J267" s="306">
        <f t="shared" ca="1" si="130"/>
        <v>543.71980088944565</v>
      </c>
      <c r="K267" s="307">
        <f t="shared" ca="1" si="131"/>
        <v>959.76890586481136</v>
      </c>
      <c r="L267" s="304">
        <f t="shared" ca="1" si="116"/>
        <v>1103.0809465058289</v>
      </c>
      <c r="M267" s="306">
        <f t="shared" ca="1" si="132"/>
        <v>-1.2976274255954083</v>
      </c>
      <c r="N267" s="304">
        <f t="shared" ca="1" si="133"/>
        <v>-74.348574867043155</v>
      </c>
      <c r="P267" s="310">
        <f t="shared" ca="1" si="134"/>
        <v>23</v>
      </c>
      <c r="Q267" s="304">
        <f t="shared" ca="1" si="135"/>
        <v>0</v>
      </c>
      <c r="R267" s="306">
        <f t="shared" ca="1" si="136"/>
        <v>0</v>
      </c>
      <c r="S267" s="307">
        <f t="shared" ca="1" si="137"/>
        <v>4.341000000000002</v>
      </c>
      <c r="T267" s="304">
        <f t="shared" ca="1" si="117"/>
        <v>42.585210000000025</v>
      </c>
      <c r="U267" s="311">
        <f t="shared" ca="1" si="118"/>
        <v>0</v>
      </c>
      <c r="V267" s="306">
        <f t="shared" ca="1" si="119"/>
        <v>1.1128120350501183</v>
      </c>
      <c r="W267" s="304">
        <f t="shared" ca="1" si="120"/>
        <v>14.500108180104512</v>
      </c>
      <c r="Y267" s="314" t="str">
        <f t="shared" ca="1" si="138"/>
        <v/>
      </c>
      <c r="Z267" s="315" t="str">
        <f t="shared" ca="1" si="139"/>
        <v/>
      </c>
      <c r="AA267" s="316" t="str">
        <f t="shared" ca="1" si="140"/>
        <v/>
      </c>
      <c r="AC267" s="310" t="e">
        <f t="shared" ca="1" si="141"/>
        <v>#N/A</v>
      </c>
      <c r="AD267" s="323" t="e">
        <f t="shared" ca="1" si="142"/>
        <v>#N/A</v>
      </c>
      <c r="AE267" s="324" t="e">
        <f t="shared" ca="1" si="121"/>
        <v>#N/A</v>
      </c>
      <c r="AG267" s="306">
        <f t="shared" ca="1" si="143"/>
        <v>6.1613659024433005</v>
      </c>
      <c r="AH267" s="304">
        <f t="shared" ca="1" si="144"/>
        <v>-3.2735825706545589</v>
      </c>
    </row>
    <row r="268" spans="1:34" x14ac:dyDescent="0.2">
      <c r="A268" s="347">
        <f t="shared" ca="1" si="122"/>
        <v>0.1</v>
      </c>
      <c r="B268" s="304">
        <f t="shared" ca="1" si="123"/>
        <v>17.399999999999981</v>
      </c>
      <c r="D268" s="306">
        <f t="shared" ca="1" si="124"/>
        <v>-0.90115178482248182</v>
      </c>
      <c r="E268" s="307">
        <f t="shared" ca="1" si="125"/>
        <v>-6.5935853583073314</v>
      </c>
      <c r="F268" s="304">
        <f t="shared" ca="1" si="126"/>
        <v>6.6548810971026047</v>
      </c>
      <c r="G268" s="306">
        <f t="shared" ca="1" si="127"/>
        <v>17.006888118024946</v>
      </c>
      <c r="H268" s="307">
        <f t="shared" ca="1" si="128"/>
        <v>-61.682432182393264</v>
      </c>
      <c r="I268" s="304">
        <f t="shared" ca="1" si="129"/>
        <v>63.984034597660084</v>
      </c>
      <c r="J268" s="306">
        <f t="shared" ca="1" si="130"/>
        <v>545.42499546017223</v>
      </c>
      <c r="K268" s="307">
        <f t="shared" ca="1" si="131"/>
        <v>953.63363057336358</v>
      </c>
      <c r="L268" s="304">
        <f t="shared" ca="1" si="116"/>
        <v>1098.5925209254171</v>
      </c>
      <c r="M268" s="306">
        <f t="shared" ca="1" si="132"/>
        <v>-1.3017637549762016</v>
      </c>
      <c r="N268" s="304">
        <f t="shared" ca="1" si="133"/>
        <v>-74.585569083238568</v>
      </c>
      <c r="P268" s="310">
        <f t="shared" ca="1" si="134"/>
        <v>23</v>
      </c>
      <c r="Q268" s="304">
        <f t="shared" ca="1" si="135"/>
        <v>0</v>
      </c>
      <c r="R268" s="306">
        <f t="shared" ca="1" si="136"/>
        <v>0</v>
      </c>
      <c r="S268" s="307">
        <f t="shared" ca="1" si="137"/>
        <v>4.341000000000002</v>
      </c>
      <c r="T268" s="304">
        <f t="shared" ca="1" si="117"/>
        <v>42.585210000000025</v>
      </c>
      <c r="U268" s="311">
        <f t="shared" ca="1" si="118"/>
        <v>0</v>
      </c>
      <c r="V268" s="306">
        <f t="shared" ca="1" si="119"/>
        <v>1.1134965521447457</v>
      </c>
      <c r="W268" s="304">
        <f t="shared" ca="1" si="120"/>
        <v>14.790216757171605</v>
      </c>
      <c r="Y268" s="314" t="str">
        <f t="shared" ca="1" si="138"/>
        <v/>
      </c>
      <c r="Z268" s="315" t="str">
        <f t="shared" ca="1" si="139"/>
        <v/>
      </c>
      <c r="AA268" s="316" t="str">
        <f t="shared" ca="1" si="140"/>
        <v/>
      </c>
      <c r="AC268" s="310" t="e">
        <f t="shared" ca="1" si="141"/>
        <v>#N/A</v>
      </c>
      <c r="AD268" s="323" t="e">
        <f t="shared" ca="1" si="142"/>
        <v>#N/A</v>
      </c>
      <c r="AE268" s="324" t="e">
        <f t="shared" ca="1" si="121"/>
        <v>#N/A</v>
      </c>
      <c r="AG268" s="306">
        <f t="shared" ca="1" si="143"/>
        <v>6.1059840731104833</v>
      </c>
      <c r="AH268" s="304">
        <f t="shared" ca="1" si="144"/>
        <v>-3.3402691039171861</v>
      </c>
    </row>
    <row r="269" spans="1:34" x14ac:dyDescent="0.2">
      <c r="A269" s="347">
        <f t="shared" ca="1" si="122"/>
        <v>0.1</v>
      </c>
      <c r="B269" s="304">
        <f t="shared" ca="1" si="123"/>
        <v>17.499999999999982</v>
      </c>
      <c r="D269" s="306">
        <f t="shared" ca="1" si="124"/>
        <v>-0.90560327833703913</v>
      </c>
      <c r="E269" s="307">
        <f t="shared" ca="1" si="125"/>
        <v>-6.5254595001437252</v>
      </c>
      <c r="F269" s="304">
        <f t="shared" ca="1" si="126"/>
        <v>6.5879996194406978</v>
      </c>
      <c r="G269" s="306">
        <f t="shared" ca="1" si="127"/>
        <v>16.916327790191243</v>
      </c>
      <c r="H269" s="307">
        <f t="shared" ca="1" si="128"/>
        <v>-62.334978132407635</v>
      </c>
      <c r="I269" s="304">
        <f t="shared" ca="1" si="129"/>
        <v>64.589562970134224</v>
      </c>
      <c r="J269" s="306">
        <f t="shared" ca="1" si="130"/>
        <v>547.12115625558306</v>
      </c>
      <c r="K269" s="307">
        <f t="shared" ca="1" si="131"/>
        <v>947.43276005762357</v>
      </c>
      <c r="L269" s="304">
        <f t="shared" ca="1" si="116"/>
        <v>1094.0614217002867</v>
      </c>
      <c r="M269" s="306">
        <f t="shared" ca="1" si="132"/>
        <v>-1.3058007765852073</v>
      </c>
      <c r="N269" s="304">
        <f t="shared" ca="1" si="133"/>
        <v>-74.816873383237706</v>
      </c>
      <c r="P269" s="310">
        <f t="shared" ca="1" si="134"/>
        <v>23</v>
      </c>
      <c r="Q269" s="304">
        <f t="shared" ca="1" si="135"/>
        <v>0</v>
      </c>
      <c r="R269" s="306">
        <f t="shared" ca="1" si="136"/>
        <v>0</v>
      </c>
      <c r="S269" s="307">
        <f t="shared" ca="1" si="137"/>
        <v>4.341000000000002</v>
      </c>
      <c r="T269" s="304">
        <f t="shared" ca="1" si="117"/>
        <v>42.585210000000025</v>
      </c>
      <c r="U269" s="311">
        <f t="shared" ca="1" si="118"/>
        <v>0</v>
      </c>
      <c r="V269" s="306">
        <f t="shared" ca="1" si="119"/>
        <v>1.1141887951745932</v>
      </c>
      <c r="W269" s="304">
        <f t="shared" ca="1" si="120"/>
        <v>15.080852685286269</v>
      </c>
      <c r="Y269" s="314" t="str">
        <f t="shared" ca="1" si="138"/>
        <v/>
      </c>
      <c r="Z269" s="315" t="str">
        <f t="shared" ca="1" si="139"/>
        <v/>
      </c>
      <c r="AA269" s="316" t="str">
        <f t="shared" ca="1" si="140"/>
        <v/>
      </c>
      <c r="AC269" s="310" t="e">
        <f t="shared" ca="1" si="141"/>
        <v>#N/A</v>
      </c>
      <c r="AD269" s="323" t="e">
        <f t="shared" ca="1" si="142"/>
        <v>#N/A</v>
      </c>
      <c r="AE269" s="324" t="e">
        <f t="shared" ca="1" si="121"/>
        <v>#N/A</v>
      </c>
      <c r="AG269" s="306">
        <f t="shared" ca="1" si="143"/>
        <v>6.050020475838064</v>
      </c>
      <c r="AH269" s="304">
        <f t="shared" ca="1" si="144"/>
        <v>-3.4070989995788064</v>
      </c>
    </row>
    <row r="270" spans="1:34" x14ac:dyDescent="0.2">
      <c r="A270" s="347">
        <f t="shared" ca="1" si="122"/>
        <v>0.1</v>
      </c>
      <c r="B270" s="304">
        <f t="shared" ca="1" si="123"/>
        <v>17.599999999999984</v>
      </c>
      <c r="D270" s="306">
        <f t="shared" ca="1" si="124"/>
        <v>-0.90987107250116517</v>
      </c>
      <c r="E270" s="307">
        <f t="shared" ca="1" si="125"/>
        <v>-6.4572159849871769</v>
      </c>
      <c r="F270" s="304">
        <f t="shared" ca="1" si="126"/>
        <v>6.5210048033526506</v>
      </c>
      <c r="G270" s="306">
        <f t="shared" ca="1" si="127"/>
        <v>16.825340682941125</v>
      </c>
      <c r="H270" s="307">
        <f t="shared" ca="1" si="128"/>
        <v>-62.980699730906352</v>
      </c>
      <c r="I270" s="304">
        <f t="shared" ca="1" si="129"/>
        <v>65.18942113327607</v>
      </c>
      <c r="J270" s="306">
        <f t="shared" ca="1" si="130"/>
        <v>548.8082396792397</v>
      </c>
      <c r="K270" s="307">
        <f t="shared" ca="1" si="131"/>
        <v>941.16697616445788</v>
      </c>
      <c r="L270" s="304">
        <f t="shared" ca="1" si="116"/>
        <v>1089.4887612831878</v>
      </c>
      <c r="M270" s="306">
        <f t="shared" ca="1" si="132"/>
        <v>-1.3097420517169061</v>
      </c>
      <c r="N270" s="304">
        <f t="shared" ca="1" si="133"/>
        <v>-75.042691814183911</v>
      </c>
      <c r="P270" s="310">
        <f t="shared" ca="1" si="134"/>
        <v>23</v>
      </c>
      <c r="Q270" s="304">
        <f t="shared" ca="1" si="135"/>
        <v>0</v>
      </c>
      <c r="R270" s="306">
        <f t="shared" ca="1" si="136"/>
        <v>0</v>
      </c>
      <c r="S270" s="307">
        <f t="shared" ca="1" si="137"/>
        <v>4.341000000000002</v>
      </c>
      <c r="T270" s="304">
        <f t="shared" ca="1" si="117"/>
        <v>42.585210000000025</v>
      </c>
      <c r="U270" s="311">
        <f t="shared" ca="1" si="118"/>
        <v>0</v>
      </c>
      <c r="V270" s="306">
        <f t="shared" ca="1" si="119"/>
        <v>1.1148887013208248</v>
      </c>
      <c r="W270" s="304">
        <f t="shared" ca="1" si="120"/>
        <v>15.37192236429331</v>
      </c>
      <c r="Y270" s="314" t="str">
        <f t="shared" ca="1" si="138"/>
        <v/>
      </c>
      <c r="Z270" s="315" t="str">
        <f t="shared" ca="1" si="139"/>
        <v/>
      </c>
      <c r="AA270" s="316" t="str">
        <f t="shared" ca="1" si="140"/>
        <v/>
      </c>
      <c r="AC270" s="310" t="e">
        <f t="shared" ca="1" si="141"/>
        <v>#N/A</v>
      </c>
      <c r="AD270" s="323" t="e">
        <f t="shared" ca="1" si="142"/>
        <v>#N/A</v>
      </c>
      <c r="AE270" s="324" t="e">
        <f t="shared" ca="1" si="121"/>
        <v>#N/A</v>
      </c>
      <c r="AG270" s="306">
        <f t="shared" ca="1" si="143"/>
        <v>5.9935184898242335</v>
      </c>
      <c r="AH270" s="304">
        <f t="shared" ca="1" si="144"/>
        <v>-3.4740503767072708</v>
      </c>
    </row>
    <row r="271" spans="1:34" x14ac:dyDescent="0.2">
      <c r="A271" s="347">
        <f t="shared" ca="1" si="122"/>
        <v>0.1</v>
      </c>
      <c r="B271" s="304">
        <f t="shared" ca="1" si="123"/>
        <v>17.699999999999985</v>
      </c>
      <c r="D271" s="306">
        <f t="shared" ca="1" si="124"/>
        <v>-0.91395568502329838</v>
      </c>
      <c r="E271" s="307">
        <f t="shared" ca="1" si="125"/>
        <v>-6.3888764904969992</v>
      </c>
      <c r="F271" s="304">
        <f t="shared" ca="1" si="126"/>
        <v>6.4539180197002546</v>
      </c>
      <c r="G271" s="306">
        <f t="shared" ca="1" si="127"/>
        <v>16.733945114438797</v>
      </c>
      <c r="H271" s="307">
        <f t="shared" ca="1" si="128"/>
        <v>-63.619587379956052</v>
      </c>
      <c r="I271" s="304">
        <f t="shared" ca="1" si="129"/>
        <v>65.783560389271372</v>
      </c>
      <c r="J271" s="306">
        <f t="shared" ca="1" si="130"/>
        <v>550.48620396910871</v>
      </c>
      <c r="K271" s="307">
        <f t="shared" ca="1" si="131"/>
        <v>934.83696180891479</v>
      </c>
      <c r="L271" s="304">
        <f t="shared" ca="1" si="116"/>
        <v>1084.8756638087341</v>
      </c>
      <c r="M271" s="306">
        <f t="shared" ca="1" si="132"/>
        <v>-1.3135909767007208</v>
      </c>
      <c r="N271" s="304">
        <f t="shared" ca="1" si="133"/>
        <v>-75.263218971418951</v>
      </c>
      <c r="P271" s="310">
        <f t="shared" ca="1" si="134"/>
        <v>23</v>
      </c>
      <c r="Q271" s="304">
        <f t="shared" ca="1" si="135"/>
        <v>0</v>
      </c>
      <c r="R271" s="306">
        <f t="shared" ca="1" si="136"/>
        <v>0</v>
      </c>
      <c r="S271" s="307">
        <f t="shared" ca="1" si="137"/>
        <v>4.341000000000002</v>
      </c>
      <c r="T271" s="304">
        <f t="shared" ca="1" si="117"/>
        <v>42.585210000000025</v>
      </c>
      <c r="U271" s="311">
        <f t="shared" ca="1" si="118"/>
        <v>0</v>
      </c>
      <c r="V271" s="306">
        <f t="shared" ca="1" si="119"/>
        <v>1.1155962076222474</v>
      </c>
      <c r="W271" s="304">
        <f t="shared" ca="1" si="120"/>
        <v>15.663333619119015</v>
      </c>
      <c r="Y271" s="314" t="str">
        <f t="shared" ca="1" si="138"/>
        <v/>
      </c>
      <c r="Z271" s="315" t="str">
        <f t="shared" ca="1" si="139"/>
        <v/>
      </c>
      <c r="AA271" s="316" t="str">
        <f t="shared" ca="1" si="140"/>
        <v/>
      </c>
      <c r="AC271" s="310" t="e">
        <f t="shared" ca="1" si="141"/>
        <v>#N/A</v>
      </c>
      <c r="AD271" s="323" t="e">
        <f t="shared" ca="1" si="142"/>
        <v>#N/A</v>
      </c>
      <c r="AE271" s="324" t="e">
        <f t="shared" ca="1" si="121"/>
        <v>#N/A</v>
      </c>
      <c r="AG271" s="306">
        <f t="shared" ca="1" si="143"/>
        <v>5.9365199041269978</v>
      </c>
      <c r="AH271" s="304">
        <f t="shared" ca="1" si="144"/>
        <v>-3.5411016734147207</v>
      </c>
    </row>
    <row r="272" spans="1:34" x14ac:dyDescent="0.2">
      <c r="A272" s="347">
        <f t="shared" ca="1" si="122"/>
        <v>0.1</v>
      </c>
      <c r="B272" s="304">
        <f t="shared" ca="1" si="123"/>
        <v>17.799999999999986</v>
      </c>
      <c r="D272" s="306">
        <f t="shared" ca="1" si="124"/>
        <v>-0.91785774646461071</v>
      </c>
      <c r="E272" s="307">
        <f t="shared" ca="1" si="125"/>
        <v>-6.3204623742795647</v>
      </c>
      <c r="F272" s="304">
        <f t="shared" ca="1" si="126"/>
        <v>6.3867603264431931</v>
      </c>
      <c r="G272" s="306">
        <f t="shared" ca="1" si="127"/>
        <v>16.642159339792336</v>
      </c>
      <c r="H272" s="307">
        <f t="shared" ca="1" si="128"/>
        <v>-64.251633617384002</v>
      </c>
      <c r="I272" s="304">
        <f t="shared" ca="1" si="129"/>
        <v>66.37193601209465</v>
      </c>
      <c r="J272" s="306">
        <f t="shared" ca="1" si="130"/>
        <v>552.15500919182023</v>
      </c>
      <c r="K272" s="307">
        <f t="shared" ca="1" si="131"/>
        <v>928.44340075904779</v>
      </c>
      <c r="L272" s="304">
        <f t="shared" ca="1" si="116"/>
        <v>1080.2232651580157</v>
      </c>
      <c r="M272" s="306">
        <f t="shared" ca="1" si="132"/>
        <v>-1.3173507919932179</v>
      </c>
      <c r="N272" s="304">
        <f t="shared" ca="1" si="133"/>
        <v>-75.478640519427785</v>
      </c>
      <c r="P272" s="310">
        <f t="shared" ca="1" si="134"/>
        <v>23</v>
      </c>
      <c r="Q272" s="304">
        <f t="shared" ca="1" si="135"/>
        <v>0</v>
      </c>
      <c r="R272" s="306">
        <f t="shared" ca="1" si="136"/>
        <v>0</v>
      </c>
      <c r="S272" s="307">
        <f t="shared" ca="1" si="137"/>
        <v>4.341000000000002</v>
      </c>
      <c r="T272" s="304">
        <f t="shared" ca="1" si="117"/>
        <v>42.585210000000025</v>
      </c>
      <c r="U272" s="311">
        <f t="shared" ca="1" si="118"/>
        <v>0</v>
      </c>
      <c r="V272" s="306">
        <f t="shared" ca="1" si="119"/>
        <v>1.1163112509945599</v>
      </c>
      <c r="W272" s="304">
        <f t="shared" ca="1" si="120"/>
        <v>15.954995737522818</v>
      </c>
      <c r="Y272" s="314" t="str">
        <f t="shared" ca="1" si="138"/>
        <v/>
      </c>
      <c r="Z272" s="315" t="str">
        <f t="shared" ca="1" si="139"/>
        <v/>
      </c>
      <c r="AA272" s="316" t="str">
        <f t="shared" ca="1" si="140"/>
        <v/>
      </c>
      <c r="AC272" s="310" t="e">
        <f t="shared" ca="1" si="141"/>
        <v>#N/A</v>
      </c>
      <c r="AD272" s="323" t="e">
        <f t="shared" ca="1" si="142"/>
        <v>#N/A</v>
      </c>
      <c r="AE272" s="324" t="e">
        <f t="shared" ca="1" si="121"/>
        <v>#N/A</v>
      </c>
      <c r="AG272" s="306">
        <f t="shared" ca="1" si="143"/>
        <v>5.879064995288342</v>
      </c>
      <c r="AH272" s="304">
        <f t="shared" ca="1" si="144"/>
        <v>-3.6082316560974448</v>
      </c>
    </row>
    <row r="273" spans="1:34" x14ac:dyDescent="0.2">
      <c r="A273" s="347">
        <f t="shared" ca="1" si="122"/>
        <v>0.1</v>
      </c>
      <c r="B273" s="304">
        <f t="shared" ca="1" si="123"/>
        <v>17.899999999999988</v>
      </c>
      <c r="D273" s="306">
        <f t="shared" ca="1" si="124"/>
        <v>-0.92157799574208421</v>
      </c>
      <c r="E273" s="307">
        <f t="shared" ca="1" si="125"/>
        <v>-6.2519946640769071</v>
      </c>
      <c r="F273" s="304">
        <f t="shared" ca="1" si="126"/>
        <v>6.3195524589864842</v>
      </c>
      <c r="G273" s="306">
        <f t="shared" ca="1" si="127"/>
        <v>16.550001540218126</v>
      </c>
      <c r="H273" s="307">
        <f t="shared" ca="1" si="128"/>
        <v>-64.876833083791695</v>
      </c>
      <c r="I273" s="304">
        <f t="shared" ca="1" si="129"/>
        <v>66.954507107164872</v>
      </c>
      <c r="J273" s="306">
        <f t="shared" ca="1" si="130"/>
        <v>553.81461723582072</v>
      </c>
      <c r="K273" s="307">
        <f t="shared" ca="1" si="131"/>
        <v>921.98697742398906</v>
      </c>
      <c r="L273" s="304">
        <f t="shared" ca="1" si="116"/>
        <v>1075.5327130327007</v>
      </c>
      <c r="M273" s="306">
        <f t="shared" ca="1" si="132"/>
        <v>-1.3210245907007976</v>
      </c>
      <c r="N273" s="304">
        <f t="shared" ca="1" si="133"/>
        <v>-75.689133680152722</v>
      </c>
      <c r="P273" s="310">
        <f t="shared" ca="1" si="134"/>
        <v>23</v>
      </c>
      <c r="Q273" s="304">
        <f t="shared" ca="1" si="135"/>
        <v>0</v>
      </c>
      <c r="R273" s="306">
        <f t="shared" ca="1" si="136"/>
        <v>0</v>
      </c>
      <c r="S273" s="307">
        <f t="shared" ca="1" si="137"/>
        <v>4.341000000000002</v>
      </c>
      <c r="T273" s="304">
        <f t="shared" ca="1" si="117"/>
        <v>42.585210000000025</v>
      </c>
      <c r="U273" s="311">
        <f t="shared" ca="1" si="118"/>
        <v>0</v>
      </c>
      <c r="V273" s="306">
        <f t="shared" ca="1" si="119"/>
        <v>1.1170337682493436</v>
      </c>
      <c r="W273" s="304">
        <f t="shared" ca="1" si="120"/>
        <v>16.24681950550049</v>
      </c>
      <c r="Y273" s="314" t="str">
        <f t="shared" ca="1" si="138"/>
        <v/>
      </c>
      <c r="Z273" s="315" t="str">
        <f t="shared" ca="1" si="139"/>
        <v/>
      </c>
      <c r="AA273" s="316" t="str">
        <f t="shared" ca="1" si="140"/>
        <v/>
      </c>
      <c r="AC273" s="310" t="e">
        <f t="shared" ca="1" si="141"/>
        <v>#N/A</v>
      </c>
      <c r="AD273" s="323" t="e">
        <f t="shared" ca="1" si="142"/>
        <v>#N/A</v>
      </c>
      <c r="AE273" s="324" t="e">
        <f t="shared" ca="1" si="121"/>
        <v>#N/A</v>
      </c>
      <c r="AG273" s="306">
        <f t="shared" ca="1" si="143"/>
        <v>5.8211925988495743</v>
      </c>
      <c r="AH273" s="304">
        <f t="shared" ca="1" si="144"/>
        <v>-3.6754194281324146</v>
      </c>
    </row>
    <row r="274" spans="1:34" x14ac:dyDescent="0.2">
      <c r="A274" s="347">
        <f t="shared" ca="1" si="122"/>
        <v>0.1</v>
      </c>
      <c r="B274" s="304">
        <f t="shared" ca="1" si="123"/>
        <v>17.999999999999989</v>
      </c>
      <c r="D274" s="306">
        <f t="shared" ca="1" si="124"/>
        <v>-0.9251172757465298</v>
      </c>
      <c r="E274" s="307">
        <f t="shared" ca="1" si="125"/>
        <v>-6.1834940485843219</v>
      </c>
      <c r="F274" s="304">
        <f t="shared" ca="1" si="126"/>
        <v>6.2523148211492359</v>
      </c>
      <c r="G274" s="306">
        <f t="shared" ca="1" si="127"/>
        <v>16.457489812643473</v>
      </c>
      <c r="H274" s="307">
        <f t="shared" ca="1" si="128"/>
        <v>-65.49518248865013</v>
      </c>
      <c r="I274" s="304">
        <f t="shared" ca="1" si="129"/>
        <v>67.531236477313556</v>
      </c>
      <c r="J274" s="306">
        <f t="shared" ca="1" si="130"/>
        <v>555.46499180346382</v>
      </c>
      <c r="K274" s="307">
        <f t="shared" ca="1" si="131"/>
        <v>915.46837664536702</v>
      </c>
      <c r="L274" s="304">
        <f t="shared" ca="1" si="116"/>
        <v>1070.8051670387688</v>
      </c>
      <c r="M274" s="306">
        <f t="shared" ca="1" si="132"/>
        <v>-1.3246153265719103</v>
      </c>
      <c r="N274" s="304">
        <f t="shared" ca="1" si="133"/>
        <v>-75.894867690913713</v>
      </c>
      <c r="P274" s="310">
        <f t="shared" ca="1" si="134"/>
        <v>23</v>
      </c>
      <c r="Q274" s="304">
        <f t="shared" ca="1" si="135"/>
        <v>0</v>
      </c>
      <c r="R274" s="306">
        <f t="shared" ca="1" si="136"/>
        <v>0</v>
      </c>
      <c r="S274" s="307">
        <f t="shared" ca="1" si="137"/>
        <v>4.341000000000002</v>
      </c>
      <c r="T274" s="304">
        <f t="shared" ca="1" si="117"/>
        <v>42.585210000000025</v>
      </c>
      <c r="U274" s="311">
        <f t="shared" ca="1" si="118"/>
        <v>0</v>
      </c>
      <c r="V274" s="306">
        <f t="shared" ca="1" si="119"/>
        <v>1.1177636961127959</v>
      </c>
      <c r="W274" s="304">
        <f t="shared" ca="1" si="120"/>
        <v>16.538717240352966</v>
      </c>
      <c r="Y274" s="314" t="str">
        <f t="shared" ca="1" si="138"/>
        <v/>
      </c>
      <c r="Z274" s="315" t="str">
        <f t="shared" ca="1" si="139"/>
        <v/>
      </c>
      <c r="AA274" s="316" t="str">
        <f t="shared" ca="1" si="140"/>
        <v/>
      </c>
      <c r="AC274" s="310">
        <f t="shared" ca="1" si="141"/>
        <v>17.999999999999989</v>
      </c>
      <c r="AD274" s="323">
        <f t="shared" ca="1" si="142"/>
        <v>555.46499180346382</v>
      </c>
      <c r="AE274" s="324" t="e">
        <f t="shared" ca="1" si="121"/>
        <v>#N/A</v>
      </c>
      <c r="AG274" s="306">
        <f t="shared" ca="1" si="143"/>
        <v>5.7629401753126519</v>
      </c>
      <c r="AH274" s="304">
        <f t="shared" ca="1" si="144"/>
        <v>-3.7426444380328223</v>
      </c>
    </row>
    <row r="275" spans="1:34" x14ac:dyDescent="0.2">
      <c r="A275" s="347">
        <f t="shared" ca="1" si="122"/>
        <v>0.1</v>
      </c>
      <c r="B275" s="304">
        <f t="shared" ca="1" si="123"/>
        <v>18.099999999999991</v>
      </c>
      <c r="D275" s="306">
        <f t="shared" ca="1" si="124"/>
        <v>-0.92847652906930678</v>
      </c>
      <c r="E275" s="307">
        <f t="shared" ca="1" si="125"/>
        <v>-6.1149808688865281</v>
      </c>
      <c r="F275" s="304">
        <f t="shared" ca="1" si="126"/>
        <v>6.1850674767443587</v>
      </c>
      <c r="G275" s="306">
        <f t="shared" ca="1" si="127"/>
        <v>16.364642159736544</v>
      </c>
      <c r="H275" s="307">
        <f t="shared" ca="1" si="128"/>
        <v>-66.106680575538789</v>
      </c>
      <c r="I275" s="304">
        <f t="shared" ca="1" si="129"/>
        <v>68.10209049458426</v>
      </c>
      <c r="J275" s="306">
        <f t="shared" ca="1" si="130"/>
        <v>557.10609840208281</v>
      </c>
      <c r="K275" s="307">
        <f t="shared" ca="1" si="131"/>
        <v>908.8882834921576</v>
      </c>
      <c r="L275" s="304">
        <f t="shared" ca="1" si="116"/>
        <v>1066.0417987800065</v>
      </c>
      <c r="M275" s="306">
        <f t="shared" ca="1" si="132"/>
        <v>-1.3281258214950207</v>
      </c>
      <c r="N275" s="304">
        <f t="shared" ca="1" si="133"/>
        <v>-76.096004234010039</v>
      </c>
      <c r="P275" s="310">
        <f t="shared" ca="1" si="134"/>
        <v>23</v>
      </c>
      <c r="Q275" s="304">
        <f t="shared" ca="1" si="135"/>
        <v>0</v>
      </c>
      <c r="R275" s="306">
        <f t="shared" ca="1" si="136"/>
        <v>0</v>
      </c>
      <c r="S275" s="307">
        <f t="shared" ca="1" si="137"/>
        <v>4.341000000000002</v>
      </c>
      <c r="T275" s="304">
        <f t="shared" ca="1" si="117"/>
        <v>42.585210000000025</v>
      </c>
      <c r="U275" s="311">
        <f t="shared" ca="1" si="118"/>
        <v>0</v>
      </c>
      <c r="V275" s="306">
        <f t="shared" ca="1" si="119"/>
        <v>1.1185009712441836</v>
      </c>
      <c r="W275" s="304">
        <f t="shared" ca="1" si="120"/>
        <v>16.83060282143861</v>
      </c>
      <c r="Y275" s="314" t="str">
        <f t="shared" ca="1" si="138"/>
        <v/>
      </c>
      <c r="Z275" s="315" t="str">
        <f t="shared" ca="1" si="139"/>
        <v/>
      </c>
      <c r="AA275" s="316" t="str">
        <f t="shared" ca="1" si="140"/>
        <v/>
      </c>
      <c r="AC275" s="310" t="e">
        <f t="shared" ca="1" si="141"/>
        <v>#N/A</v>
      </c>
      <c r="AD275" s="323" t="e">
        <f t="shared" ca="1" si="142"/>
        <v>#N/A</v>
      </c>
      <c r="AE275" s="324" t="e">
        <f t="shared" ca="1" si="121"/>
        <v>#N/A</v>
      </c>
      <c r="AG275" s="306">
        <f t="shared" ca="1" si="143"/>
        <v>5.7043438710514653</v>
      </c>
      <c r="AH275" s="304">
        <f t="shared" ca="1" si="144"/>
        <v>-3.809886487065874</v>
      </c>
    </row>
    <row r="276" spans="1:34" x14ac:dyDescent="0.2">
      <c r="A276" s="347">
        <f t="shared" ca="1" si="122"/>
        <v>0.1</v>
      </c>
      <c r="B276" s="304">
        <f t="shared" ca="1" si="123"/>
        <v>18.199999999999992</v>
      </c>
      <c r="D276" s="306">
        <f t="shared" ca="1" si="124"/>
        <v>-0.9316567938322613</v>
      </c>
      <c r="E276" s="307">
        <f t="shared" ca="1" si="125"/>
        <v>-6.0464751105018113</v>
      </c>
      <c r="F276" s="304">
        <f t="shared" ca="1" si="126"/>
        <v>6.1178301417587342</v>
      </c>
      <c r="G276" s="306">
        <f t="shared" ca="1" si="127"/>
        <v>16.271476480353318</v>
      </c>
      <c r="H276" s="307">
        <f t="shared" ca="1" si="128"/>
        <v>-66.711328086588964</v>
      </c>
      <c r="I276" s="304">
        <f t="shared" ca="1" si="129"/>
        <v>68.667038977425008</v>
      </c>
      <c r="J276" s="306">
        <f t="shared" ca="1" si="130"/>
        <v>558.73790433408726</v>
      </c>
      <c r="K276" s="307">
        <f t="shared" ca="1" si="131"/>
        <v>902.24738305905123</v>
      </c>
      <c r="L276" s="304">
        <f t="shared" ca="1" si="116"/>
        <v>1061.2437919613731</v>
      </c>
      <c r="M276" s="306">
        <f t="shared" ca="1" si="132"/>
        <v>-1.3315587725359366</v>
      </c>
      <c r="N276" s="304">
        <f t="shared" ca="1" si="133"/>
        <v>-76.292697839929559</v>
      </c>
      <c r="P276" s="310">
        <f t="shared" ca="1" si="134"/>
        <v>23</v>
      </c>
      <c r="Q276" s="304">
        <f t="shared" ca="1" si="135"/>
        <v>0</v>
      </c>
      <c r="R276" s="306">
        <f t="shared" ca="1" si="136"/>
        <v>0</v>
      </c>
      <c r="S276" s="307">
        <f t="shared" ca="1" si="137"/>
        <v>4.341000000000002</v>
      </c>
      <c r="T276" s="304">
        <f t="shared" ca="1" si="117"/>
        <v>42.585210000000025</v>
      </c>
      <c r="U276" s="311">
        <f t="shared" ca="1" si="118"/>
        <v>0</v>
      </c>
      <c r="V276" s="306">
        <f t="shared" ca="1" si="119"/>
        <v>1.1192455302540218</v>
      </c>
      <c r="W276" s="304">
        <f t="shared" ca="1" si="120"/>
        <v>17.122391718630144</v>
      </c>
      <c r="Y276" s="314" t="str">
        <f t="shared" ca="1" si="138"/>
        <v/>
      </c>
      <c r="Z276" s="315" t="str">
        <f t="shared" ca="1" si="139"/>
        <v/>
      </c>
      <c r="AA276" s="316" t="str">
        <f t="shared" ca="1" si="140"/>
        <v/>
      </c>
      <c r="AC276" s="310" t="e">
        <f t="shared" ca="1" si="141"/>
        <v>#N/A</v>
      </c>
      <c r="AD276" s="323" t="e">
        <f t="shared" ca="1" si="142"/>
        <v>#N/A</v>
      </c>
      <c r="AE276" s="324" t="e">
        <f t="shared" ca="1" si="121"/>
        <v>#N/A</v>
      </c>
      <c r="AG276" s="306">
        <f t="shared" ca="1" si="143"/>
        <v>5.6454385746309894</v>
      </c>
      <c r="AH276" s="304">
        <f t="shared" ca="1" si="144"/>
        <v>-3.8771257363369278</v>
      </c>
    </row>
    <row r="277" spans="1:34" x14ac:dyDescent="0.2">
      <c r="A277" s="347">
        <f t="shared" ca="1" si="122"/>
        <v>0.1</v>
      </c>
      <c r="B277" s="304">
        <f t="shared" ca="1" si="123"/>
        <v>18.299999999999994</v>
      </c>
      <c r="D277" s="306">
        <f t="shared" ca="1" si="124"/>
        <v>-0.93465919961605159</v>
      </c>
      <c r="E277" s="307">
        <f t="shared" ca="1" si="125"/>
        <v>-5.9779963960233609</v>
      </c>
      <c r="F277" s="304">
        <f t="shared" ca="1" si="126"/>
        <v>6.0506221771232092</v>
      </c>
      <c r="G277" s="306">
        <f t="shared" ca="1" si="127"/>
        <v>16.178010560391712</v>
      </c>
      <c r="H277" s="307">
        <f t="shared" ca="1" si="128"/>
        <v>-67.309127726191306</v>
      </c>
      <c r="I277" s="304">
        <f t="shared" ca="1" si="129"/>
        <v>69.22605507287615</v>
      </c>
      <c r="J277" s="306">
        <f t="shared" ca="1" si="130"/>
        <v>560.36037868612448</v>
      </c>
      <c r="K277" s="307">
        <f t="shared" ca="1" si="131"/>
        <v>895.54636026841217</v>
      </c>
      <c r="L277" s="304">
        <f t="shared" ca="1" si="116"/>
        <v>1056.4123425023288</v>
      </c>
      <c r="M277" s="306">
        <f t="shared" ca="1" si="132"/>
        <v>-1.3349167585456898</v>
      </c>
      <c r="N277" s="304">
        <f t="shared" ca="1" si="133"/>
        <v>-76.485096265952393</v>
      </c>
      <c r="P277" s="310">
        <f t="shared" ca="1" si="134"/>
        <v>23</v>
      </c>
      <c r="Q277" s="304">
        <f t="shared" ca="1" si="135"/>
        <v>0</v>
      </c>
      <c r="R277" s="306">
        <f t="shared" ca="1" si="136"/>
        <v>0</v>
      </c>
      <c r="S277" s="307">
        <f t="shared" ca="1" si="137"/>
        <v>4.341000000000002</v>
      </c>
      <c r="T277" s="304">
        <f t="shared" ca="1" si="117"/>
        <v>42.585210000000025</v>
      </c>
      <c r="U277" s="311">
        <f t="shared" ca="1" si="118"/>
        <v>0</v>
      </c>
      <c r="V277" s="306">
        <f t="shared" ca="1" si="119"/>
        <v>1.119997309721964</v>
      </c>
      <c r="W277" s="304">
        <f t="shared" ca="1" si="120"/>
        <v>17.414001018501118</v>
      </c>
      <c r="Y277" s="314" t="str">
        <f t="shared" ca="1" si="138"/>
        <v/>
      </c>
      <c r="Z277" s="315" t="str">
        <f t="shared" ca="1" si="139"/>
        <v/>
      </c>
      <c r="AA277" s="316" t="str">
        <f t="shared" ca="1" si="140"/>
        <v/>
      </c>
      <c r="AC277" s="310" t="e">
        <f t="shared" ca="1" si="141"/>
        <v>#N/A</v>
      </c>
      <c r="AD277" s="323" t="e">
        <f t="shared" ca="1" si="142"/>
        <v>#N/A</v>
      </c>
      <c r="AE277" s="324" t="e">
        <f t="shared" ca="1" si="121"/>
        <v>#N/A</v>
      </c>
      <c r="AG277" s="306">
        <f t="shared" ca="1" si="143"/>
        <v>5.5862579689503171</v>
      </c>
      <c r="AH277" s="304">
        <f t="shared" ca="1" si="144"/>
        <v>-3.944342713344883</v>
      </c>
    </row>
    <row r="278" spans="1:34" x14ac:dyDescent="0.2">
      <c r="A278" s="347">
        <f t="shared" ca="1" si="122"/>
        <v>0.1</v>
      </c>
      <c r="B278" s="304">
        <f t="shared" ca="1" si="123"/>
        <v>18.399999999999995</v>
      </c>
      <c r="D278" s="306">
        <f t="shared" ca="1" si="124"/>
        <v>-0.93748496348266097</v>
      </c>
      <c r="E278" s="307">
        <f t="shared" ca="1" si="125"/>
        <v>-5.9095639783467675</v>
      </c>
      <c r="F278" s="304">
        <f t="shared" ca="1" si="126"/>
        <v>5.983462582061474</v>
      </c>
      <c r="G278" s="306">
        <f t="shared" ca="1" si="127"/>
        <v>16.084262064043447</v>
      </c>
      <c r="H278" s="307">
        <f t="shared" ca="1" si="128"/>
        <v>-67.90008412402598</v>
      </c>
      <c r="I278" s="304">
        <f t="shared" ca="1" si="129"/>
        <v>69.779115143391095</v>
      </c>
      <c r="J278" s="306">
        <f t="shared" ca="1" si="130"/>
        <v>561.9734923173462</v>
      </c>
      <c r="K278" s="307">
        <f t="shared" ca="1" si="131"/>
        <v>888.78589967590131</v>
      </c>
      <c r="L278" s="304">
        <f t="shared" ca="1" si="116"/>
        <v>1051.5486586601953</v>
      </c>
      <c r="M278" s="306">
        <f t="shared" ca="1" si="132"/>
        <v>-1.3382022463679126</v>
      </c>
      <c r="N278" s="304">
        <f t="shared" ca="1" si="133"/>
        <v>-76.673340851807396</v>
      </c>
      <c r="P278" s="310">
        <f t="shared" ca="1" si="134"/>
        <v>23</v>
      </c>
      <c r="Q278" s="304">
        <f t="shared" ca="1" si="135"/>
        <v>0</v>
      </c>
      <c r="R278" s="306">
        <f t="shared" ca="1" si="136"/>
        <v>0</v>
      </c>
      <c r="S278" s="307">
        <f t="shared" ca="1" si="137"/>
        <v>4.341000000000002</v>
      </c>
      <c r="T278" s="304">
        <f t="shared" ca="1" si="117"/>
        <v>42.585210000000025</v>
      </c>
      <c r="U278" s="311">
        <f t="shared" ca="1" si="118"/>
        <v>0</v>
      </c>
      <c r="V278" s="306">
        <f t="shared" ca="1" si="119"/>
        <v>1.1207562462143985</v>
      </c>
      <c r="W278" s="304">
        <f t="shared" ca="1" si="120"/>
        <v>17.705349448269583</v>
      </c>
      <c r="Y278" s="314" t="str">
        <f t="shared" ca="1" si="138"/>
        <v/>
      </c>
      <c r="Z278" s="315" t="str">
        <f t="shared" ca="1" si="139"/>
        <v/>
      </c>
      <c r="AA278" s="316" t="str">
        <f t="shared" ca="1" si="140"/>
        <v/>
      </c>
      <c r="AC278" s="310" t="e">
        <f t="shared" ca="1" si="141"/>
        <v>#N/A</v>
      </c>
      <c r="AD278" s="323" t="e">
        <f t="shared" ca="1" si="142"/>
        <v>#N/A</v>
      </c>
      <c r="AE278" s="324" t="e">
        <f t="shared" ca="1" si="121"/>
        <v>#N/A</v>
      </c>
      <c r="AG278" s="306">
        <f t="shared" ca="1" si="143"/>
        <v>5.5268345795876499</v>
      </c>
      <c r="AH278" s="304">
        <f t="shared" ca="1" si="144"/>
        <v>-4.011518318014538</v>
      </c>
    </row>
    <row r="279" spans="1:34" x14ac:dyDescent="0.2">
      <c r="A279" s="347">
        <f t="shared" ca="1" si="122"/>
        <v>0.1</v>
      </c>
      <c r="B279" s="304">
        <f t="shared" ca="1" si="123"/>
        <v>18.499999999999996</v>
      </c>
      <c r="D279" s="306">
        <f t="shared" ca="1" si="124"/>
        <v>-0.94013538608840608</v>
      </c>
      <c r="E279" s="307">
        <f t="shared" ca="1" si="125"/>
        <v>-5.8411967344724571</v>
      </c>
      <c r="F279" s="304">
        <f t="shared" ca="1" si="126"/>
        <v>5.9163699880067764</v>
      </c>
      <c r="G279" s="306">
        <f t="shared" ca="1" si="127"/>
        <v>15.990248525434605</v>
      </c>
      <c r="H279" s="307">
        <f t="shared" ca="1" si="128"/>
        <v>-68.484203797473228</v>
      </c>
      <c r="I279" s="304">
        <f t="shared" ca="1" si="129"/>
        <v>70.3261986579611</v>
      </c>
      <c r="J279" s="306">
        <f t="shared" ca="1" si="130"/>
        <v>563.57721784682008</v>
      </c>
      <c r="K279" s="307">
        <f t="shared" ca="1" si="131"/>
        <v>881.96668527982638</v>
      </c>
      <c r="L279" s="304">
        <f t="shared" ca="1" si="116"/>
        <v>1046.653961163596</v>
      </c>
      <c r="M279" s="306">
        <f t="shared" ca="1" si="132"/>
        <v>-1.341417596672575</v>
      </c>
      <c r="N279" s="304">
        <f t="shared" ca="1" si="133"/>
        <v>-76.857566853920645</v>
      </c>
      <c r="P279" s="310">
        <f t="shared" ca="1" si="134"/>
        <v>23</v>
      </c>
      <c r="Q279" s="304">
        <f t="shared" ca="1" si="135"/>
        <v>0</v>
      </c>
      <c r="R279" s="306">
        <f t="shared" ca="1" si="136"/>
        <v>0</v>
      </c>
      <c r="S279" s="307">
        <f t="shared" ca="1" si="137"/>
        <v>4.341000000000002</v>
      </c>
      <c r="T279" s="304">
        <f t="shared" ca="1" si="117"/>
        <v>42.585210000000025</v>
      </c>
      <c r="U279" s="311">
        <f t="shared" ca="1" si="118"/>
        <v>0</v>
      </c>
      <c r="V279" s="306">
        <f t="shared" ca="1" si="119"/>
        <v>1.1215222763017441</v>
      </c>
      <c r="W279" s="304">
        <f t="shared" ca="1" si="120"/>
        <v>17.996357397529952</v>
      </c>
      <c r="Y279" s="314" t="str">
        <f t="shared" ca="1" si="138"/>
        <v/>
      </c>
      <c r="Z279" s="315" t="str">
        <f t="shared" ca="1" si="139"/>
        <v/>
      </c>
      <c r="AA279" s="316" t="str">
        <f t="shared" ca="1" si="140"/>
        <v/>
      </c>
      <c r="AC279" s="310" t="e">
        <f t="shared" ca="1" si="141"/>
        <v>#N/A</v>
      </c>
      <c r="AD279" s="323" t="e">
        <f t="shared" ca="1" si="142"/>
        <v>#N/A</v>
      </c>
      <c r="AE279" s="324" t="e">
        <f t="shared" ca="1" si="121"/>
        <v>#N/A</v>
      </c>
      <c r="AG279" s="306">
        <f t="shared" ca="1" si="143"/>
        <v>5.4671998196909106</v>
      </c>
      <c r="AH279" s="304">
        <f t="shared" ca="1" si="144"/>
        <v>-4.078633828212296</v>
      </c>
    </row>
    <row r="280" spans="1:34" x14ac:dyDescent="0.2">
      <c r="A280" s="347">
        <f t="shared" ca="1" si="122"/>
        <v>0.1</v>
      </c>
      <c r="B280" s="304">
        <f t="shared" ca="1" si="123"/>
        <v>18.599999999999998</v>
      </c>
      <c r="D280" s="306">
        <f t="shared" ca="1" si="124"/>
        <v>-0.94261184788421903</v>
      </c>
      <c r="E280" s="307">
        <f t="shared" ca="1" si="125"/>
        <v>-5.7729131598715329</v>
      </c>
      <c r="F280" s="304">
        <f t="shared" ca="1" si="126"/>
        <v>5.8493626530750875</v>
      </c>
      <c r="G280" s="306">
        <f t="shared" ca="1" si="127"/>
        <v>15.895987340646183</v>
      </c>
      <c r="H280" s="307">
        <f t="shared" ca="1" si="128"/>
        <v>-69.061495113460381</v>
      </c>
      <c r="I280" s="304">
        <f t="shared" ca="1" si="129"/>
        <v>70.867288087244432</v>
      </c>
      <c r="J280" s="306">
        <f t="shared" ca="1" si="130"/>
        <v>565.17152964012416</v>
      </c>
      <c r="K280" s="307">
        <f t="shared" ca="1" si="131"/>
        <v>875.08940033427973</v>
      </c>
      <c r="L280" s="304">
        <f t="shared" ca="1" si="116"/>
        <v>1041.729483356004</v>
      </c>
      <c r="M280" s="306">
        <f t="shared" ca="1" si="132"/>
        <v>-1.3445650694410085</v>
      </c>
      <c r="N280" s="304">
        <f t="shared" ca="1" si="133"/>
        <v>-77.037903759684241</v>
      </c>
      <c r="P280" s="310">
        <f t="shared" ca="1" si="134"/>
        <v>23</v>
      </c>
      <c r="Q280" s="304">
        <f t="shared" ca="1" si="135"/>
        <v>0</v>
      </c>
      <c r="R280" s="306">
        <f t="shared" ca="1" si="136"/>
        <v>0</v>
      </c>
      <c r="S280" s="307">
        <f t="shared" ca="1" si="137"/>
        <v>4.341000000000002</v>
      </c>
      <c r="T280" s="304">
        <f t="shared" ca="1" si="117"/>
        <v>42.585210000000025</v>
      </c>
      <c r="U280" s="311">
        <f t="shared" ca="1" si="118"/>
        <v>0</v>
      </c>
      <c r="V280" s="306">
        <f t="shared" ca="1" si="119"/>
        <v>1.1222953365754376</v>
      </c>
      <c r="W280" s="304">
        <f t="shared" ca="1" si="120"/>
        <v>18.286946937806594</v>
      </c>
      <c r="Y280" s="314" t="str">
        <f t="shared" ca="1" si="138"/>
        <v/>
      </c>
      <c r="Z280" s="315" t="str">
        <f t="shared" ca="1" si="139"/>
        <v/>
      </c>
      <c r="AA280" s="316" t="str">
        <f t="shared" ca="1" si="140"/>
        <v/>
      </c>
      <c r="AC280" s="310" t="e">
        <f t="shared" ca="1" si="141"/>
        <v>#N/A</v>
      </c>
      <c r="AD280" s="323" t="e">
        <f t="shared" ca="1" si="142"/>
        <v>#N/A</v>
      </c>
      <c r="AE280" s="324" t="e">
        <f t="shared" ca="1" si="121"/>
        <v>#N/A</v>
      </c>
      <c r="AG280" s="306">
        <f t="shared" ca="1" si="143"/>
        <v>5.407384031726286</v>
      </c>
      <c r="AH280" s="304">
        <f t="shared" ca="1" si="144"/>
        <v>-4.1456709047523486</v>
      </c>
    </row>
    <row r="281" spans="1:34" x14ac:dyDescent="0.2">
      <c r="A281" s="347">
        <f t="shared" ca="1" si="122"/>
        <v>0.1</v>
      </c>
      <c r="B281" s="304">
        <f t="shared" ca="1" si="123"/>
        <v>18.7</v>
      </c>
      <c r="D281" s="306">
        <f t="shared" ca="1" si="124"/>
        <v>-0.94491580540042974</v>
      </c>
      <c r="E281" s="307">
        <f t="shared" ca="1" si="125"/>
        <v>-5.7047313634032797</v>
      </c>
      <c r="F281" s="304">
        <f t="shared" ca="1" si="126"/>
        <v>5.7824584570831616</v>
      </c>
      <c r="G281" s="306">
        <f t="shared" ca="1" si="127"/>
        <v>15.801495760106141</v>
      </c>
      <c r="H281" s="307">
        <f t="shared" ca="1" si="128"/>
        <v>-69.631968249800707</v>
      </c>
      <c r="I281" s="304">
        <f t="shared" ca="1" si="129"/>
        <v>71.402368802427745</v>
      </c>
      <c r="J281" s="306">
        <f t="shared" ca="1" si="130"/>
        <v>566.75640379516176</v>
      </c>
      <c r="K281" s="307">
        <f t="shared" ca="1" si="131"/>
        <v>868.15472716611669</v>
      </c>
      <c r="L281" s="304">
        <f t="shared" ca="1" si="116"/>
        <v>1036.7764713493932</v>
      </c>
      <c r="M281" s="306">
        <f t="shared" ca="1" si="132"/>
        <v>-1.3476468291253685</v>
      </c>
      <c r="N281" s="304">
        <f t="shared" ca="1" si="133"/>
        <v>-77.214475583071646</v>
      </c>
      <c r="P281" s="310">
        <f t="shared" ca="1" si="134"/>
        <v>23</v>
      </c>
      <c r="Q281" s="304">
        <f t="shared" ca="1" si="135"/>
        <v>0</v>
      </c>
      <c r="R281" s="306">
        <f t="shared" ca="1" si="136"/>
        <v>0</v>
      </c>
      <c r="S281" s="307">
        <f t="shared" ca="1" si="137"/>
        <v>4.341000000000002</v>
      </c>
      <c r="T281" s="304">
        <f t="shared" ca="1" si="117"/>
        <v>42.585210000000025</v>
      </c>
      <c r="U281" s="311">
        <f t="shared" ca="1" si="118"/>
        <v>0</v>
      </c>
      <c r="V281" s="306">
        <f t="shared" ca="1" si="119"/>
        <v>1.1230753636646134</v>
      </c>
      <c r="W281" s="304">
        <f t="shared" ca="1" si="120"/>
        <v>18.577041839965659</v>
      </c>
      <c r="Y281" s="314" t="str">
        <f t="shared" ca="1" si="138"/>
        <v/>
      </c>
      <c r="Z281" s="315" t="str">
        <f t="shared" ca="1" si="139"/>
        <v/>
      </c>
      <c r="AA281" s="316" t="str">
        <f t="shared" ca="1" si="140"/>
        <v/>
      </c>
      <c r="AC281" s="310" t="e">
        <f t="shared" ca="1" si="141"/>
        <v>#N/A</v>
      </c>
      <c r="AD281" s="323" t="e">
        <f t="shared" ca="1" si="142"/>
        <v>#N/A</v>
      </c>
      <c r="AE281" s="324" t="e">
        <f t="shared" ca="1" si="121"/>
        <v>#N/A</v>
      </c>
      <c r="AG281" s="306">
        <f t="shared" ca="1" si="143"/>
        <v>5.3474165263686375</v>
      </c>
      <c r="AH281" s="304">
        <f t="shared" ca="1" si="144"/>
        <v>-4.2126115959010795</v>
      </c>
    </row>
    <row r="282" spans="1:34" x14ac:dyDescent="0.2">
      <c r="A282" s="347">
        <f t="shared" ca="1" si="122"/>
        <v>0.1</v>
      </c>
      <c r="B282" s="304">
        <f t="shared" ca="1" si="123"/>
        <v>18.8</v>
      </c>
      <c r="D282" s="306">
        <f t="shared" ca="1" si="124"/>
        <v>-0.94704878761361444</v>
      </c>
      <c r="E282" s="307">
        <f t="shared" ca="1" si="125"/>
        <v>-5.6366690627722891</v>
      </c>
      <c r="F282" s="304">
        <f t="shared" ca="1" si="126"/>
        <v>5.7156748970996114</v>
      </c>
      <c r="G282" s="306">
        <f t="shared" ca="1" si="127"/>
        <v>15.70679088134478</v>
      </c>
      <c r="H282" s="307">
        <f t="shared" ca="1" si="128"/>
        <v>-70.195635156077941</v>
      </c>
      <c r="I282" s="304">
        <f t="shared" ca="1" si="129"/>
        <v>71.931428977572111</v>
      </c>
      <c r="J282" s="306">
        <f t="shared" ca="1" si="130"/>
        <v>568.33181812723433</v>
      </c>
      <c r="K282" s="307">
        <f t="shared" ca="1" si="131"/>
        <v>861.16334699582274</v>
      </c>
      <c r="L282" s="304">
        <f t="shared" ca="1" si="116"/>
        <v>1031.7961841879701</v>
      </c>
      <c r="M282" s="306">
        <f t="shared" ca="1" si="132"/>
        <v>-1.3506649495040242</v>
      </c>
      <c r="N282" s="304">
        <f t="shared" ca="1" si="133"/>
        <v>-77.387401142831038</v>
      </c>
      <c r="P282" s="310">
        <f t="shared" ca="1" si="134"/>
        <v>23</v>
      </c>
      <c r="Q282" s="304">
        <f t="shared" ca="1" si="135"/>
        <v>0</v>
      </c>
      <c r="R282" s="306">
        <f t="shared" ca="1" si="136"/>
        <v>0</v>
      </c>
      <c r="S282" s="307">
        <f t="shared" ca="1" si="137"/>
        <v>4.341000000000002</v>
      </c>
      <c r="T282" s="304">
        <f t="shared" ca="1" si="117"/>
        <v>42.585210000000025</v>
      </c>
      <c r="U282" s="311">
        <f t="shared" ca="1" si="118"/>
        <v>0</v>
      </c>
      <c r="V282" s="306">
        <f t="shared" ca="1" si="119"/>
        <v>1.1238622942524634</v>
      </c>
      <c r="W282" s="304">
        <f t="shared" ca="1" si="120"/>
        <v>18.866567589523797</v>
      </c>
      <c r="Y282" s="314" t="str">
        <f t="shared" ca="1" si="138"/>
        <v/>
      </c>
      <c r="Z282" s="315" t="str">
        <f t="shared" ca="1" si="139"/>
        <v/>
      </c>
      <c r="AA282" s="316" t="str">
        <f t="shared" ca="1" si="140"/>
        <v/>
      </c>
      <c r="AC282" s="310" t="e">
        <f t="shared" ca="1" si="141"/>
        <v>#N/A</v>
      </c>
      <c r="AD282" s="323" t="e">
        <f t="shared" ca="1" si="142"/>
        <v>#N/A</v>
      </c>
      <c r="AE282" s="324" t="e">
        <f t="shared" ca="1" si="121"/>
        <v>#N/A</v>
      </c>
      <c r="AG282" s="306">
        <f t="shared" ca="1" si="143"/>
        <v>5.2873256187919013</v>
      </c>
      <c r="AH282" s="304">
        <f t="shared" ca="1" si="144"/>
        <v>-4.2794383413880785</v>
      </c>
    </row>
    <row r="283" spans="1:34" x14ac:dyDescent="0.2">
      <c r="A283" s="347">
        <f t="shared" ca="1" si="122"/>
        <v>0.1</v>
      </c>
      <c r="B283" s="304">
        <f t="shared" ca="1" si="123"/>
        <v>18.900000000000002</v>
      </c>
      <c r="D283" s="306">
        <f t="shared" ca="1" si="124"/>
        <v>-0.94901239239340807</v>
      </c>
      <c r="E283" s="307">
        <f t="shared" ca="1" si="125"/>
        <v>-5.5687435805129404</v>
      </c>
      <c r="F283" s="304">
        <f t="shared" ca="1" si="126"/>
        <v>5.6490290835169494</v>
      </c>
      <c r="G283" s="306">
        <f t="shared" ca="1" si="127"/>
        <v>15.611889642105439</v>
      </c>
      <c r="H283" s="307">
        <f t="shared" ca="1" si="128"/>
        <v>-70.75250951412923</v>
      </c>
      <c r="I283" s="304">
        <f t="shared" ca="1" si="129"/>
        <v>72.454459495218273</v>
      </c>
      <c r="J283" s="306">
        <f t="shared" ca="1" si="130"/>
        <v>569.89775215340683</v>
      </c>
      <c r="K283" s="307">
        <f t="shared" ca="1" si="131"/>
        <v>854.11593976231234</v>
      </c>
      <c r="L283" s="304">
        <f t="shared" ca="1" si="116"/>
        <v>1026.7898940219288</v>
      </c>
      <c r="M283" s="306">
        <f t="shared" ca="1" si="132"/>
        <v>-1.3536214182528368</v>
      </c>
      <c r="N283" s="304">
        <f t="shared" ca="1" si="133"/>
        <v>-77.556794324400329</v>
      </c>
      <c r="P283" s="310">
        <f t="shared" ca="1" si="134"/>
        <v>23</v>
      </c>
      <c r="Q283" s="304">
        <f t="shared" ca="1" si="135"/>
        <v>0</v>
      </c>
      <c r="R283" s="306">
        <f t="shared" ca="1" si="136"/>
        <v>0</v>
      </c>
      <c r="S283" s="307">
        <f t="shared" ca="1" si="137"/>
        <v>4.341000000000002</v>
      </c>
      <c r="T283" s="304">
        <f t="shared" ca="1" si="117"/>
        <v>42.585210000000025</v>
      </c>
      <c r="U283" s="311">
        <f t="shared" ca="1" si="118"/>
        <v>0</v>
      </c>
      <c r="V283" s="306">
        <f t="shared" ca="1" si="119"/>
        <v>1.1246560650922748</v>
      </c>
      <c r="W283" s="304">
        <f t="shared" ca="1" si="120"/>
        <v>19.155451399894769</v>
      </c>
      <c r="Y283" s="314" t="str">
        <f t="shared" ca="1" si="138"/>
        <v/>
      </c>
      <c r="Z283" s="315" t="str">
        <f t="shared" ca="1" si="139"/>
        <v/>
      </c>
      <c r="AA283" s="316" t="str">
        <f t="shared" ca="1" si="140"/>
        <v/>
      </c>
      <c r="AC283" s="310" t="e">
        <f t="shared" ca="1" si="141"/>
        <v>#N/A</v>
      </c>
      <c r="AD283" s="323" t="e">
        <f t="shared" ca="1" si="142"/>
        <v>#N/A</v>
      </c>
      <c r="AE283" s="324" t="e">
        <f t="shared" ca="1" si="121"/>
        <v>#N/A</v>
      </c>
      <c r="AG283" s="306">
        <f t="shared" ca="1" si="143"/>
        <v>5.2271386625941112</v>
      </c>
      <c r="AH283" s="304">
        <f t="shared" ca="1" si="144"/>
        <v>-4.3461339759326858</v>
      </c>
    </row>
    <row r="284" spans="1:34" x14ac:dyDescent="0.2">
      <c r="A284" s="347">
        <f t="shared" ca="1" si="122"/>
        <v>0.1</v>
      </c>
      <c r="B284" s="304">
        <f t="shared" ca="1" si="123"/>
        <v>19.000000000000004</v>
      </c>
      <c r="D284" s="306">
        <f t="shared" ca="1" si="124"/>
        <v>-0.95080828302747211</v>
      </c>
      <c r="E284" s="307">
        <f t="shared" ca="1" si="125"/>
        <v>-5.5009718404887682</v>
      </c>
      <c r="F284" s="304">
        <f t="shared" ca="1" si="126"/>
        <v>5.5825377366323314</v>
      </c>
      <c r="G284" s="306">
        <f t="shared" ca="1" si="127"/>
        <v>15.516808813802692</v>
      </c>
      <c r="H284" s="307">
        <f t="shared" ca="1" si="128"/>
        <v>-71.30260669817811</v>
      </c>
      <c r="I284" s="304">
        <f t="shared" ca="1" si="129"/>
        <v>72.971453855046491</v>
      </c>
      <c r="J284" s="306">
        <f t="shared" ca="1" si="130"/>
        <v>571.45418707620229</v>
      </c>
      <c r="K284" s="307">
        <f t="shared" ca="1" si="131"/>
        <v>847.01318395169699</v>
      </c>
      <c r="L284" s="304">
        <f t="shared" ca="1" si="116"/>
        <v>1021.7588862911418</v>
      </c>
      <c r="M284" s="306">
        <f t="shared" ca="1" si="132"/>
        <v>-1.3565181412508709</v>
      </c>
      <c r="N284" s="304">
        <f t="shared" ca="1" si="133"/>
        <v>-77.722764326606168</v>
      </c>
      <c r="P284" s="310">
        <f t="shared" ca="1" si="134"/>
        <v>23</v>
      </c>
      <c r="Q284" s="304">
        <f t="shared" ca="1" si="135"/>
        <v>0</v>
      </c>
      <c r="R284" s="306">
        <f t="shared" ca="1" si="136"/>
        <v>0</v>
      </c>
      <c r="S284" s="307">
        <f t="shared" ca="1" si="137"/>
        <v>4.341000000000002</v>
      </c>
      <c r="T284" s="304">
        <f t="shared" ca="1" si="117"/>
        <v>42.585210000000025</v>
      </c>
      <c r="U284" s="311">
        <f t="shared" ca="1" si="118"/>
        <v>0</v>
      </c>
      <c r="V284" s="306">
        <f t="shared" ca="1" si="119"/>
        <v>1.1254566130231471</v>
      </c>
      <c r="W284" s="304">
        <f t="shared" ca="1" si="120"/>
        <v>19.443622223617364</v>
      </c>
      <c r="Y284" s="314" t="str">
        <f t="shared" ca="1" si="138"/>
        <v/>
      </c>
      <c r="Z284" s="315" t="str">
        <f t="shared" ca="1" si="139"/>
        <v/>
      </c>
      <c r="AA284" s="316" t="str">
        <f t="shared" ca="1" si="140"/>
        <v/>
      </c>
      <c r="AC284" s="310">
        <f t="shared" ca="1" si="141"/>
        <v>19.000000000000004</v>
      </c>
      <c r="AD284" s="323">
        <f t="shared" ca="1" si="142"/>
        <v>571.45418707620229</v>
      </c>
      <c r="AE284" s="324" t="e">
        <f t="shared" ca="1" si="121"/>
        <v>#N/A</v>
      </c>
      <c r="AG284" s="306">
        <f t="shared" ca="1" si="143"/>
        <v>5.1668820815704324</v>
      </c>
      <c r="AH284" s="304">
        <f t="shared" ca="1" si="144"/>
        <v>-4.412681732295499</v>
      </c>
    </row>
    <row r="285" spans="1:34" x14ac:dyDescent="0.2">
      <c r="A285" s="347">
        <f t="shared" ca="1" si="122"/>
        <v>0.1</v>
      </c>
      <c r="B285" s="304">
        <f t="shared" ca="1" si="123"/>
        <v>19.100000000000005</v>
      </c>
      <c r="D285" s="306">
        <f t="shared" ca="1" si="124"/>
        <v>-0.95243818482305165</v>
      </c>
      <c r="E285" s="307">
        <f t="shared" ca="1" si="125"/>
        <v>-5.4333703648938787</v>
      </c>
      <c r="F285" s="304">
        <f t="shared" ca="1" si="126"/>
        <v>5.5162171837243745</v>
      </c>
      <c r="G285" s="306">
        <f t="shared" ca="1" si="127"/>
        <v>15.421564995320386</v>
      </c>
      <c r="H285" s="307">
        <f t="shared" ca="1" si="128"/>
        <v>-71.8459437346675</v>
      </c>
      <c r="I285" s="304">
        <f t="shared" ca="1" si="129"/>
        <v>73.482408085404359</v>
      </c>
      <c r="J285" s="306">
        <f t="shared" ca="1" si="130"/>
        <v>573.0011057666585</v>
      </c>
      <c r="K285" s="307">
        <f t="shared" ca="1" si="131"/>
        <v>839.85575643005473</v>
      </c>
      <c r="L285" s="304">
        <f t="shared" ca="1" si="116"/>
        <v>1016.7044599186692</v>
      </c>
      <c r="M285" s="306">
        <f t="shared" ca="1" si="132"/>
        <v>-1.3593569466377682</v>
      </c>
      <c r="N285" s="304">
        <f t="shared" ca="1" si="133"/>
        <v>-77.885415894134383</v>
      </c>
      <c r="P285" s="310">
        <f t="shared" ca="1" si="134"/>
        <v>23</v>
      </c>
      <c r="Q285" s="304">
        <f t="shared" ca="1" si="135"/>
        <v>0</v>
      </c>
      <c r="R285" s="306">
        <f t="shared" ca="1" si="136"/>
        <v>0</v>
      </c>
      <c r="S285" s="307">
        <f t="shared" ca="1" si="137"/>
        <v>4.341000000000002</v>
      </c>
      <c r="T285" s="304">
        <f t="shared" ca="1" si="117"/>
        <v>42.585210000000025</v>
      </c>
      <c r="U285" s="311">
        <f t="shared" ca="1" si="118"/>
        <v>0</v>
      </c>
      <c r="V285" s="306">
        <f t="shared" ca="1" si="119"/>
        <v>1.1262638749853751</v>
      </c>
      <c r="W285" s="304">
        <f t="shared" ca="1" si="120"/>
        <v>19.731010761609454</v>
      </c>
      <c r="Y285" s="314" t="str">
        <f t="shared" ca="1" si="138"/>
        <v/>
      </c>
      <c r="Z285" s="315" t="str">
        <f t="shared" ca="1" si="139"/>
        <v/>
      </c>
      <c r="AA285" s="316" t="str">
        <f t="shared" ca="1" si="140"/>
        <v/>
      </c>
      <c r="AC285" s="310" t="e">
        <f t="shared" ca="1" si="141"/>
        <v>#N/A</v>
      </c>
      <c r="AD285" s="323" t="e">
        <f t="shared" ca="1" si="142"/>
        <v>#N/A</v>
      </c>
      <c r="AE285" s="324" t="e">
        <f t="shared" ca="1" si="121"/>
        <v>#N/A</v>
      </c>
      <c r="AG285" s="306">
        <f t="shared" ca="1" si="143"/>
        <v>5.1065813995280553</v>
      </c>
      <c r="AH285" s="304">
        <f t="shared" ca="1" si="144"/>
        <v>-4.4790652438648593</v>
      </c>
    </row>
    <row r="286" spans="1:34" x14ac:dyDescent="0.2">
      <c r="A286" s="347">
        <f t="shared" ca="1" si="122"/>
        <v>0.1</v>
      </c>
      <c r="B286" s="304">
        <f t="shared" ca="1" si="123"/>
        <v>19.200000000000006</v>
      </c>
      <c r="D286" s="306">
        <f t="shared" ca="1" si="124"/>
        <v>-0.95390388178376972</v>
      </c>
      <c r="E286" s="307">
        <f t="shared" ca="1" si="125"/>
        <v>-5.365955271743557</v>
      </c>
      <c r="F286" s="304">
        <f t="shared" ca="1" si="126"/>
        <v>5.4500833566134217</v>
      </c>
      <c r="G286" s="306">
        <f t="shared" ca="1" si="127"/>
        <v>15.32617460714201</v>
      </c>
      <c r="H286" s="307">
        <f t="shared" ca="1" si="128"/>
        <v>-72.382539261841856</v>
      </c>
      <c r="I286" s="304">
        <f t="shared" ca="1" si="129"/>
        <v>73.987320657533488</v>
      </c>
      <c r="J286" s="306">
        <f t="shared" ca="1" si="130"/>
        <v>574.53849274678157</v>
      </c>
      <c r="K286" s="307">
        <f t="shared" ca="1" si="131"/>
        <v>832.64433228022926</v>
      </c>
      <c r="L286" s="304">
        <f t="shared" ca="1" si="116"/>
        <v>1011.6279275139316</v>
      </c>
      <c r="M286" s="306">
        <f t="shared" ca="1" si="132"/>
        <v>-1.3621395886388039</v>
      </c>
      <c r="N286" s="304">
        <f t="shared" ca="1" si="133"/>
        <v>-78.044849536689568</v>
      </c>
      <c r="P286" s="310">
        <f t="shared" ca="1" si="134"/>
        <v>23</v>
      </c>
      <c r="Q286" s="304">
        <f t="shared" ca="1" si="135"/>
        <v>0</v>
      </c>
      <c r="R286" s="306">
        <f t="shared" ca="1" si="136"/>
        <v>0</v>
      </c>
      <c r="S286" s="307">
        <f t="shared" ca="1" si="137"/>
        <v>4.341000000000002</v>
      </c>
      <c r="T286" s="304">
        <f t="shared" ca="1" si="117"/>
        <v>42.585210000000025</v>
      </c>
      <c r="U286" s="311">
        <f t="shared" ca="1" si="118"/>
        <v>0</v>
      </c>
      <c r="V286" s="306">
        <f t="shared" ca="1" si="119"/>
        <v>1.127077788035501</v>
      </c>
      <c r="W286" s="304">
        <f t="shared" ca="1" si="120"/>
        <v>20.017549470495346</v>
      </c>
      <c r="Y286" s="314" t="str">
        <f t="shared" ca="1" si="138"/>
        <v/>
      </c>
      <c r="Z286" s="315" t="str">
        <f t="shared" ca="1" si="139"/>
        <v/>
      </c>
      <c r="AA286" s="316" t="str">
        <f t="shared" ca="1" si="140"/>
        <v/>
      </c>
      <c r="AC286" s="310" t="e">
        <f t="shared" ca="1" si="141"/>
        <v>#N/A</v>
      </c>
      <c r="AD286" s="323" t="e">
        <f t="shared" ca="1" si="142"/>
        <v>#N/A</v>
      </c>
      <c r="AE286" s="324" t="e">
        <f t="shared" ca="1" si="121"/>
        <v>#N/A</v>
      </c>
      <c r="AG286" s="306">
        <f t="shared" ca="1" si="143"/>
        <v>5.0462612683193591</v>
      </c>
      <c r="AH286" s="304">
        <f t="shared" ca="1" si="144"/>
        <v>-4.5452685467886305</v>
      </c>
    </row>
    <row r="287" spans="1:34" x14ac:dyDescent="0.2">
      <c r="A287" s="347">
        <f t="shared" ca="1" si="122"/>
        <v>0.1</v>
      </c>
      <c r="B287" s="304">
        <f t="shared" ca="1" si="123"/>
        <v>19.300000000000008</v>
      </c>
      <c r="D287" s="306">
        <f t="shared" ca="1" si="124"/>
        <v>-0.95520721336048975</v>
      </c>
      <c r="E287" s="307">
        <f t="shared" ca="1" si="125"/>
        <v>-5.2987422728408218</v>
      </c>
      <c r="F287" s="304">
        <f t="shared" ca="1" si="126"/>
        <v>5.3841517896922477</v>
      </c>
      <c r="G287" s="306">
        <f t="shared" ca="1" si="127"/>
        <v>15.23065388580596</v>
      </c>
      <c r="H287" s="307">
        <f t="shared" ca="1" si="128"/>
        <v>-72.912413489125939</v>
      </c>
      <c r="I287" s="304">
        <f t="shared" ca="1" si="129"/>
        <v>74.486192402340521</v>
      </c>
      <c r="J287" s="306">
        <f t="shared" ca="1" si="130"/>
        <v>576.06633417142893</v>
      </c>
      <c r="K287" s="307">
        <f t="shared" ca="1" si="131"/>
        <v>825.37958464268092</v>
      </c>
      <c r="L287" s="304">
        <f t="shared" ca="1" si="116"/>
        <v>1006.5306155853546</v>
      </c>
      <c r="M287" s="306">
        <f t="shared" ca="1" si="132"/>
        <v>-1.3648677511725185</v>
      </c>
      <c r="N287" s="304">
        <f t="shared" ca="1" si="133"/>
        <v>-78.201161735697127</v>
      </c>
      <c r="P287" s="310">
        <f t="shared" ca="1" si="134"/>
        <v>23</v>
      </c>
      <c r="Q287" s="304">
        <f t="shared" ca="1" si="135"/>
        <v>0</v>
      </c>
      <c r="R287" s="306">
        <f t="shared" ca="1" si="136"/>
        <v>0</v>
      </c>
      <c r="S287" s="307">
        <f t="shared" ca="1" si="137"/>
        <v>4.341000000000002</v>
      </c>
      <c r="T287" s="304">
        <f t="shared" ca="1" si="117"/>
        <v>42.585210000000025</v>
      </c>
      <c r="U287" s="311">
        <f t="shared" ca="1" si="118"/>
        <v>0</v>
      </c>
      <c r="V287" s="306">
        <f t="shared" ca="1" si="119"/>
        <v>1.1278982893610359</v>
      </c>
      <c r="W287" s="304">
        <f t="shared" ca="1" si="120"/>
        <v>20.303172568054837</v>
      </c>
      <c r="Y287" s="314" t="str">
        <f t="shared" ca="1" si="138"/>
        <v/>
      </c>
      <c r="Z287" s="315" t="str">
        <f t="shared" ca="1" si="139"/>
        <v/>
      </c>
      <c r="AA287" s="316" t="str">
        <f t="shared" ca="1" si="140"/>
        <v/>
      </c>
      <c r="AC287" s="310" t="e">
        <f t="shared" ca="1" si="141"/>
        <v>#N/A</v>
      </c>
      <c r="AD287" s="323" t="e">
        <f t="shared" ca="1" si="142"/>
        <v>#N/A</v>
      </c>
      <c r="AE287" s="324" t="e">
        <f t="shared" ca="1" si="121"/>
        <v>#N/A</v>
      </c>
      <c r="AG287" s="306">
        <f t="shared" ca="1" si="143"/>
        <v>4.9859454942534942</v>
      </c>
      <c r="AH287" s="304">
        <f t="shared" ca="1" si="144"/>
        <v>-4.6112760816621368</v>
      </c>
    </row>
    <row r="288" spans="1:34" x14ac:dyDescent="0.2">
      <c r="A288" s="347">
        <f t="shared" ca="1" si="122"/>
        <v>0.1</v>
      </c>
      <c r="B288" s="304">
        <f t="shared" ca="1" si="123"/>
        <v>19.400000000000009</v>
      </c>
      <c r="D288" s="306">
        <f t="shared" ca="1" si="124"/>
        <v>-0.95635007127524574</v>
      </c>
      <c r="E288" s="307">
        <f t="shared" ca="1" si="125"/>
        <v>-5.2317466722056025</v>
      </c>
      <c r="F288" s="304">
        <f t="shared" ca="1" si="126"/>
        <v>5.31843761841413</v>
      </c>
      <c r="G288" s="306">
        <f t="shared" ca="1" si="127"/>
        <v>15.135018878678435</v>
      </c>
      <c r="H288" s="307">
        <f t="shared" ca="1" si="128"/>
        <v>-73.435588156346498</v>
      </c>
      <c r="I288" s="304">
        <f t="shared" ca="1" si="129"/>
        <v>74.97902642957223</v>
      </c>
      <c r="J288" s="306">
        <f t="shared" ca="1" si="130"/>
        <v>577.5846178096532</v>
      </c>
      <c r="K288" s="307">
        <f t="shared" ca="1" si="131"/>
        <v>818.06218456040733</v>
      </c>
      <c r="L288" s="304">
        <f t="shared" ca="1" si="116"/>
        <v>1001.4138647622516</v>
      </c>
      <c r="M288" s="306">
        <f t="shared" ca="1" si="132"/>
        <v>-1.3675430512547735</v>
      </c>
      <c r="N288" s="304">
        <f t="shared" ca="1" si="133"/>
        <v>-78.354445139341337</v>
      </c>
      <c r="P288" s="310">
        <f t="shared" ca="1" si="134"/>
        <v>23</v>
      </c>
      <c r="Q288" s="304">
        <f t="shared" ca="1" si="135"/>
        <v>0</v>
      </c>
      <c r="R288" s="306">
        <f t="shared" ca="1" si="136"/>
        <v>0</v>
      </c>
      <c r="S288" s="307">
        <f t="shared" ca="1" si="137"/>
        <v>4.341000000000002</v>
      </c>
      <c r="T288" s="304">
        <f t="shared" ca="1" si="117"/>
        <v>42.585210000000025</v>
      </c>
      <c r="U288" s="311">
        <f t="shared" ca="1" si="118"/>
        <v>0</v>
      </c>
      <c r="V288" s="306">
        <f t="shared" ca="1" si="119"/>
        <v>1.1287253162948356</v>
      </c>
      <c r="W288" s="304">
        <f t="shared" ca="1" si="120"/>
        <v>20.587816036843762</v>
      </c>
      <c r="Y288" s="314" t="str">
        <f t="shared" ca="1" si="138"/>
        <v/>
      </c>
      <c r="Z288" s="315" t="str">
        <f t="shared" ca="1" si="139"/>
        <v/>
      </c>
      <c r="AA288" s="316" t="str">
        <f t="shared" ca="1" si="140"/>
        <v/>
      </c>
      <c r="AC288" s="310" t="e">
        <f t="shared" ca="1" si="141"/>
        <v>#N/A</v>
      </c>
      <c r="AD288" s="323" t="e">
        <f t="shared" ca="1" si="142"/>
        <v>#N/A</v>
      </c>
      <c r="AE288" s="324" t="e">
        <f t="shared" ca="1" si="121"/>
        <v>#N/A</v>
      </c>
      <c r="AG288" s="306">
        <f t="shared" ca="1" si="143"/>
        <v>4.925657063032074</v>
      </c>
      <c r="AH288" s="304">
        <f t="shared" ca="1" si="144"/>
        <v>-4.67707269478342</v>
      </c>
    </row>
    <row r="289" spans="1:34" x14ac:dyDescent="0.2">
      <c r="A289" s="347">
        <f t="shared" ca="1" si="122"/>
        <v>0.1</v>
      </c>
      <c r="B289" s="304">
        <f t="shared" ca="1" si="123"/>
        <v>19.500000000000011</v>
      </c>
      <c r="D289" s="306">
        <f t="shared" ca="1" si="124"/>
        <v>-0.95733439641736962</v>
      </c>
      <c r="E289" s="307">
        <f t="shared" ca="1" si="125"/>
        <v>-5.1649833649530779</v>
      </c>
      <c r="F289" s="304">
        <f t="shared" ca="1" si="126"/>
        <v>5.2529555782250652</v>
      </c>
      <c r="G289" s="306">
        <f t="shared" ca="1" si="127"/>
        <v>15.039285439036698</v>
      </c>
      <c r="H289" s="307">
        <f t="shared" ca="1" si="128"/>
        <v>-73.952086492841801</v>
      </c>
      <c r="I289" s="304">
        <f t="shared" ca="1" si="129"/>
        <v>75.465828049267273</v>
      </c>
      <c r="J289" s="306">
        <f t="shared" ca="1" si="130"/>
        <v>579.09333302553898</v>
      </c>
      <c r="K289" s="307">
        <f t="shared" ca="1" si="131"/>
        <v>810.69280082794796</v>
      </c>
      <c r="L289" s="304">
        <f t="shared" ca="1" si="116"/>
        <v>996.27903002567041</v>
      </c>
      <c r="M289" s="306">
        <f t="shared" ca="1" si="132"/>
        <v>-1.3701670422121284</v>
      </c>
      <c r="N289" s="304">
        <f t="shared" ca="1" si="133"/>
        <v>-78.504788746678273</v>
      </c>
      <c r="P289" s="310">
        <f t="shared" ca="1" si="134"/>
        <v>23</v>
      </c>
      <c r="Q289" s="304">
        <f t="shared" ca="1" si="135"/>
        <v>0</v>
      </c>
      <c r="R289" s="306">
        <f t="shared" ca="1" si="136"/>
        <v>0</v>
      </c>
      <c r="S289" s="307">
        <f t="shared" ca="1" si="137"/>
        <v>4.341000000000002</v>
      </c>
      <c r="T289" s="304">
        <f t="shared" ca="1" si="117"/>
        <v>42.585210000000025</v>
      </c>
      <c r="U289" s="311">
        <f t="shared" ca="1" si="118"/>
        <v>0</v>
      </c>
      <c r="V289" s="306">
        <f t="shared" ca="1" si="119"/>
        <v>1.129558806329146</v>
      </c>
      <c r="W289" s="304">
        <f t="shared" ca="1" si="120"/>
        <v>20.871417626037633</v>
      </c>
      <c r="Y289" s="314" t="str">
        <f t="shared" ca="1" si="138"/>
        <v/>
      </c>
      <c r="Z289" s="315" t="str">
        <f t="shared" ca="1" si="139"/>
        <v/>
      </c>
      <c r="AA289" s="316" t="str">
        <f t="shared" ca="1" si="140"/>
        <v/>
      </c>
      <c r="AC289" s="310" t="e">
        <f t="shared" ca="1" si="141"/>
        <v>#N/A</v>
      </c>
      <c r="AD289" s="323" t="e">
        <f t="shared" ca="1" si="142"/>
        <v>#N/A</v>
      </c>
      <c r="AE289" s="324" t="e">
        <f t="shared" ca="1" si="121"/>
        <v>#N/A</v>
      </c>
      <c r="AG289" s="306">
        <f t="shared" ca="1" si="143"/>
        <v>4.8654181633413227</v>
      </c>
      <c r="AH289" s="304">
        <f t="shared" ca="1" si="144"/>
        <v>-4.742643638987273</v>
      </c>
    </row>
    <row r="290" spans="1:34" x14ac:dyDescent="0.2">
      <c r="A290" s="347">
        <f t="shared" ca="1" si="122"/>
        <v>0.1</v>
      </c>
      <c r="B290" s="304">
        <f t="shared" ca="1" si="123"/>
        <v>19.600000000000012</v>
      </c>
      <c r="D290" s="306">
        <f t="shared" ca="1" si="124"/>
        <v>-0.95816217581105356</v>
      </c>
      <c r="E290" s="307">
        <f t="shared" ca="1" si="125"/>
        <v>-5.0984668366074217</v>
      </c>
      <c r="F290" s="304">
        <f t="shared" ca="1" si="126"/>
        <v>5.1877200039266445</v>
      </c>
      <c r="G290" s="306">
        <f t="shared" ca="1" si="127"/>
        <v>14.943469221455592</v>
      </c>
      <c r="H290" s="307">
        <f t="shared" ca="1" si="128"/>
        <v>-74.461933176502541</v>
      </c>
      <c r="I290" s="304">
        <f t="shared" ca="1" si="129"/>
        <v>75.94660469536818</v>
      </c>
      <c r="J290" s="306">
        <f t="shared" ca="1" si="130"/>
        <v>580.59247075856365</v>
      </c>
      <c r="K290" s="307">
        <f t="shared" ca="1" si="131"/>
        <v>803.27209984448075</v>
      </c>
      <c r="L290" s="304">
        <f t="shared" ca="1" si="116"/>
        <v>991.12748094788242</v>
      </c>
      <c r="M290" s="306">
        <f t="shared" ca="1" si="132"/>
        <v>-1.3727412167165292</v>
      </c>
      <c r="N290" s="304">
        <f t="shared" ca="1" si="133"/>
        <v>-78.652278081510616</v>
      </c>
      <c r="P290" s="310">
        <f t="shared" ca="1" si="134"/>
        <v>23</v>
      </c>
      <c r="Q290" s="304">
        <f t="shared" ca="1" si="135"/>
        <v>0</v>
      </c>
      <c r="R290" s="306">
        <f t="shared" ca="1" si="136"/>
        <v>0</v>
      </c>
      <c r="S290" s="307">
        <f t="shared" ca="1" si="137"/>
        <v>4.341000000000002</v>
      </c>
      <c r="T290" s="304">
        <f t="shared" ca="1" si="117"/>
        <v>42.585210000000025</v>
      </c>
      <c r="U290" s="311">
        <f t="shared" ca="1" si="118"/>
        <v>0</v>
      </c>
      <c r="V290" s="306">
        <f t="shared" ca="1" si="119"/>
        <v>1.1303986971292996</v>
      </c>
      <c r="W290" s="304">
        <f t="shared" ca="1" si="120"/>
        <v>21.153916851550388</v>
      </c>
      <c r="Y290" s="314" t="str">
        <f t="shared" ca="1" si="138"/>
        <v/>
      </c>
      <c r="Z290" s="315" t="str">
        <f t="shared" ca="1" si="139"/>
        <v/>
      </c>
      <c r="AA290" s="316" t="str">
        <f t="shared" ca="1" si="140"/>
        <v/>
      </c>
      <c r="AC290" s="310" t="e">
        <f t="shared" ca="1" si="141"/>
        <v>#N/A</v>
      </c>
      <c r="AD290" s="323" t="e">
        <f t="shared" ca="1" si="142"/>
        <v>#N/A</v>
      </c>
      <c r="AE290" s="324" t="e">
        <f t="shared" ca="1" si="121"/>
        <v>#N/A</v>
      </c>
      <c r="AG290" s="306">
        <f t="shared" ca="1" si="143"/>
        <v>4.8052502092208549</v>
      </c>
      <c r="AH290" s="304">
        <f t="shared" ca="1" si="144"/>
        <v>-4.8079745740699433</v>
      </c>
    </row>
    <row r="291" spans="1:34" x14ac:dyDescent="0.2">
      <c r="A291" s="347">
        <f t="shared" ca="1" si="122"/>
        <v>0.1</v>
      </c>
      <c r="B291" s="304">
        <f t="shared" ca="1" si="123"/>
        <v>19.700000000000014</v>
      </c>
      <c r="D291" s="306">
        <f t="shared" ca="1" si="124"/>
        <v>-0.95883543965368778</v>
      </c>
      <c r="E291" s="307">
        <f t="shared" ca="1" si="125"/>
        <v>-5.0322111628372737</v>
      </c>
      <c r="F291" s="304">
        <f t="shared" ca="1" si="126"/>
        <v>5.1227448294561722</v>
      </c>
      <c r="G291" s="306">
        <f t="shared" ca="1" si="127"/>
        <v>14.847585677490223</v>
      </c>
      <c r="H291" s="307">
        <f t="shared" ca="1" si="128"/>
        <v>-74.965154292786266</v>
      </c>
      <c r="I291" s="304">
        <f t="shared" ca="1" si="129"/>
        <v>76.421365851387819</v>
      </c>
      <c r="J291" s="306">
        <f t="shared" ca="1" si="130"/>
        <v>582.08202350351098</v>
      </c>
      <c r="K291" s="307">
        <f t="shared" ca="1" si="131"/>
        <v>795.80074547101628</v>
      </c>
      <c r="L291" s="304">
        <f t="shared" ca="1" si="116"/>
        <v>985.96060194014194</v>
      </c>
      <c r="M291" s="306">
        <f t="shared" ca="1" si="132"/>
        <v>-1.3752670096524824</v>
      </c>
      <c r="N291" s="304">
        <f t="shared" ca="1" si="133"/>
        <v>-78.796995356664695</v>
      </c>
      <c r="P291" s="310">
        <f t="shared" ca="1" si="134"/>
        <v>23</v>
      </c>
      <c r="Q291" s="304">
        <f t="shared" ca="1" si="135"/>
        <v>0</v>
      </c>
      <c r="R291" s="306">
        <f t="shared" ca="1" si="136"/>
        <v>0</v>
      </c>
      <c r="S291" s="307">
        <f t="shared" ca="1" si="137"/>
        <v>4.341000000000002</v>
      </c>
      <c r="T291" s="304">
        <f t="shared" ca="1" si="117"/>
        <v>42.585210000000025</v>
      </c>
      <c r="U291" s="311">
        <f t="shared" ca="1" si="118"/>
        <v>0</v>
      </c>
      <c r="V291" s="306">
        <f t="shared" ca="1" si="119"/>
        <v>1.1312449265470768</v>
      </c>
      <c r="W291" s="304">
        <f t="shared" ca="1" si="120"/>
        <v>21.435254994481806</v>
      </c>
      <c r="Y291" s="314" t="str">
        <f t="shared" ca="1" si="138"/>
        <v/>
      </c>
      <c r="Z291" s="315" t="str">
        <f t="shared" ca="1" si="139"/>
        <v/>
      </c>
      <c r="AA291" s="316" t="str">
        <f t="shared" ca="1" si="140"/>
        <v/>
      </c>
      <c r="AC291" s="310" t="e">
        <f t="shared" ca="1" si="141"/>
        <v>#N/A</v>
      </c>
      <c r="AD291" s="323" t="e">
        <f t="shared" ca="1" si="142"/>
        <v>#N/A</v>
      </c>
      <c r="AE291" s="324" t="e">
        <f t="shared" ca="1" si="121"/>
        <v>#N/A</v>
      </c>
      <c r="AG291" s="306">
        <f t="shared" ca="1" si="143"/>
        <v>4.7451738613182854</v>
      </c>
      <c r="AH291" s="304">
        <f t="shared" ca="1" si="144"/>
        <v>-4.8730515668164891</v>
      </c>
    </row>
    <row r="292" spans="1:34" x14ac:dyDescent="0.2">
      <c r="A292" s="347">
        <f t="shared" ca="1" si="122"/>
        <v>0.1</v>
      </c>
      <c r="B292" s="304">
        <f t="shared" ca="1" si="123"/>
        <v>19.800000000000015</v>
      </c>
      <c r="D292" s="306">
        <f t="shared" ca="1" si="124"/>
        <v>-0.95935625842439287</v>
      </c>
      <c r="E292" s="307">
        <f t="shared" ca="1" si="125"/>
        <v>-4.9662300095990064</v>
      </c>
      <c r="F292" s="304">
        <f t="shared" ca="1" si="126"/>
        <v>5.0580435880703716</v>
      </c>
      <c r="G292" s="306">
        <f t="shared" ca="1" si="127"/>
        <v>14.751650051647783</v>
      </c>
      <c r="H292" s="307">
        <f t="shared" ca="1" si="128"/>
        <v>-75.461777293746167</v>
      </c>
      <c r="I292" s="304">
        <f t="shared" ca="1" si="129"/>
        <v>76.890122978034213</v>
      </c>
      <c r="J292" s="306">
        <f t="shared" ca="1" si="130"/>
        <v>583.56198528996788</v>
      </c>
      <c r="K292" s="307">
        <f t="shared" ca="1" si="131"/>
        <v>788.27939889168965</v>
      </c>
      <c r="L292" s="304">
        <f t="shared" ca="1" si="116"/>
        <v>980.77979250829401</v>
      </c>
      <c r="M292" s="306">
        <f t="shared" ca="1" si="132"/>
        <v>-1.3777458008271195</v>
      </c>
      <c r="N292" s="304">
        <f t="shared" ca="1" si="133"/>
        <v>-78.939019629265673</v>
      </c>
      <c r="P292" s="310">
        <f t="shared" ca="1" si="134"/>
        <v>23</v>
      </c>
      <c r="Q292" s="304">
        <f t="shared" ca="1" si="135"/>
        <v>0</v>
      </c>
      <c r="R292" s="306">
        <f t="shared" ca="1" si="136"/>
        <v>0</v>
      </c>
      <c r="S292" s="307">
        <f t="shared" ca="1" si="137"/>
        <v>4.341000000000002</v>
      </c>
      <c r="T292" s="304">
        <f t="shared" ca="1" si="117"/>
        <v>42.585210000000025</v>
      </c>
      <c r="U292" s="311">
        <f t="shared" ca="1" si="118"/>
        <v>0</v>
      </c>
      <c r="V292" s="306">
        <f t="shared" ca="1" si="119"/>
        <v>1.1320974326337176</v>
      </c>
      <c r="W292" s="304">
        <f t="shared" ca="1" si="120"/>
        <v>21.715375097947675</v>
      </c>
      <c r="Y292" s="314" t="str">
        <f t="shared" ca="1" si="138"/>
        <v/>
      </c>
      <c r="Z292" s="315" t="str">
        <f t="shared" ca="1" si="139"/>
        <v/>
      </c>
      <c r="AA292" s="316" t="str">
        <f t="shared" ca="1" si="140"/>
        <v/>
      </c>
      <c r="AC292" s="310" t="e">
        <f t="shared" ca="1" si="141"/>
        <v>#N/A</v>
      </c>
      <c r="AD292" s="323" t="e">
        <f t="shared" ca="1" si="142"/>
        <v>#N/A</v>
      </c>
      <c r="AE292" s="324" t="e">
        <f t="shared" ca="1" si="121"/>
        <v>#N/A</v>
      </c>
      <c r="AG292" s="306">
        <f t="shared" ca="1" si="143"/>
        <v>4.6852090471288044</v>
      </c>
      <c r="AH292" s="304">
        <f t="shared" ca="1" si="144"/>
        <v>-4.9378610906431231</v>
      </c>
    </row>
    <row r="293" spans="1:34" x14ac:dyDescent="0.2">
      <c r="A293" s="347">
        <f t="shared" ca="1" si="122"/>
        <v>0.1</v>
      </c>
      <c r="B293" s="304">
        <f t="shared" ca="1" si="123"/>
        <v>19.900000000000016</v>
      </c>
      <c r="D293" s="306">
        <f t="shared" ca="1" si="124"/>
        <v>-0.95972674006221581</v>
      </c>
      <c r="E293" s="307">
        <f t="shared" ca="1" si="125"/>
        <v>-4.9005366336738545</v>
      </c>
      <c r="F293" s="304">
        <f t="shared" ca="1" si="126"/>
        <v>4.9936294129190166</v>
      </c>
      <c r="G293" s="306">
        <f t="shared" ca="1" si="127"/>
        <v>14.655677377641561</v>
      </c>
      <c r="H293" s="307">
        <f t="shared" ca="1" si="128"/>
        <v>-75.951830957113557</v>
      </c>
      <c r="I293" s="304">
        <f t="shared" ca="1" si="129"/>
        <v>77.352889442705802</v>
      </c>
      <c r="J293" s="306">
        <f t="shared" ca="1" si="130"/>
        <v>585.03235166143236</v>
      </c>
      <c r="K293" s="307">
        <f t="shared" ca="1" si="131"/>
        <v>780.70871847914668</v>
      </c>
      <c r="L293" s="304">
        <f t="shared" ca="1" si="116"/>
        <v>975.58646751574884</v>
      </c>
      <c r="M293" s="306">
        <f t="shared" ca="1" si="132"/>
        <v>-1.380178917532848</v>
      </c>
      <c r="N293" s="304">
        <f t="shared" ca="1" si="133"/>
        <v>-79.078426947566697</v>
      </c>
      <c r="P293" s="310">
        <f t="shared" ca="1" si="134"/>
        <v>23</v>
      </c>
      <c r="Q293" s="304">
        <f t="shared" ca="1" si="135"/>
        <v>0</v>
      </c>
      <c r="R293" s="306">
        <f t="shared" ca="1" si="136"/>
        <v>0</v>
      </c>
      <c r="S293" s="307">
        <f t="shared" ca="1" si="137"/>
        <v>4.341000000000002</v>
      </c>
      <c r="T293" s="304">
        <f t="shared" ca="1" si="117"/>
        <v>42.585210000000025</v>
      </c>
      <c r="U293" s="311">
        <f t="shared" ca="1" si="118"/>
        <v>0</v>
      </c>
      <c r="V293" s="306">
        <f t="shared" ca="1" si="119"/>
        <v>1.1329561536525934</v>
      </c>
      <c r="W293" s="304">
        <f t="shared" ca="1" si="120"/>
        <v>21.994221962347623</v>
      </c>
      <c r="Y293" s="314" t="str">
        <f t="shared" ca="1" si="138"/>
        <v/>
      </c>
      <c r="Z293" s="315" t="str">
        <f t="shared" ca="1" si="139"/>
        <v/>
      </c>
      <c r="AA293" s="316" t="str">
        <f t="shared" ca="1" si="140"/>
        <v/>
      </c>
      <c r="AC293" s="310" t="e">
        <f t="shared" ca="1" si="141"/>
        <v>#N/A</v>
      </c>
      <c r="AD293" s="323" t="e">
        <f t="shared" ca="1" si="142"/>
        <v>#N/A</v>
      </c>
      <c r="AE293" s="324" t="e">
        <f t="shared" ca="1" si="121"/>
        <v>#N/A</v>
      </c>
      <c r="AG293" s="306">
        <f t="shared" ca="1" si="143"/>
        <v>4.6253749803096875</v>
      </c>
      <c r="AH293" s="304">
        <f t="shared" ca="1" si="144"/>
        <v>-5.0023900248670037</v>
      </c>
    </row>
    <row r="294" spans="1:34" x14ac:dyDescent="0.2">
      <c r="A294" s="347">
        <f t="shared" ca="1" si="122"/>
        <v>0.1</v>
      </c>
      <c r="B294" s="304">
        <f t="shared" ca="1" si="123"/>
        <v>20.000000000000018</v>
      </c>
      <c r="D294" s="306">
        <f t="shared" ca="1" si="124"/>
        <v>-0.95994902721351805</v>
      </c>
      <c r="E294" s="307">
        <f t="shared" ca="1" si="125"/>
        <v>-4.8351438835848848</v>
      </c>
      <c r="F294" s="304">
        <f t="shared" ca="1" si="126"/>
        <v>4.9295150379947623</v>
      </c>
      <c r="G294" s="306">
        <f t="shared" ca="1" si="127"/>
        <v>14.55968247492021</v>
      </c>
      <c r="H294" s="307">
        <f t="shared" ca="1" si="128"/>
        <v>-76.435345345472044</v>
      </c>
      <c r="I294" s="304">
        <f t="shared" ca="1" si="129"/>
        <v>77.809680450777293</v>
      </c>
      <c r="J294" s="306">
        <f t="shared" ca="1" si="130"/>
        <v>586.49311965406048</v>
      </c>
      <c r="K294" s="307">
        <f t="shared" ca="1" si="131"/>
        <v>773.08935966401737</v>
      </c>
      <c r="L294" s="304">
        <f t="shared" ca="1" si="116"/>
        <v>970.38205745328605</v>
      </c>
      <c r="M294" s="306">
        <f t="shared" ca="1" si="132"/>
        <v>-1.3825676369716275</v>
      </c>
      <c r="N294" s="304">
        <f t="shared" ca="1" si="133"/>
        <v>-79.215290489849622</v>
      </c>
      <c r="P294" s="310">
        <f t="shared" ca="1" si="134"/>
        <v>23</v>
      </c>
      <c r="Q294" s="304">
        <f t="shared" ca="1" si="135"/>
        <v>0</v>
      </c>
      <c r="R294" s="306">
        <f t="shared" ca="1" si="136"/>
        <v>0</v>
      </c>
      <c r="S294" s="307">
        <f t="shared" ca="1" si="137"/>
        <v>4.341000000000002</v>
      </c>
      <c r="T294" s="304">
        <f t="shared" ca="1" si="117"/>
        <v>42.585210000000025</v>
      </c>
      <c r="U294" s="311">
        <f t="shared" ca="1" si="118"/>
        <v>0</v>
      </c>
      <c r="V294" s="306">
        <f t="shared" ca="1" si="119"/>
        <v>1.1338210280915351</v>
      </c>
      <c r="W294" s="304">
        <f t="shared" ca="1" si="120"/>
        <v>22.271742139126129</v>
      </c>
      <c r="Y294" s="314" t="str">
        <f t="shared" ca="1" si="138"/>
        <v/>
      </c>
      <c r="Z294" s="315" t="str">
        <f t="shared" ca="1" si="139"/>
        <v/>
      </c>
      <c r="AA294" s="316" t="str">
        <f t="shared" ca="1" si="140"/>
        <v/>
      </c>
      <c r="AC294" s="310">
        <f t="shared" ca="1" si="141"/>
        <v>20.000000000000018</v>
      </c>
      <c r="AD294" s="323">
        <f t="shared" ca="1" si="142"/>
        <v>586.49311965406048</v>
      </c>
      <c r="AE294" s="324" t="e">
        <f t="shared" ca="1" si="121"/>
        <v>#N/A</v>
      </c>
      <c r="AG294" s="306">
        <f t="shared" ca="1" si="143"/>
        <v>4.5656901791513071</v>
      </c>
      <c r="AH294" s="304">
        <f t="shared" ca="1" si="144"/>
        <v>-5.0666256536161285</v>
      </c>
    </row>
    <row r="295" spans="1:34" x14ac:dyDescent="0.2">
      <c r="A295" s="347">
        <f t="shared" ca="1" si="122"/>
        <v>0.1</v>
      </c>
      <c r="B295" s="304">
        <f t="shared" ca="1" si="123"/>
        <v>20.100000000000019</v>
      </c>
      <c r="D295" s="306">
        <f t="shared" ca="1" si="124"/>
        <v>-0.96002529454811691</v>
      </c>
      <c r="E295" s="307">
        <f t="shared" ca="1" si="125"/>
        <v>-4.7700642008797685</v>
      </c>
      <c r="F295" s="304">
        <f t="shared" ca="1" si="126"/>
        <v>4.865712799445415</v>
      </c>
      <c r="G295" s="306">
        <f t="shared" ca="1" si="127"/>
        <v>14.463679945465399</v>
      </c>
      <c r="H295" s="307">
        <f t="shared" ca="1" si="128"/>
        <v>-76.912351765560018</v>
      </c>
      <c r="I295" s="304">
        <f t="shared" ca="1" si="129"/>
        <v>78.260512978603074</v>
      </c>
      <c r="J295" s="306">
        <f t="shared" ca="1" si="130"/>
        <v>587.94428777507972</v>
      </c>
      <c r="K295" s="307">
        <f t="shared" ca="1" si="131"/>
        <v>765.42197480846573</v>
      </c>
      <c r="L295" s="304">
        <f t="shared" ca="1" si="116"/>
        <v>965.16800871508235</v>
      </c>
      <c r="M295" s="306">
        <f t="shared" ca="1" si="132"/>
        <v>-1.3849131885492989</v>
      </c>
      <c r="N295" s="304">
        <f t="shared" ca="1" si="133"/>
        <v>-79.349680695880437</v>
      </c>
      <c r="P295" s="310">
        <f t="shared" ca="1" si="134"/>
        <v>23</v>
      </c>
      <c r="Q295" s="304">
        <f t="shared" ca="1" si="135"/>
        <v>0</v>
      </c>
      <c r="R295" s="306">
        <f t="shared" ca="1" si="136"/>
        <v>0</v>
      </c>
      <c r="S295" s="307">
        <f t="shared" ca="1" si="137"/>
        <v>4.341000000000002</v>
      </c>
      <c r="T295" s="304">
        <f t="shared" ca="1" si="117"/>
        <v>42.585210000000025</v>
      </c>
      <c r="U295" s="311">
        <f t="shared" ca="1" si="118"/>
        <v>0</v>
      </c>
      <c r="V295" s="306">
        <f t="shared" ca="1" si="119"/>
        <v>1.134691994674814</v>
      </c>
      <c r="W295" s="304">
        <f t="shared" ca="1" si="120"/>
        <v>22.547883923082239</v>
      </c>
      <c r="Y295" s="314" t="str">
        <f t="shared" ca="1" si="138"/>
        <v/>
      </c>
      <c r="Z295" s="315" t="str">
        <f t="shared" ca="1" si="139"/>
        <v/>
      </c>
      <c r="AA295" s="316" t="str">
        <f t="shared" ca="1" si="140"/>
        <v/>
      </c>
      <c r="AC295" s="310" t="e">
        <f t="shared" ca="1" si="141"/>
        <v>#N/A</v>
      </c>
      <c r="AD295" s="323" t="e">
        <f t="shared" ca="1" si="142"/>
        <v>#N/A</v>
      </c>
      <c r="AE295" s="324" t="e">
        <f t="shared" ca="1" si="121"/>
        <v>#N/A</v>
      </c>
      <c r="AG295" s="306">
        <f t="shared" ca="1" si="143"/>
        <v>4.5061724842786361</v>
      </c>
      <c r="AH295" s="304">
        <f t="shared" ca="1" si="144"/>
        <v>-5.1305556643921033</v>
      </c>
    </row>
    <row r="296" spans="1:34" x14ac:dyDescent="0.2">
      <c r="A296" s="347">
        <f t="shared" ca="1" si="122"/>
        <v>0.1</v>
      </c>
      <c r="B296" s="304">
        <f t="shared" ca="1" si="123"/>
        <v>20.200000000000021</v>
      </c>
      <c r="D296" s="306">
        <f t="shared" ca="1" si="124"/>
        <v>-0.95995774614375939</v>
      </c>
      <c r="E296" s="307">
        <f t="shared" ca="1" si="125"/>
        <v>-4.7053096217653279</v>
      </c>
      <c r="F296" s="304">
        <f t="shared" ca="1" si="126"/>
        <v>4.8022346372349176</v>
      </c>
      <c r="G296" s="306">
        <f t="shared" ca="1" si="127"/>
        <v>14.367684170851023</v>
      </c>
      <c r="H296" s="307">
        <f t="shared" ca="1" si="128"/>
        <v>-77.382882727736558</v>
      </c>
      <c r="I296" s="304">
        <f t="shared" ca="1" si="129"/>
        <v>78.705405708171995</v>
      </c>
      <c r="J296" s="306">
        <f t="shared" ca="1" si="130"/>
        <v>589.38585598089549</v>
      </c>
      <c r="K296" s="307">
        <f t="shared" ca="1" si="131"/>
        <v>757.70721308380087</v>
      </c>
      <c r="L296" s="304">
        <f t="shared" ca="1" si="116"/>
        <v>959.94578388029458</v>
      </c>
      <c r="M296" s="306">
        <f t="shared" ca="1" si="132"/>
        <v>-1.3872167560478301</v>
      </c>
      <c r="N296" s="304">
        <f t="shared" ca="1" si="133"/>
        <v>-79.481665391369788</v>
      </c>
      <c r="P296" s="310">
        <f t="shared" ca="1" si="134"/>
        <v>23</v>
      </c>
      <c r="Q296" s="304">
        <f t="shared" ca="1" si="135"/>
        <v>0</v>
      </c>
      <c r="R296" s="306">
        <f t="shared" ca="1" si="136"/>
        <v>0</v>
      </c>
      <c r="S296" s="307">
        <f t="shared" ca="1" si="137"/>
        <v>4.341000000000002</v>
      </c>
      <c r="T296" s="304">
        <f t="shared" ca="1" si="117"/>
        <v>42.585210000000025</v>
      </c>
      <c r="U296" s="311">
        <f t="shared" ca="1" si="118"/>
        <v>0</v>
      </c>
      <c r="V296" s="306">
        <f t="shared" ca="1" si="119"/>
        <v>1.1355689923747834</v>
      </c>
      <c r="W296" s="304">
        <f t="shared" ca="1" si="120"/>
        <v>22.822597343284656</v>
      </c>
      <c r="Y296" s="314" t="str">
        <f t="shared" ca="1" si="138"/>
        <v/>
      </c>
      <c r="Z296" s="315" t="str">
        <f t="shared" ca="1" si="139"/>
        <v/>
      </c>
      <c r="AA296" s="316" t="str">
        <f t="shared" ca="1" si="140"/>
        <v/>
      </c>
      <c r="AC296" s="310" t="e">
        <f t="shared" ca="1" si="141"/>
        <v>#N/A</v>
      </c>
      <c r="AD296" s="323" t="e">
        <f t="shared" ca="1" si="142"/>
        <v>#N/A</v>
      </c>
      <c r="AE296" s="324" t="e">
        <f t="shared" ca="1" si="121"/>
        <v>#N/A</v>
      </c>
      <c r="AG296" s="306">
        <f t="shared" ca="1" si="143"/>
        <v>4.4468390756503755</v>
      </c>
      <c r="AH296" s="304">
        <f t="shared" ca="1" si="144"/>
        <v>-5.1941681462986011</v>
      </c>
    </row>
    <row r="297" spans="1:34" x14ac:dyDescent="0.2">
      <c r="A297" s="347">
        <f t="shared" ca="1" si="122"/>
        <v>0.1</v>
      </c>
      <c r="B297" s="304">
        <f t="shared" ca="1" si="123"/>
        <v>20.300000000000022</v>
      </c>
      <c r="D297" s="306">
        <f t="shared" ca="1" si="124"/>
        <v>-0.95974861293855007</v>
      </c>
      <c r="E297" s="307">
        <f t="shared" ca="1" si="125"/>
        <v>-4.6408917790797588</v>
      </c>
      <c r="F297" s="304">
        <f t="shared" ca="1" si="126"/>
        <v>4.7390920971392356</v>
      </c>
      <c r="G297" s="306">
        <f t="shared" ca="1" si="127"/>
        <v>14.271709309557167</v>
      </c>
      <c r="H297" s="307">
        <f t="shared" ca="1" si="128"/>
        <v>-77.846971905644537</v>
      </c>
      <c r="I297" s="304">
        <f t="shared" ca="1" si="129"/>
        <v>79.144378963352224</v>
      </c>
      <c r="J297" s="306">
        <f t="shared" ca="1" si="130"/>
        <v>590.81782565491585</v>
      </c>
      <c r="K297" s="307">
        <f t="shared" ca="1" si="131"/>
        <v>749.94572035213184</v>
      </c>
      <c r="L297" s="304">
        <f t="shared" ca="1" si="116"/>
        <v>954.71686199945191</v>
      </c>
      <c r="M297" s="306">
        <f t="shared" ca="1" si="132"/>
        <v>-1.3894794796828192</v>
      </c>
      <c r="N297" s="304">
        <f t="shared" ca="1" si="133"/>
        <v>-79.611309905859159</v>
      </c>
      <c r="P297" s="310">
        <f t="shared" ca="1" si="134"/>
        <v>23</v>
      </c>
      <c r="Q297" s="304">
        <f t="shared" ca="1" si="135"/>
        <v>0</v>
      </c>
      <c r="R297" s="306">
        <f t="shared" ca="1" si="136"/>
        <v>0</v>
      </c>
      <c r="S297" s="307">
        <f t="shared" ca="1" si="137"/>
        <v>4.341000000000002</v>
      </c>
      <c r="T297" s="304">
        <f t="shared" ca="1" si="117"/>
        <v>42.585210000000025</v>
      </c>
      <c r="U297" s="311">
        <f t="shared" ca="1" si="118"/>
        <v>0</v>
      </c>
      <c r="V297" s="306">
        <f t="shared" ca="1" si="119"/>
        <v>1.1364519604231746</v>
      </c>
      <c r="W297" s="304">
        <f t="shared" ca="1" si="120"/>
        <v>23.095834152647896</v>
      </c>
      <c r="Y297" s="314" t="str">
        <f t="shared" ca="1" si="138"/>
        <v/>
      </c>
      <c r="Z297" s="315" t="str">
        <f t="shared" ca="1" si="139"/>
        <v/>
      </c>
      <c r="AA297" s="316" t="str">
        <f t="shared" ca="1" si="140"/>
        <v/>
      </c>
      <c r="AC297" s="310" t="e">
        <f t="shared" ca="1" si="141"/>
        <v>#N/A</v>
      </c>
      <c r="AD297" s="323" t="e">
        <f t="shared" ca="1" si="142"/>
        <v>#N/A</v>
      </c>
      <c r="AE297" s="324" t="e">
        <f t="shared" ca="1" si="121"/>
        <v>#N/A</v>
      </c>
      <c r="AG297" s="306">
        <f t="shared" ca="1" si="143"/>
        <v>4.3877064889162503</v>
      </c>
      <c r="AH297" s="304">
        <f t="shared" ca="1" si="144"/>
        <v>-5.2574515879485473</v>
      </c>
    </row>
    <row r="298" spans="1:34" x14ac:dyDescent="0.2">
      <c r="A298" s="347">
        <f t="shared" ca="1" si="122"/>
        <v>0.1</v>
      </c>
      <c r="B298" s="304">
        <f t="shared" ca="1" si="123"/>
        <v>20.400000000000023</v>
      </c>
      <c r="D298" s="306">
        <f t="shared" ca="1" si="124"/>
        <v>-0.95940015025090775</v>
      </c>
      <c r="E298" s="307">
        <f t="shared" ca="1" si="125"/>
        <v>-4.5768219045885985</v>
      </c>
      <c r="F298" s="304">
        <f t="shared" ca="1" si="126"/>
        <v>4.6762963330635356</v>
      </c>
      <c r="G298" s="306">
        <f t="shared" ca="1" si="127"/>
        <v>14.175769294532076</v>
      </c>
      <c r="H298" s="307">
        <f t="shared" ca="1" si="128"/>
        <v>-78.304654096103391</v>
      </c>
      <c r="I298" s="304">
        <f t="shared" ca="1" si="129"/>
        <v>79.577454647671402</v>
      </c>
      <c r="J298" s="306">
        <f t="shared" ca="1" si="130"/>
        <v>592.24019958512031</v>
      </c>
      <c r="K298" s="307">
        <f t="shared" ca="1" si="131"/>
        <v>742.13813905204449</v>
      </c>
      <c r="L298" s="304">
        <f t="shared" ca="1" si="116"/>
        <v>949.48273888483868</v>
      </c>
      <c r="M298" s="306">
        <f t="shared" ca="1" si="132"/>
        <v>-1.3917024580531039</v>
      </c>
      <c r="N298" s="304">
        <f t="shared" ca="1" si="133"/>
        <v>-79.738677184425342</v>
      </c>
      <c r="P298" s="310">
        <f t="shared" ca="1" si="134"/>
        <v>23</v>
      </c>
      <c r="Q298" s="304">
        <f t="shared" ca="1" si="135"/>
        <v>0</v>
      </c>
      <c r="R298" s="306">
        <f t="shared" ca="1" si="136"/>
        <v>0</v>
      </c>
      <c r="S298" s="307">
        <f t="shared" ca="1" si="137"/>
        <v>4.341000000000002</v>
      </c>
      <c r="T298" s="304">
        <f t="shared" ca="1" si="117"/>
        <v>42.585210000000025</v>
      </c>
      <c r="U298" s="311">
        <f t="shared" ca="1" si="118"/>
        <v>0</v>
      </c>
      <c r="V298" s="306">
        <f t="shared" ca="1" si="119"/>
        <v>1.1373408383220516</v>
      </c>
      <c r="W298" s="304">
        <f t="shared" ca="1" si="120"/>
        <v>23.367547816226384</v>
      </c>
      <c r="Y298" s="314" t="str">
        <f t="shared" ca="1" si="138"/>
        <v/>
      </c>
      <c r="Z298" s="315" t="str">
        <f t="shared" ca="1" si="139"/>
        <v/>
      </c>
      <c r="AA298" s="316" t="str">
        <f t="shared" ca="1" si="140"/>
        <v/>
      </c>
      <c r="AC298" s="310" t="e">
        <f t="shared" ca="1" si="141"/>
        <v>#N/A</v>
      </c>
      <c r="AD298" s="323" t="e">
        <f t="shared" ca="1" si="142"/>
        <v>#N/A</v>
      </c>
      <c r="AE298" s="324" t="e">
        <f t="shared" ca="1" si="121"/>
        <v>#N/A</v>
      </c>
      <c r="AG298" s="306">
        <f t="shared" ca="1" si="143"/>
        <v>4.3287906311876077</v>
      </c>
      <c r="AH298" s="304">
        <f t="shared" ca="1" si="144"/>
        <v>-5.3203948750628625</v>
      </c>
    </row>
    <row r="299" spans="1:34" x14ac:dyDescent="0.2">
      <c r="A299" s="347">
        <f t="shared" ca="1" si="122"/>
        <v>0.1</v>
      </c>
      <c r="B299" s="304">
        <f t="shared" ca="1" si="123"/>
        <v>20.500000000000025</v>
      </c>
      <c r="D299" s="306">
        <f t="shared" ca="1" si="124"/>
        <v>-0.95891463536669219</v>
      </c>
      <c r="E299" s="307">
        <f t="shared" ca="1" si="125"/>
        <v>-4.5131108315904269</v>
      </c>
      <c r="F299" s="304">
        <f t="shared" ca="1" si="126"/>
        <v>4.6138581096669276</v>
      </c>
      <c r="G299" s="306">
        <f t="shared" ca="1" si="127"/>
        <v>14.079877830995407</v>
      </c>
      <c r="H299" s="307">
        <f t="shared" ca="1" si="128"/>
        <v>-78.755965179262432</v>
      </c>
      <c r="I299" s="304">
        <f t="shared" ca="1" si="129"/>
        <v>80.004656183580664</v>
      </c>
      <c r="J299" s="306">
        <f t="shared" ca="1" si="130"/>
        <v>593.65298194139666</v>
      </c>
      <c r="K299" s="307">
        <f t="shared" ca="1" si="131"/>
        <v>734.28510808827616</v>
      </c>
      <c r="L299" s="304">
        <f t="shared" ca="1" si="116"/>
        <v>944.24492740396738</v>
      </c>
      <c r="M299" s="306">
        <f t="shared" ca="1" si="132"/>
        <v>-1.3938867499888796</v>
      </c>
      <c r="N299" s="304">
        <f t="shared" ca="1" si="133"/>
        <v>-79.863827893569749</v>
      </c>
      <c r="P299" s="310">
        <f t="shared" ca="1" si="134"/>
        <v>23</v>
      </c>
      <c r="Q299" s="304">
        <f t="shared" ca="1" si="135"/>
        <v>0</v>
      </c>
      <c r="R299" s="306">
        <f t="shared" ca="1" si="136"/>
        <v>0</v>
      </c>
      <c r="S299" s="307">
        <f t="shared" ca="1" si="137"/>
        <v>4.341000000000002</v>
      </c>
      <c r="T299" s="304">
        <f t="shared" ca="1" si="117"/>
        <v>42.585210000000025</v>
      </c>
      <c r="U299" s="311">
        <f t="shared" ca="1" si="118"/>
        <v>0</v>
      </c>
      <c r="V299" s="306">
        <f t="shared" ca="1" si="119"/>
        <v>1.1382355658544263</v>
      </c>
      <c r="W299" s="304">
        <f t="shared" ca="1" si="120"/>
        <v>23.63769349828253</v>
      </c>
      <c r="Y299" s="314" t="str">
        <f t="shared" ca="1" si="138"/>
        <v/>
      </c>
      <c r="Z299" s="315" t="str">
        <f t="shared" ca="1" si="139"/>
        <v/>
      </c>
      <c r="AA299" s="316" t="str">
        <f t="shared" ca="1" si="140"/>
        <v/>
      </c>
      <c r="AC299" s="310" t="e">
        <f t="shared" ca="1" si="141"/>
        <v>#N/A</v>
      </c>
      <c r="AD299" s="323" t="e">
        <f t="shared" ca="1" si="142"/>
        <v>#N/A</v>
      </c>
      <c r="AE299" s="324" t="e">
        <f t="shared" ca="1" si="121"/>
        <v>#N/A</v>
      </c>
      <c r="AG299" s="306">
        <f t="shared" ca="1" si="143"/>
        <v>4.2701067962708548</v>
      </c>
      <c r="AH299" s="304">
        <f t="shared" ca="1" si="144"/>
        <v>-5.3829872877738714</v>
      </c>
    </row>
    <row r="300" spans="1:34" x14ac:dyDescent="0.2">
      <c r="A300" s="347">
        <f t="shared" ca="1" si="122"/>
        <v>0.1</v>
      </c>
      <c r="B300" s="304">
        <f t="shared" ca="1" si="123"/>
        <v>20.600000000000026</v>
      </c>
      <c r="D300" s="306">
        <f t="shared" ca="1" si="124"/>
        <v>-0.9582943651930923</v>
      </c>
      <c r="E300" s="307">
        <f t="shared" ca="1" si="125"/>
        <v>-4.449768997818432</v>
      </c>
      <c r="F300" s="304">
        <f t="shared" ca="1" si="126"/>
        <v>4.5517878052812266</v>
      </c>
      <c r="G300" s="306">
        <f t="shared" ca="1" si="127"/>
        <v>13.984048394476098</v>
      </c>
      <c r="H300" s="307">
        <f t="shared" ca="1" si="128"/>
        <v>-79.200942079044282</v>
      </c>
      <c r="I300" s="304">
        <f t="shared" ca="1" si="129"/>
        <v>80.426008453156342</v>
      </c>
      <c r="J300" s="306">
        <f t="shared" ca="1" si="130"/>
        <v>595.05617825267018</v>
      </c>
      <c r="K300" s="307">
        <f t="shared" ca="1" si="131"/>
        <v>726.38726272536087</v>
      </c>
      <c r="L300" s="304">
        <f t="shared" ca="1" si="116"/>
        <v>939.00495777515255</v>
      </c>
      <c r="M300" s="306">
        <f t="shared" ca="1" si="132"/>
        <v>-1.3960333763043073</v>
      </c>
      <c r="N300" s="304">
        <f t="shared" ca="1" si="133"/>
        <v>-79.98682052163548</v>
      </c>
      <c r="P300" s="310">
        <f t="shared" ca="1" si="134"/>
        <v>23</v>
      </c>
      <c r="Q300" s="304">
        <f t="shared" ca="1" si="135"/>
        <v>0</v>
      </c>
      <c r="R300" s="306">
        <f t="shared" ca="1" si="136"/>
        <v>0</v>
      </c>
      <c r="S300" s="307">
        <f t="shared" ca="1" si="137"/>
        <v>4.341000000000002</v>
      </c>
      <c r="T300" s="304">
        <f t="shared" ca="1" si="117"/>
        <v>42.585210000000025</v>
      </c>
      <c r="U300" s="311">
        <f t="shared" ca="1" si="118"/>
        <v>0</v>
      </c>
      <c r="V300" s="306">
        <f t="shared" ca="1" si="119"/>
        <v>1.139136083094535</v>
      </c>
      <c r="W300" s="304">
        <f t="shared" ca="1" si="120"/>
        <v>23.906228048184886</v>
      </c>
      <c r="Y300" s="314" t="str">
        <f t="shared" ca="1" si="138"/>
        <v/>
      </c>
      <c r="Z300" s="315" t="str">
        <f t="shared" ca="1" si="139"/>
        <v/>
      </c>
      <c r="AA300" s="316" t="str">
        <f t="shared" ca="1" si="140"/>
        <v/>
      </c>
      <c r="AC300" s="310" t="e">
        <f t="shared" ca="1" si="141"/>
        <v>#N/A</v>
      </c>
      <c r="AD300" s="323" t="e">
        <f t="shared" ca="1" si="142"/>
        <v>#N/A</v>
      </c>
      <c r="AE300" s="324" t="e">
        <f t="shared" ca="1" si="121"/>
        <v>#N/A</v>
      </c>
      <c r="AG300" s="306">
        <f t="shared" ca="1" si="143"/>
        <v>4.2116696794086437</v>
      </c>
      <c r="AH300" s="304">
        <f t="shared" ca="1" si="144"/>
        <v>-5.4452184976462839</v>
      </c>
    </row>
    <row r="301" spans="1:34" x14ac:dyDescent="0.2">
      <c r="A301" s="347">
        <f t="shared" ca="1" si="122"/>
        <v>0.1</v>
      </c>
      <c r="B301" s="304">
        <f t="shared" ca="1" si="123"/>
        <v>20.700000000000028</v>
      </c>
      <c r="D301" s="306">
        <f t="shared" ca="1" si="124"/>
        <v>-0.95754165397885249</v>
      </c>
      <c r="E301" s="307">
        <f t="shared" ca="1" si="125"/>
        <v>-4.3868064486240925</v>
      </c>
      <c r="F301" s="304">
        <f t="shared" ca="1" si="126"/>
        <v>4.4900954151102939</v>
      </c>
      <c r="G301" s="306">
        <f t="shared" ca="1" si="127"/>
        <v>13.888294229078213</v>
      </c>
      <c r="H301" s="307">
        <f t="shared" ca="1" si="128"/>
        <v>-79.639622723906697</v>
      </c>
      <c r="I301" s="304">
        <f t="shared" ca="1" si="129"/>
        <v>80.841537740196671</v>
      </c>
      <c r="J301" s="306">
        <f t="shared" ca="1" si="130"/>
        <v>596.44979538384791</v>
      </c>
      <c r="K301" s="307">
        <f t="shared" ca="1" si="131"/>
        <v>718.44523448521329</v>
      </c>
      <c r="L301" s="304">
        <f t="shared" ca="1" si="116"/>
        <v>933.76437786410929</v>
      </c>
      <c r="M301" s="306">
        <f t="shared" ca="1" si="132"/>
        <v>-1.3981433214601977</v>
      </c>
      <c r="N301" s="304">
        <f t="shared" ca="1" si="133"/>
        <v>-80.107711474072062</v>
      </c>
      <c r="P301" s="310">
        <f t="shared" ca="1" si="134"/>
        <v>23</v>
      </c>
      <c r="Q301" s="304">
        <f t="shared" ca="1" si="135"/>
        <v>0</v>
      </c>
      <c r="R301" s="306">
        <f t="shared" ca="1" si="136"/>
        <v>0</v>
      </c>
      <c r="S301" s="307">
        <f t="shared" ca="1" si="137"/>
        <v>4.341000000000002</v>
      </c>
      <c r="T301" s="304">
        <f t="shared" ca="1" si="117"/>
        <v>42.585210000000025</v>
      </c>
      <c r="U301" s="311">
        <f t="shared" ca="1" si="118"/>
        <v>0</v>
      </c>
      <c r="V301" s="306">
        <f t="shared" ca="1" si="119"/>
        <v>1.1400423304177771</v>
      </c>
      <c r="W301" s="304">
        <f t="shared" ca="1" si="120"/>
        <v>24.173109985192418</v>
      </c>
      <c r="Y301" s="314" t="str">
        <f t="shared" ca="1" si="138"/>
        <v/>
      </c>
      <c r="Z301" s="315" t="str">
        <f t="shared" ca="1" si="139"/>
        <v/>
      </c>
      <c r="AA301" s="316" t="str">
        <f t="shared" ca="1" si="140"/>
        <v/>
      </c>
      <c r="AC301" s="310" t="e">
        <f t="shared" ca="1" si="141"/>
        <v>#N/A</v>
      </c>
      <c r="AD301" s="323" t="e">
        <f t="shared" ca="1" si="142"/>
        <v>#N/A</v>
      </c>
      <c r="AE301" s="324" t="e">
        <f t="shared" ca="1" si="121"/>
        <v>#N/A</v>
      </c>
      <c r="AG301" s="306">
        <f t="shared" ca="1" si="143"/>
        <v>4.1534933915693788</v>
      </c>
      <c r="AH301" s="304">
        <f t="shared" ca="1" si="144"/>
        <v>-5.5070785644286744</v>
      </c>
    </row>
    <row r="302" spans="1:34" x14ac:dyDescent="0.2">
      <c r="A302" s="347">
        <f t="shared" ca="1" si="122"/>
        <v>0.1</v>
      </c>
      <c r="B302" s="304">
        <f t="shared" ca="1" si="123"/>
        <v>20.800000000000029</v>
      </c>
      <c r="D302" s="306">
        <f t="shared" ca="1" si="124"/>
        <v>-0.95665883110044436</v>
      </c>
      <c r="E302" s="307">
        <f t="shared" ca="1" si="125"/>
        <v>-4.3242328404292687</v>
      </c>
      <c r="F302" s="304">
        <f t="shared" ca="1" si="126"/>
        <v>4.4287905546965582</v>
      </c>
      <c r="G302" s="306">
        <f t="shared" ca="1" si="127"/>
        <v>13.792628345968168</v>
      </c>
      <c r="H302" s="307">
        <f t="shared" ca="1" si="128"/>
        <v>-80.072046007949623</v>
      </c>
      <c r="I302" s="304">
        <f t="shared" ca="1" si="129"/>
        <v>81.251271673674168</v>
      </c>
      <c r="J302" s="306">
        <f t="shared" ca="1" si="130"/>
        <v>597.8338415126002</v>
      </c>
      <c r="K302" s="307">
        <f t="shared" ca="1" si="131"/>
        <v>710.45965104862046</v>
      </c>
      <c r="L302" s="304">
        <f t="shared" ca="1" si="116"/>
        <v>928.5247534804015</v>
      </c>
      <c r="M302" s="306">
        <f t="shared" ca="1" si="132"/>
        <v>-1.4002175351420063</v>
      </c>
      <c r="N302" s="304">
        <f t="shared" ca="1" si="133"/>
        <v>-80.226555163847991</v>
      </c>
      <c r="P302" s="310">
        <f t="shared" ca="1" si="134"/>
        <v>23</v>
      </c>
      <c r="Q302" s="304">
        <f t="shared" ca="1" si="135"/>
        <v>0</v>
      </c>
      <c r="R302" s="306">
        <f t="shared" ca="1" si="136"/>
        <v>0</v>
      </c>
      <c r="S302" s="307">
        <f t="shared" ca="1" si="137"/>
        <v>4.341000000000002</v>
      </c>
      <c r="T302" s="304">
        <f t="shared" ca="1" si="117"/>
        <v>42.585210000000025</v>
      </c>
      <c r="U302" s="311">
        <f t="shared" ca="1" si="118"/>
        <v>0</v>
      </c>
      <c r="V302" s="306">
        <f t="shared" ca="1" si="119"/>
        <v>1.1409542485103181</v>
      </c>
      <c r="W302" s="304">
        <f t="shared" ca="1" si="120"/>
        <v>24.438299482180145</v>
      </c>
      <c r="Y302" s="314" t="str">
        <f t="shared" ca="1" si="138"/>
        <v/>
      </c>
      <c r="Z302" s="315" t="str">
        <f t="shared" ca="1" si="139"/>
        <v/>
      </c>
      <c r="AA302" s="316" t="str">
        <f t="shared" ca="1" si="140"/>
        <v/>
      </c>
      <c r="AC302" s="310" t="e">
        <f t="shared" ca="1" si="141"/>
        <v>#N/A</v>
      </c>
      <c r="AD302" s="323" t="e">
        <f t="shared" ca="1" si="142"/>
        <v>#N/A</v>
      </c>
      <c r="AE302" s="324" t="e">
        <f t="shared" ca="1" si="121"/>
        <v>#N/A</v>
      </c>
      <c r="AG302" s="306">
        <f t="shared" ca="1" si="143"/>
        <v>4.0955914733214724</v>
      </c>
      <c r="AH302" s="304">
        <f t="shared" ca="1" si="144"/>
        <v>-5.5685579325483543</v>
      </c>
    </row>
    <row r="303" spans="1:34" x14ac:dyDescent="0.2">
      <c r="A303" s="347">
        <f t="shared" ca="1" si="122"/>
        <v>0.1</v>
      </c>
      <c r="B303" s="304">
        <f t="shared" ca="1" si="123"/>
        <v>20.900000000000031</v>
      </c>
      <c r="D303" s="306">
        <f t="shared" ca="1" si="124"/>
        <v>-0.95564823891369977</v>
      </c>
      <c r="E303" s="307">
        <f t="shared" ca="1" si="125"/>
        <v>-4.2620574444331965</v>
      </c>
      <c r="F303" s="304">
        <f t="shared" ca="1" si="126"/>
        <v>4.3678824636415392</v>
      </c>
      <c r="G303" s="306">
        <f t="shared" ca="1" si="127"/>
        <v>13.697063522076798</v>
      </c>
      <c r="H303" s="307">
        <f t="shared" ca="1" si="128"/>
        <v>-80.498251752392946</v>
      </c>
      <c r="I303" s="304">
        <f t="shared" ca="1" si="129"/>
        <v>81.655239172507734</v>
      </c>
      <c r="J303" s="306">
        <f t="shared" ca="1" si="130"/>
        <v>599.20832610600246</v>
      </c>
      <c r="K303" s="307">
        <f t="shared" ca="1" si="131"/>
        <v>702.43113616060327</v>
      </c>
      <c r="L303" s="304">
        <f t="shared" ca="1" si="116"/>
        <v>923.28766867246384</v>
      </c>
      <c r="M303" s="306">
        <f t="shared" ca="1" si="132"/>
        <v>-1.4022569337580253</v>
      </c>
      <c r="N303" s="304">
        <f t="shared" ca="1" si="133"/>
        <v>-80.343404097290701</v>
      </c>
      <c r="P303" s="310">
        <f t="shared" ca="1" si="134"/>
        <v>23</v>
      </c>
      <c r="Q303" s="304">
        <f t="shared" ca="1" si="135"/>
        <v>0</v>
      </c>
      <c r="R303" s="306">
        <f t="shared" ca="1" si="136"/>
        <v>0</v>
      </c>
      <c r="S303" s="307">
        <f t="shared" ca="1" si="137"/>
        <v>4.341000000000002</v>
      </c>
      <c r="T303" s="304">
        <f t="shared" ca="1" si="117"/>
        <v>42.585210000000025</v>
      </c>
      <c r="U303" s="311">
        <f t="shared" ca="1" si="118"/>
        <v>0</v>
      </c>
      <c r="V303" s="306">
        <f t="shared" ca="1" si="119"/>
        <v>1.1418717783783614</v>
      </c>
      <c r="W303" s="304">
        <f t="shared" ca="1" si="120"/>
        <v>24.701758348361452</v>
      </c>
      <c r="Y303" s="314" t="str">
        <f t="shared" ca="1" si="138"/>
        <v/>
      </c>
      <c r="Z303" s="315" t="str">
        <f t="shared" ca="1" si="139"/>
        <v/>
      </c>
      <c r="AA303" s="316" t="str">
        <f t="shared" ca="1" si="140"/>
        <v/>
      </c>
      <c r="AC303" s="310" t="e">
        <f t="shared" ca="1" si="141"/>
        <v>#N/A</v>
      </c>
      <c r="AD303" s="323" t="e">
        <f t="shared" ca="1" si="142"/>
        <v>#N/A</v>
      </c>
      <c r="AE303" s="324" t="e">
        <f t="shared" ca="1" si="121"/>
        <v>#N/A</v>
      </c>
      <c r="AG303" s="306">
        <f t="shared" ca="1" si="143"/>
        <v>4.0379769083253203</v>
      </c>
      <c r="AH303" s="304">
        <f t="shared" ca="1" si="144"/>
        <v>-5.6296474273623902</v>
      </c>
    </row>
    <row r="304" spans="1:34" x14ac:dyDescent="0.2">
      <c r="A304" s="347">
        <f t="shared" ca="1" si="122"/>
        <v>0.1</v>
      </c>
      <c r="B304" s="304">
        <f t="shared" ca="1" si="123"/>
        <v>21.000000000000032</v>
      </c>
      <c r="D304" s="306">
        <f t="shared" ca="1" si="124"/>
        <v>-0.95451223067047297</v>
      </c>
      <c r="E304" s="307">
        <f t="shared" ca="1" si="125"/>
        <v>-4.2002891505609616</v>
      </c>
      <c r="F304" s="304">
        <f t="shared" ca="1" si="126"/>
        <v>4.3073800095672601</v>
      </c>
      <c r="G304" s="306">
        <f t="shared" ca="1" si="127"/>
        <v>13.60161229900975</v>
      </c>
      <c r="H304" s="307">
        <f t="shared" ca="1" si="128"/>
        <v>-80.918280667449039</v>
      </c>
      <c r="I304" s="304">
        <f t="shared" ca="1" si="129"/>
        <v>82.053470391621033</v>
      </c>
      <c r="J304" s="306">
        <f t="shared" ca="1" si="130"/>
        <v>600.5732598970568</v>
      </c>
      <c r="K304" s="307">
        <f t="shared" ca="1" si="131"/>
        <v>694.36030953961119</v>
      </c>
      <c r="L304" s="304">
        <f t="shared" ca="1" si="116"/>
        <v>918.05472601981762</v>
      </c>
      <c r="M304" s="306">
        <f t="shared" ca="1" si="132"/>
        <v>-1.4042624018623531</v>
      </c>
      <c r="N304" s="304">
        <f t="shared" ca="1" si="133"/>
        <v>-80.458308955616786</v>
      </c>
      <c r="P304" s="310">
        <f t="shared" ca="1" si="134"/>
        <v>23</v>
      </c>
      <c r="Q304" s="304">
        <f t="shared" ca="1" si="135"/>
        <v>0</v>
      </c>
      <c r="R304" s="306">
        <f t="shared" ca="1" si="136"/>
        <v>0</v>
      </c>
      <c r="S304" s="307">
        <f t="shared" ca="1" si="137"/>
        <v>4.341000000000002</v>
      </c>
      <c r="T304" s="304">
        <f t="shared" ca="1" si="117"/>
        <v>42.585210000000025</v>
      </c>
      <c r="U304" s="311">
        <f t="shared" ca="1" si="118"/>
        <v>0</v>
      </c>
      <c r="V304" s="306">
        <f t="shared" ca="1" si="119"/>
        <v>1.1427948613570897</v>
      </c>
      <c r="W304" s="304">
        <f t="shared" ca="1" si="120"/>
        <v>24.963450011061305</v>
      </c>
      <c r="Y304" s="314" t="str">
        <f t="shared" ca="1" si="138"/>
        <v/>
      </c>
      <c r="Z304" s="315" t="str">
        <f t="shared" ca="1" si="139"/>
        <v/>
      </c>
      <c r="AA304" s="316" t="str">
        <f t="shared" ca="1" si="140"/>
        <v/>
      </c>
      <c r="AC304" s="310">
        <f t="shared" ca="1" si="141"/>
        <v>21.000000000000032</v>
      </c>
      <c r="AD304" s="323">
        <f t="shared" ca="1" si="142"/>
        <v>600.5732598970568</v>
      </c>
      <c r="AE304" s="324" t="e">
        <f t="shared" ca="1" si="121"/>
        <v>#N/A</v>
      </c>
      <c r="AG304" s="306">
        <f t="shared" ca="1" si="143"/>
        <v>3.9806621364725112</v>
      </c>
      <c r="AH304" s="304">
        <f t="shared" ca="1" si="144"/>
        <v>-5.6903382511774803</v>
      </c>
    </row>
    <row r="305" spans="1:34" x14ac:dyDescent="0.2">
      <c r="A305" s="347">
        <f t="shared" ca="1" si="122"/>
        <v>0.1</v>
      </c>
      <c r="B305" s="304">
        <f t="shared" ca="1" si="123"/>
        <v>21.100000000000033</v>
      </c>
      <c r="D305" s="306">
        <f t="shared" ca="1" si="124"/>
        <v>-0.95325316849981778</v>
      </c>
      <c r="E305" s="307">
        <f t="shared" ca="1" si="125"/>
        <v>-4.1389364716402728</v>
      </c>
      <c r="F305" s="304">
        <f t="shared" ca="1" si="126"/>
        <v>4.2472916923056943</v>
      </c>
      <c r="G305" s="306">
        <f t="shared" ca="1" si="127"/>
        <v>13.506286982159768</v>
      </c>
      <c r="H305" s="307">
        <f t="shared" ca="1" si="128"/>
        <v>-81.33217431461307</v>
      </c>
      <c r="I305" s="304">
        <f t="shared" ca="1" si="129"/>
        <v>82.445996669256559</v>
      </c>
      <c r="J305" s="306">
        <f t="shared" ca="1" si="130"/>
        <v>601.92865486111532</v>
      </c>
      <c r="K305" s="307">
        <f t="shared" ca="1" si="131"/>
        <v>686.24778679050814</v>
      </c>
      <c r="L305" s="304">
        <f t="shared" ca="1" si="116"/>
        <v>912.82754692098456</v>
      </c>
      <c r="M305" s="306">
        <f t="shared" ca="1" si="132"/>
        <v>-1.4062347935069293</v>
      </c>
      <c r="N305" s="304">
        <f t="shared" ca="1" si="133"/>
        <v>-80.571318672397865</v>
      </c>
      <c r="P305" s="310">
        <f t="shared" ca="1" si="134"/>
        <v>23</v>
      </c>
      <c r="Q305" s="304">
        <f t="shared" ca="1" si="135"/>
        <v>0</v>
      </c>
      <c r="R305" s="306">
        <f t="shared" ca="1" si="136"/>
        <v>0</v>
      </c>
      <c r="S305" s="307">
        <f t="shared" ca="1" si="137"/>
        <v>4.341000000000002</v>
      </c>
      <c r="T305" s="304">
        <f t="shared" ca="1" si="117"/>
        <v>42.585210000000025</v>
      </c>
      <c r="U305" s="311">
        <f t="shared" ca="1" si="118"/>
        <v>0</v>
      </c>
      <c r="V305" s="306">
        <f t="shared" ca="1" si="119"/>
        <v>1.1437234391192799</v>
      </c>
      <c r="W305" s="304">
        <f t="shared" ca="1" si="120"/>
        <v>25.223339496594463</v>
      </c>
      <c r="Y305" s="314" t="str">
        <f t="shared" ca="1" si="138"/>
        <v/>
      </c>
      <c r="Z305" s="315" t="str">
        <f t="shared" ca="1" si="139"/>
        <v/>
      </c>
      <c r="AA305" s="316" t="str">
        <f t="shared" ca="1" si="140"/>
        <v/>
      </c>
      <c r="AC305" s="310" t="e">
        <f t="shared" ca="1" si="141"/>
        <v>#N/A</v>
      </c>
      <c r="AD305" s="323" t="e">
        <f t="shared" ca="1" si="142"/>
        <v>#N/A</v>
      </c>
      <c r="AE305" s="324" t="e">
        <f t="shared" ca="1" si="121"/>
        <v>#N/A</v>
      </c>
      <c r="AG305" s="306">
        <f t="shared" ca="1" si="143"/>
        <v>3.9236590666988755</v>
      </c>
      <c r="AH305" s="304">
        <f t="shared" ca="1" si="144"/>
        <v>-5.7506219790512079</v>
      </c>
    </row>
    <row r="306" spans="1:34" x14ac:dyDescent="0.2">
      <c r="A306" s="347">
        <f t="shared" ca="1" si="122"/>
        <v>0.1</v>
      </c>
      <c r="B306" s="304">
        <f t="shared" ca="1" si="123"/>
        <v>21.200000000000035</v>
      </c>
      <c r="D306" s="306">
        <f t="shared" ca="1" si="124"/>
        <v>-0.95187342145315779</v>
      </c>
      <c r="E306" s="307">
        <f t="shared" ca="1" si="125"/>
        <v>-4.0780075477934465</v>
      </c>
      <c r="F306" s="304">
        <f t="shared" ca="1" si="126"/>
        <v>4.1876256483034942</v>
      </c>
      <c r="G306" s="306">
        <f t="shared" ca="1" si="127"/>
        <v>13.411099640014452</v>
      </c>
      <c r="H306" s="307">
        <f t="shared" ca="1" si="128"/>
        <v>-81.739975069392415</v>
      </c>
      <c r="I306" s="304">
        <f t="shared" ca="1" si="129"/>
        <v>82.832850475516594</v>
      </c>
      <c r="J306" s="306">
        <f t="shared" ca="1" si="130"/>
        <v>603.27452419222402</v>
      </c>
      <c r="K306" s="307">
        <f t="shared" ca="1" si="131"/>
        <v>678.09417932130782</v>
      </c>
      <c r="L306" s="304">
        <f t="shared" ca="1" si="116"/>
        <v>907.60777187549047</v>
      </c>
      <c r="M306" s="306">
        <f t="shared" ca="1" si="132"/>
        <v>-1.4081749335266465</v>
      </c>
      <c r="N306" s="304">
        <f t="shared" ca="1" si="133"/>
        <v>-80.682480507192096</v>
      </c>
      <c r="P306" s="310">
        <f t="shared" ca="1" si="134"/>
        <v>23</v>
      </c>
      <c r="Q306" s="304">
        <f t="shared" ca="1" si="135"/>
        <v>0</v>
      </c>
      <c r="R306" s="306">
        <f t="shared" ca="1" si="136"/>
        <v>0</v>
      </c>
      <c r="S306" s="307">
        <f t="shared" ca="1" si="137"/>
        <v>4.341000000000002</v>
      </c>
      <c r="T306" s="304">
        <f t="shared" ca="1" si="117"/>
        <v>42.585210000000025</v>
      </c>
      <c r="U306" s="311">
        <f t="shared" ca="1" si="118"/>
        <v>0</v>
      </c>
      <c r="V306" s="306">
        <f t="shared" ca="1" si="119"/>
        <v>1.1446574536835907</v>
      </c>
      <c r="W306" s="304">
        <f t="shared" ca="1" si="120"/>
        <v>25.481393410301539</v>
      </c>
      <c r="Y306" s="314" t="str">
        <f t="shared" ca="1" si="138"/>
        <v/>
      </c>
      <c r="Z306" s="315" t="str">
        <f t="shared" ca="1" si="139"/>
        <v/>
      </c>
      <c r="AA306" s="316" t="str">
        <f t="shared" ca="1" si="140"/>
        <v/>
      </c>
      <c r="AC306" s="310" t="e">
        <f t="shared" ca="1" si="141"/>
        <v>#N/A</v>
      </c>
      <c r="AD306" s="323" t="e">
        <f t="shared" ca="1" si="142"/>
        <v>#N/A</v>
      </c>
      <c r="AE306" s="324" t="e">
        <f t="shared" ca="1" si="121"/>
        <v>#N/A</v>
      </c>
      <c r="AG306" s="306">
        <f t="shared" ca="1" si="143"/>
        <v>3.8669790894952207</v>
      </c>
      <c r="AH306" s="304">
        <f t="shared" ca="1" si="144"/>
        <v>-5.8104905543871119</v>
      </c>
    </row>
    <row r="307" spans="1:34" x14ac:dyDescent="0.2">
      <c r="A307" s="347">
        <f t="shared" ca="1" si="122"/>
        <v>0.1</v>
      </c>
      <c r="B307" s="304">
        <f t="shared" ca="1" si="123"/>
        <v>21.300000000000036</v>
      </c>
      <c r="D307" s="306">
        <f t="shared" ca="1" si="124"/>
        <v>-0.95037536361291253</v>
      </c>
      <c r="E307" s="307">
        <f t="shared" ca="1" si="125"/>
        <v>-4.0175101510318454</v>
      </c>
      <c r="F307" s="304">
        <f t="shared" ca="1" si="126"/>
        <v>4.128389655229542</v>
      </c>
      <c r="G307" s="306">
        <f t="shared" ca="1" si="127"/>
        <v>13.316062103653161</v>
      </c>
      <c r="H307" s="307">
        <f t="shared" ca="1" si="128"/>
        <v>-82.141726084495602</v>
      </c>
      <c r="I307" s="304">
        <f t="shared" ca="1" si="129"/>
        <v>83.214065362104819</v>
      </c>
      <c r="J307" s="306">
        <f t="shared" ca="1" si="130"/>
        <v>604.61088227940741</v>
      </c>
      <c r="K307" s="307">
        <f t="shared" ca="1" si="131"/>
        <v>669.90009426361337</v>
      </c>
      <c r="L307" s="304">
        <f t="shared" ca="1" si="116"/>
        <v>902.3970607582238</v>
      </c>
      <c r="M307" s="306">
        <f t="shared" ca="1" si="132"/>
        <v>-1.4100836187613088</v>
      </c>
      <c r="N307" s="304">
        <f t="shared" ca="1" si="133"/>
        <v>-80.791840115557179</v>
      </c>
      <c r="P307" s="310">
        <f t="shared" ca="1" si="134"/>
        <v>23</v>
      </c>
      <c r="Q307" s="304">
        <f t="shared" ca="1" si="135"/>
        <v>0</v>
      </c>
      <c r="R307" s="306">
        <f t="shared" ca="1" si="136"/>
        <v>0</v>
      </c>
      <c r="S307" s="307">
        <f t="shared" ca="1" si="137"/>
        <v>4.341000000000002</v>
      </c>
      <c r="T307" s="304">
        <f t="shared" ca="1" si="117"/>
        <v>42.585210000000025</v>
      </c>
      <c r="U307" s="311">
        <f t="shared" ca="1" si="118"/>
        <v>0</v>
      </c>
      <c r="V307" s="306">
        <f t="shared" ca="1" si="119"/>
        <v>1.1455968474225313</v>
      </c>
      <c r="W307" s="304">
        <f t="shared" ca="1" si="120"/>
        <v>25.737579915795617</v>
      </c>
      <c r="Y307" s="314" t="str">
        <f t="shared" ca="1" si="138"/>
        <v/>
      </c>
      <c r="Z307" s="315" t="str">
        <f t="shared" ca="1" si="139"/>
        <v/>
      </c>
      <c r="AA307" s="316" t="str">
        <f t="shared" ca="1" si="140"/>
        <v/>
      </c>
      <c r="AC307" s="310" t="e">
        <f t="shared" ca="1" si="141"/>
        <v>#N/A</v>
      </c>
      <c r="AD307" s="323" t="e">
        <f t="shared" ca="1" si="142"/>
        <v>#N/A</v>
      </c>
      <c r="AE307" s="324" t="e">
        <f t="shared" ca="1" si="121"/>
        <v>#N/A</v>
      </c>
      <c r="AG307" s="306">
        <f t="shared" ca="1" si="143"/>
        <v>3.8106330891370641</v>
      </c>
      <c r="AH307" s="304">
        <f t="shared" ca="1" si="144"/>
        <v>-5.8699362843357585</v>
      </c>
    </row>
    <row r="308" spans="1:34" x14ac:dyDescent="0.2">
      <c r="A308" s="347">
        <f t="shared" ca="1" si="122"/>
        <v>0.1</v>
      </c>
      <c r="B308" s="304">
        <f t="shared" ca="1" si="123"/>
        <v>21.400000000000038</v>
      </c>
      <c r="D308" s="306">
        <f t="shared" ca="1" si="124"/>
        <v>-0.94876137226397061</v>
      </c>
      <c r="E308" s="307">
        <f t="shared" ca="1" si="125"/>
        <v>-3.9574516900400383</v>
      </c>
      <c r="F308" s="304">
        <f t="shared" ca="1" si="126"/>
        <v>4.069591136772952</v>
      </c>
      <c r="G308" s="306">
        <f t="shared" ca="1" si="127"/>
        <v>13.221185966426765</v>
      </c>
      <c r="H308" s="307">
        <f t="shared" ca="1" si="128"/>
        <v>-82.537471253499604</v>
      </c>
      <c r="I308" s="304">
        <f t="shared" ca="1" si="129"/>
        <v>83.589675913243696</v>
      </c>
      <c r="J308" s="306">
        <f t="shared" ca="1" si="130"/>
        <v>605.93774468291144</v>
      </c>
      <c r="K308" s="307">
        <f t="shared" ca="1" si="131"/>
        <v>661.66613439671357</v>
      </c>
      <c r="L308" s="304">
        <f t="shared" ca="1" si="116"/>
        <v>897.19709308429151</v>
      </c>
      <c r="M308" s="306">
        <f t="shared" ca="1" si="132"/>
        <v>-1.4119616192179569</v>
      </c>
      <c r="N308" s="304">
        <f t="shared" ca="1" si="133"/>
        <v>-80.899441615646765</v>
      </c>
      <c r="P308" s="310">
        <f t="shared" ca="1" si="134"/>
        <v>23</v>
      </c>
      <c r="Q308" s="304">
        <f t="shared" ca="1" si="135"/>
        <v>0</v>
      </c>
      <c r="R308" s="306">
        <f t="shared" ca="1" si="136"/>
        <v>0</v>
      </c>
      <c r="S308" s="307">
        <f t="shared" ca="1" si="137"/>
        <v>4.341000000000002</v>
      </c>
      <c r="T308" s="304">
        <f t="shared" ca="1" si="117"/>
        <v>42.585210000000025</v>
      </c>
      <c r="U308" s="311">
        <f t="shared" ca="1" si="118"/>
        <v>0</v>
      </c>
      <c r="V308" s="306">
        <f t="shared" ca="1" si="119"/>
        <v>1.146541563070113</v>
      </c>
      <c r="W308" s="304">
        <f t="shared" ca="1" si="120"/>
        <v>25.991868713470875</v>
      </c>
      <c r="Y308" s="314" t="str">
        <f t="shared" ca="1" si="138"/>
        <v/>
      </c>
      <c r="Z308" s="315" t="str">
        <f t="shared" ca="1" si="139"/>
        <v/>
      </c>
      <c r="AA308" s="316" t="str">
        <f t="shared" ca="1" si="140"/>
        <v/>
      </c>
      <c r="AC308" s="310" t="e">
        <f t="shared" ca="1" si="141"/>
        <v>#N/A</v>
      </c>
      <c r="AD308" s="323" t="e">
        <f t="shared" ca="1" si="142"/>
        <v>#N/A</v>
      </c>
      <c r="AE308" s="324" t="e">
        <f t="shared" ca="1" si="121"/>
        <v>#N/A</v>
      </c>
      <c r="AG308" s="306">
        <f t="shared" ca="1" si="143"/>
        <v>3.7546314556524631</v>
      </c>
      <c r="AH308" s="304">
        <f t="shared" ca="1" si="144"/>
        <v>-5.9289518350139616</v>
      </c>
    </row>
    <row r="309" spans="1:34" x14ac:dyDescent="0.2">
      <c r="A309" s="347">
        <f t="shared" ca="1" si="122"/>
        <v>0.1</v>
      </c>
      <c r="B309" s="304">
        <f t="shared" ca="1" si="123"/>
        <v>21.500000000000039</v>
      </c>
      <c r="D309" s="306">
        <f t="shared" ca="1" si="124"/>
        <v>-0.94703382612743781</v>
      </c>
      <c r="E309" s="307">
        <f t="shared" ca="1" si="125"/>
        <v>-3.8978392151373225</v>
      </c>
      <c r="F309" s="304">
        <f t="shared" ca="1" si="126"/>
        <v>4.0112371676194751</v>
      </c>
      <c r="G309" s="306">
        <f t="shared" ca="1" si="127"/>
        <v>13.12648258381402</v>
      </c>
      <c r="H309" s="307">
        <f t="shared" ca="1" si="128"/>
        <v>-82.927255175013329</v>
      </c>
      <c r="I309" s="304">
        <f t="shared" ca="1" si="129"/>
        <v>83.95971769774448</v>
      </c>
      <c r="J309" s="306">
        <f t="shared" ca="1" si="130"/>
        <v>607.25512811042347</v>
      </c>
      <c r="K309" s="307">
        <f t="shared" ca="1" si="131"/>
        <v>653.39289807528792</v>
      </c>
      <c r="L309" s="304">
        <f t="shared" ca="1" si="116"/>
        <v>892.00956826237598</v>
      </c>
      <c r="M309" s="306">
        <f t="shared" ca="1" si="132"/>
        <v>-1.4138096791768746</v>
      </c>
      <c r="N309" s="304">
        <f t="shared" ca="1" si="133"/>
        <v>-81.005327651579861</v>
      </c>
      <c r="P309" s="310">
        <f t="shared" ca="1" si="134"/>
        <v>23</v>
      </c>
      <c r="Q309" s="304">
        <f t="shared" ca="1" si="135"/>
        <v>0</v>
      </c>
      <c r="R309" s="306">
        <f t="shared" ca="1" si="136"/>
        <v>0</v>
      </c>
      <c r="S309" s="307">
        <f t="shared" ca="1" si="137"/>
        <v>4.341000000000002</v>
      </c>
      <c r="T309" s="304">
        <f t="shared" ca="1" si="117"/>
        <v>42.585210000000025</v>
      </c>
      <c r="U309" s="311">
        <f t="shared" ca="1" si="118"/>
        <v>0</v>
      </c>
      <c r="V309" s="306">
        <f t="shared" ca="1" si="119"/>
        <v>1.1474915437291839</v>
      </c>
      <c r="W309" s="304">
        <f t="shared" ca="1" si="120"/>
        <v>26.244231018323692</v>
      </c>
      <c r="Y309" s="314" t="str">
        <f t="shared" ca="1" si="138"/>
        <v/>
      </c>
      <c r="Z309" s="315" t="str">
        <f t="shared" ca="1" si="139"/>
        <v/>
      </c>
      <c r="AA309" s="316" t="str">
        <f t="shared" ca="1" si="140"/>
        <v/>
      </c>
      <c r="AC309" s="310" t="e">
        <f t="shared" ca="1" si="141"/>
        <v>#N/A</v>
      </c>
      <c r="AD309" s="323" t="e">
        <f t="shared" ca="1" si="142"/>
        <v>#N/A</v>
      </c>
      <c r="AE309" s="324" t="e">
        <f t="shared" ca="1" si="121"/>
        <v>#N/A</v>
      </c>
      <c r="AG309" s="306">
        <f t="shared" ca="1" si="143"/>
        <v>3.6989840965449234</v>
      </c>
      <c r="AH309" s="304">
        <f t="shared" ca="1" si="144"/>
        <v>-5.9875302265539885</v>
      </c>
    </row>
    <row r="310" spans="1:34" x14ac:dyDescent="0.2">
      <c r="A310" s="347">
        <f t="shared" ca="1" si="122"/>
        <v>0.1</v>
      </c>
      <c r="B310" s="304">
        <f t="shared" ca="1" si="123"/>
        <v>21.600000000000041</v>
      </c>
      <c r="D310" s="306">
        <f t="shared" ca="1" si="124"/>
        <v>-0.94519510365596848</v>
      </c>
      <c r="E310" s="307">
        <f t="shared" ca="1" si="125"/>
        <v>-3.8386794234044581</v>
      </c>
      <c r="F310" s="304">
        <f t="shared" ca="1" si="126"/>
        <v>3.9533344785944942</v>
      </c>
      <c r="G310" s="306">
        <f t="shared" ca="1" si="127"/>
        <v>13.031963073448424</v>
      </c>
      <c r="H310" s="307">
        <f t="shared" ca="1" si="128"/>
        <v>-83.311123117353773</v>
      </c>
      <c r="I310" s="304">
        <f t="shared" ca="1" si="129"/>
        <v>84.324227222208222</v>
      </c>
      <c r="J310" s="306">
        <f t="shared" ca="1" si="130"/>
        <v>608.56305039328663</v>
      </c>
      <c r="K310" s="307">
        <f t="shared" ca="1" si="131"/>
        <v>645.08097916066959</v>
      </c>
      <c r="L310" s="304">
        <f t="shared" ca="1" si="116"/>
        <v>886.83620583446532</v>
      </c>
      <c r="M310" s="306">
        <f t="shared" ca="1" si="132"/>
        <v>-1.4156285182443775</v>
      </c>
      <c r="N310" s="304">
        <f t="shared" ca="1" si="133"/>
        <v>-81.109539453761286</v>
      </c>
      <c r="P310" s="310">
        <f t="shared" ca="1" si="134"/>
        <v>23</v>
      </c>
      <c r="Q310" s="304">
        <f t="shared" ca="1" si="135"/>
        <v>0</v>
      </c>
      <c r="R310" s="306">
        <f t="shared" ca="1" si="136"/>
        <v>0</v>
      </c>
      <c r="S310" s="307">
        <f t="shared" ca="1" si="137"/>
        <v>4.341000000000002</v>
      </c>
      <c r="T310" s="304">
        <f t="shared" ca="1" si="117"/>
        <v>42.585210000000025</v>
      </c>
      <c r="U310" s="311">
        <f t="shared" ca="1" si="118"/>
        <v>0</v>
      </c>
      <c r="V310" s="306">
        <f t="shared" ca="1" si="119"/>
        <v>1.1484467328784538</v>
      </c>
      <c r="W310" s="304">
        <f t="shared" ca="1" si="120"/>
        <v>26.49463953713618</v>
      </c>
      <c r="Y310" s="314" t="str">
        <f t="shared" ca="1" si="138"/>
        <v/>
      </c>
      <c r="Z310" s="315" t="str">
        <f t="shared" ca="1" si="139"/>
        <v/>
      </c>
      <c r="AA310" s="316" t="str">
        <f t="shared" ca="1" si="140"/>
        <v/>
      </c>
      <c r="AC310" s="310" t="e">
        <f t="shared" ca="1" si="141"/>
        <v>#N/A</v>
      </c>
      <c r="AD310" s="323" t="e">
        <f t="shared" ca="1" si="142"/>
        <v>#N/A</v>
      </c>
      <c r="AE310" s="324" t="e">
        <f t="shared" ca="1" si="121"/>
        <v>#N/A</v>
      </c>
      <c r="AG310" s="306">
        <f t="shared" ca="1" si="143"/>
        <v>3.6437004482866042</v>
      </c>
      <c r="AH310" s="304">
        <f t="shared" ca="1" si="144"/>
        <v>-6.0456648279943979</v>
      </c>
    </row>
    <row r="311" spans="1:34" x14ac:dyDescent="0.2">
      <c r="A311" s="347">
        <f t="shared" ca="1" si="122"/>
        <v>0.1</v>
      </c>
      <c r="B311" s="304">
        <f t="shared" ca="1" si="123"/>
        <v>21.700000000000042</v>
      </c>
      <c r="D311" s="306">
        <f t="shared" ca="1" si="124"/>
        <v>-0.94324758139003972</v>
      </c>
      <c r="E311" s="307">
        <f t="shared" ca="1" si="125"/>
        <v>-3.7799786639636537</v>
      </c>
      <c r="F311" s="304">
        <f t="shared" ca="1" si="126"/>
        <v>3.8958894619609792</v>
      </c>
      <c r="G311" s="306">
        <f t="shared" ca="1" si="127"/>
        <v>12.937638315309419</v>
      </c>
      <c r="H311" s="307">
        <f t="shared" ca="1" si="128"/>
        <v>-83.689120983750144</v>
      </c>
      <c r="I311" s="304">
        <f t="shared" ca="1" si="129"/>
        <v>84.68324188533721</v>
      </c>
      <c r="J311" s="306">
        <f t="shared" ca="1" si="130"/>
        <v>609.86153046272455</v>
      </c>
      <c r="K311" s="307">
        <f t="shared" ca="1" si="131"/>
        <v>636.73096695561435</v>
      </c>
      <c r="L311" s="304">
        <f t="shared" ca="1" si="116"/>
        <v>881.6787456996841</v>
      </c>
      <c r="M311" s="306">
        <f t="shared" ca="1" si="132"/>
        <v>-1.4174188323552996</v>
      </c>
      <c r="N311" s="304">
        <f t="shared" ca="1" si="133"/>
        <v>-81.212116896319841</v>
      </c>
      <c r="P311" s="310">
        <f t="shared" ca="1" si="134"/>
        <v>23</v>
      </c>
      <c r="Q311" s="304">
        <f t="shared" ca="1" si="135"/>
        <v>0</v>
      </c>
      <c r="R311" s="306">
        <f t="shared" ca="1" si="136"/>
        <v>0</v>
      </c>
      <c r="S311" s="307">
        <f t="shared" ca="1" si="137"/>
        <v>4.341000000000002</v>
      </c>
      <c r="T311" s="304">
        <f t="shared" ca="1" si="117"/>
        <v>42.585210000000025</v>
      </c>
      <c r="U311" s="311">
        <f t="shared" ca="1" si="118"/>
        <v>0</v>
      </c>
      <c r="V311" s="306">
        <f t="shared" ca="1" si="119"/>
        <v>1.149407074379214</v>
      </c>
      <c r="W311" s="304">
        <f t="shared" ca="1" si="120"/>
        <v>26.743068445070744</v>
      </c>
      <c r="Y311" s="314" t="str">
        <f t="shared" ca="1" si="138"/>
        <v/>
      </c>
      <c r="Z311" s="315" t="str">
        <f t="shared" ca="1" si="139"/>
        <v/>
      </c>
      <c r="AA311" s="316" t="str">
        <f t="shared" ca="1" si="140"/>
        <v/>
      </c>
      <c r="AC311" s="310" t="e">
        <f t="shared" ca="1" si="141"/>
        <v>#N/A</v>
      </c>
      <c r="AD311" s="323" t="e">
        <f t="shared" ca="1" si="142"/>
        <v>#N/A</v>
      </c>
      <c r="AE311" s="324" t="e">
        <f t="shared" ca="1" si="121"/>
        <v>#N/A</v>
      </c>
      <c r="AG311" s="306">
        <f t="shared" ca="1" si="143"/>
        <v>3.5887894875952222</v>
      </c>
      <c r="AH311" s="304">
        <f t="shared" ca="1" si="144"/>
        <v>-6.1033493520239963</v>
      </c>
    </row>
    <row r="312" spans="1:34" x14ac:dyDescent="0.2">
      <c r="A312" s="347">
        <f t="shared" ca="1" si="122"/>
        <v>0.1</v>
      </c>
      <c r="B312" s="304">
        <f t="shared" ca="1" si="123"/>
        <v>21.800000000000043</v>
      </c>
      <c r="D312" s="306">
        <f t="shared" ca="1" si="124"/>
        <v>-0.94119363237443854</v>
      </c>
      <c r="E312" s="307">
        <f t="shared" ca="1" si="125"/>
        <v>-3.7217429434001161</v>
      </c>
      <c r="F312" s="304">
        <f t="shared" ca="1" si="126"/>
        <v>3.8389081768610653</v>
      </c>
      <c r="G312" s="306">
        <f t="shared" ca="1" si="127"/>
        <v>12.843518952071975</v>
      </c>
      <c r="H312" s="307">
        <f t="shared" ca="1" si="128"/>
        <v>-84.061295278090157</v>
      </c>
      <c r="I312" s="304">
        <f t="shared" ca="1" si="129"/>
        <v>85.036799933337662</v>
      </c>
      <c r="J312" s="306">
        <f t="shared" ca="1" si="130"/>
        <v>611.15058832609361</v>
      </c>
      <c r="K312" s="307">
        <f t="shared" ca="1" si="131"/>
        <v>628.34344614252234</v>
      </c>
      <c r="L312" s="304">
        <f t="shared" ca="1" si="116"/>
        <v>876.53894831980585</v>
      </c>
      <c r="M312" s="306">
        <f t="shared" ca="1" si="132"/>
        <v>-1.419181294727913</v>
      </c>
      <c r="N312" s="304">
        <f t="shared" ca="1" si="133"/>
        <v>-81.313098551821199</v>
      </c>
      <c r="P312" s="310">
        <f t="shared" ca="1" si="134"/>
        <v>23</v>
      </c>
      <c r="Q312" s="304">
        <f t="shared" ca="1" si="135"/>
        <v>0</v>
      </c>
      <c r="R312" s="306">
        <f t="shared" ca="1" si="136"/>
        <v>0</v>
      </c>
      <c r="S312" s="307">
        <f t="shared" ca="1" si="137"/>
        <v>4.341000000000002</v>
      </c>
      <c r="T312" s="304">
        <f t="shared" ca="1" si="117"/>
        <v>42.585210000000025</v>
      </c>
      <c r="U312" s="311">
        <f t="shared" ca="1" si="118"/>
        <v>0</v>
      </c>
      <c r="V312" s="306">
        <f t="shared" ca="1" si="119"/>
        <v>1.1503725124817497</v>
      </c>
      <c r="W312" s="304">
        <f t="shared" ca="1" si="120"/>
        <v>26.989493361723252</v>
      </c>
      <c r="Y312" s="314" t="str">
        <f t="shared" ca="1" si="138"/>
        <v/>
      </c>
      <c r="Z312" s="315" t="str">
        <f t="shared" ca="1" si="139"/>
        <v/>
      </c>
      <c r="AA312" s="316" t="str">
        <f t="shared" ca="1" si="140"/>
        <v/>
      </c>
      <c r="AC312" s="310" t="e">
        <f t="shared" ca="1" si="141"/>
        <v>#N/A</v>
      </c>
      <c r="AD312" s="323" t="e">
        <f t="shared" ca="1" si="142"/>
        <v>#N/A</v>
      </c>
      <c r="AE312" s="324" t="e">
        <f t="shared" ca="1" si="121"/>
        <v>#N/A</v>
      </c>
      <c r="AG312" s="306">
        <f t="shared" ca="1" si="143"/>
        <v>3.534259742506622</v>
      </c>
      <c r="AH312" s="304">
        <f t="shared" ca="1" si="144"/>
        <v>-6.1605778495901244</v>
      </c>
    </row>
    <row r="313" spans="1:34" x14ac:dyDescent="0.2">
      <c r="A313" s="347">
        <f t="shared" ca="1" si="122"/>
        <v>0.1</v>
      </c>
      <c r="B313" s="304">
        <f t="shared" ca="1" si="123"/>
        <v>21.900000000000045</v>
      </c>
      <c r="D313" s="306">
        <f t="shared" ca="1" si="124"/>
        <v>-0.93903562463422574</v>
      </c>
      <c r="E313" s="307">
        <f t="shared" ca="1" si="125"/>
        <v>-3.6639779313138243</v>
      </c>
      <c r="F313" s="304">
        <f t="shared" ca="1" si="126"/>
        <v>3.7823963548902331</v>
      </c>
      <c r="G313" s="306">
        <f t="shared" ca="1" si="127"/>
        <v>12.749615389608552</v>
      </c>
      <c r="H313" s="307">
        <f t="shared" ca="1" si="128"/>
        <v>-84.42769307122154</v>
      </c>
      <c r="I313" s="304">
        <f t="shared" ca="1" si="129"/>
        <v>85.384940416395054</v>
      </c>
      <c r="J313" s="306">
        <f t="shared" ca="1" si="130"/>
        <v>612.43024504317759</v>
      </c>
      <c r="K313" s="307">
        <f t="shared" ca="1" si="131"/>
        <v>619.91899672505679</v>
      </c>
      <c r="L313" s="304">
        <f t="shared" ca="1" si="116"/>
        <v>871.41859490387719</v>
      </c>
      <c r="M313" s="306">
        <f t="shared" ca="1" si="132"/>
        <v>-1.4209165567738489</v>
      </c>
      <c r="N313" s="304">
        <f t="shared" ca="1" si="133"/>
        <v>-81.412521743402564</v>
      </c>
      <c r="P313" s="310">
        <f t="shared" ca="1" si="134"/>
        <v>23</v>
      </c>
      <c r="Q313" s="304">
        <f t="shared" ca="1" si="135"/>
        <v>0</v>
      </c>
      <c r="R313" s="306">
        <f t="shared" ca="1" si="136"/>
        <v>0</v>
      </c>
      <c r="S313" s="307">
        <f t="shared" ca="1" si="137"/>
        <v>4.341000000000002</v>
      </c>
      <c r="T313" s="304">
        <f t="shared" ca="1" si="117"/>
        <v>42.585210000000025</v>
      </c>
      <c r="U313" s="311">
        <f t="shared" ca="1" si="118"/>
        <v>0</v>
      </c>
      <c r="V313" s="306">
        <f t="shared" ca="1" si="119"/>
        <v>1.1513429918314613</v>
      </c>
      <c r="W313" s="304">
        <f t="shared" ca="1" si="120"/>
        <v>27.233891326681537</v>
      </c>
      <c r="Y313" s="314" t="str">
        <f t="shared" ca="1" si="138"/>
        <v/>
      </c>
      <c r="Z313" s="315" t="str">
        <f t="shared" ca="1" si="139"/>
        <v/>
      </c>
      <c r="AA313" s="316" t="str">
        <f t="shared" ca="1" si="140"/>
        <v/>
      </c>
      <c r="AC313" s="310" t="e">
        <f t="shared" ca="1" si="141"/>
        <v>#N/A</v>
      </c>
      <c r="AD313" s="323" t="e">
        <f t="shared" ca="1" si="142"/>
        <v>#N/A</v>
      </c>
      <c r="AE313" s="324" t="e">
        <f t="shared" ca="1" si="121"/>
        <v>#N/A</v>
      </c>
      <c r="AG313" s="306">
        <f t="shared" ca="1" si="143"/>
        <v>3.4801193032535318</v>
      </c>
      <c r="AH313" s="304">
        <f t="shared" ca="1" si="144"/>
        <v>-6.2173447043822252</v>
      </c>
    </row>
    <row r="314" spans="1:34" x14ac:dyDescent="0.2">
      <c r="A314" s="347">
        <f t="shared" ca="1" si="122"/>
        <v>0.1</v>
      </c>
      <c r="B314" s="304">
        <f t="shared" ca="1" si="123"/>
        <v>22.000000000000046</v>
      </c>
      <c r="D314" s="306">
        <f t="shared" ca="1" si="124"/>
        <v>-0.93677591970942298</v>
      </c>
      <c r="E314" s="307">
        <f t="shared" ca="1" si="125"/>
        <v>-3.6066889659903181</v>
      </c>
      <c r="F314" s="304">
        <f t="shared" ca="1" si="126"/>
        <v>3.7263594057932394</v>
      </c>
      <c r="G314" s="306">
        <f t="shared" ca="1" si="127"/>
        <v>12.655937797637609</v>
      </c>
      <c r="H314" s="307">
        <f t="shared" ca="1" si="128"/>
        <v>-84.788361967820578</v>
      </c>
      <c r="I314" s="304">
        <f t="shared" ca="1" si="129"/>
        <v>85.727703146204931</v>
      </c>
      <c r="J314" s="306">
        <f t="shared" ca="1" si="130"/>
        <v>613.70052270253996</v>
      </c>
      <c r="K314" s="307">
        <f t="shared" ca="1" si="131"/>
        <v>611.4581939731047</v>
      </c>
      <c r="L314" s="304">
        <f t="shared" ca="1" si="116"/>
        <v>866.31948756923487</v>
      </c>
      <c r="M314" s="306">
        <f t="shared" ca="1" si="132"/>
        <v>-1.4226252489654405</v>
      </c>
      <c r="N314" s="304">
        <f t="shared" ca="1" si="133"/>
        <v>-81.510422594467727</v>
      </c>
      <c r="P314" s="310">
        <f t="shared" ca="1" si="134"/>
        <v>23</v>
      </c>
      <c r="Q314" s="304">
        <f t="shared" ca="1" si="135"/>
        <v>0</v>
      </c>
      <c r="R314" s="306">
        <f t="shared" ca="1" si="136"/>
        <v>0</v>
      </c>
      <c r="S314" s="307">
        <f t="shared" ca="1" si="137"/>
        <v>4.341000000000002</v>
      </c>
      <c r="T314" s="304">
        <f t="shared" ca="1" si="117"/>
        <v>42.585210000000025</v>
      </c>
      <c r="U314" s="311">
        <f t="shared" ca="1" si="118"/>
        <v>0</v>
      </c>
      <c r="V314" s="306">
        <f t="shared" ca="1" si="119"/>
        <v>1.1523184574746805</v>
      </c>
      <c r="W314" s="304">
        <f t="shared" ca="1" si="120"/>
        <v>27.476240774634448</v>
      </c>
      <c r="Y314" s="314" t="str">
        <f t="shared" ca="1" si="138"/>
        <v/>
      </c>
      <c r="Z314" s="315" t="str">
        <f t="shared" ca="1" si="139"/>
        <v/>
      </c>
      <c r="AA314" s="316" t="str">
        <f t="shared" ca="1" si="140"/>
        <v/>
      </c>
      <c r="AC314" s="310">
        <f t="shared" ca="1" si="141"/>
        <v>22.000000000000046</v>
      </c>
      <c r="AD314" s="323">
        <f t="shared" ca="1" si="142"/>
        <v>613.70052270253996</v>
      </c>
      <c r="AE314" s="324" t="e">
        <f t="shared" ca="1" si="121"/>
        <v>#N/A</v>
      </c>
      <c r="AG314" s="306">
        <f t="shared" ca="1" si="143"/>
        <v>3.4263758329598177</v>
      </c>
      <c r="AH314" s="304">
        <f t="shared" ca="1" si="144"/>
        <v>-6.273644627201457</v>
      </c>
    </row>
    <row r="315" spans="1:34" x14ac:dyDescent="0.2">
      <c r="A315" s="347">
        <f t="shared" ca="1" si="122"/>
        <v>0.1</v>
      </c>
      <c r="B315" s="304">
        <f t="shared" ca="1" si="123"/>
        <v>22.100000000000048</v>
      </c>
      <c r="D315" s="306">
        <f t="shared" ca="1" si="124"/>
        <v>-0.9344168712475841</v>
      </c>
      <c r="E315" s="307">
        <f t="shared" ca="1" si="125"/>
        <v>-3.5498810601797155</v>
      </c>
      <c r="F315" s="304">
        <f t="shared" ca="1" si="126"/>
        <v>3.6708024232713461</v>
      </c>
      <c r="G315" s="306">
        <f t="shared" ca="1" si="127"/>
        <v>12.56249611051285</v>
      </c>
      <c r="H315" s="307">
        <f t="shared" ca="1" si="128"/>
        <v>-85.143350073838548</v>
      </c>
      <c r="I315" s="304">
        <f t="shared" ca="1" si="129"/>
        <v>86.065128654542036</v>
      </c>
      <c r="J315" s="306">
        <f t="shared" ca="1" si="130"/>
        <v>614.9614443979475</v>
      </c>
      <c r="K315" s="307">
        <f t="shared" ca="1" si="131"/>
        <v>602.96160837102173</v>
      </c>
      <c r="L315" s="304">
        <f t="shared" ca="1" si="116"/>
        <v>861.24344947603481</v>
      </c>
      <c r="M315" s="306">
        <f t="shared" ca="1" si="132"/>
        <v>-1.4243079816627506</v>
      </c>
      <c r="N315" s="304">
        <f t="shared" ca="1" si="133"/>
        <v>-81.606836076072256</v>
      </c>
      <c r="P315" s="310">
        <f t="shared" ca="1" si="134"/>
        <v>23</v>
      </c>
      <c r="Q315" s="304">
        <f t="shared" ca="1" si="135"/>
        <v>0</v>
      </c>
      <c r="R315" s="306">
        <f t="shared" ca="1" si="136"/>
        <v>0</v>
      </c>
      <c r="S315" s="307">
        <f t="shared" ca="1" si="137"/>
        <v>4.341000000000002</v>
      </c>
      <c r="T315" s="304">
        <f t="shared" ca="1" si="117"/>
        <v>42.585210000000025</v>
      </c>
      <c r="U315" s="311">
        <f t="shared" ca="1" si="118"/>
        <v>0</v>
      </c>
      <c r="V315" s="306">
        <f t="shared" ca="1" si="119"/>
        <v>1.153298854864206</v>
      </c>
      <c r="W315" s="304">
        <f t="shared" ca="1" si="120"/>
        <v>27.716521510075964</v>
      </c>
      <c r="Y315" s="314" t="str">
        <f t="shared" ca="1" si="138"/>
        <v/>
      </c>
      <c r="Z315" s="315" t="str">
        <f t="shared" ca="1" si="139"/>
        <v/>
      </c>
      <c r="AA315" s="316" t="str">
        <f t="shared" ca="1" si="140"/>
        <v/>
      </c>
      <c r="AC315" s="310" t="e">
        <f t="shared" ca="1" si="141"/>
        <v>#N/A</v>
      </c>
      <c r="AD315" s="323" t="e">
        <f t="shared" ca="1" si="142"/>
        <v>#N/A</v>
      </c>
      <c r="AE315" s="324" t="e">
        <f t="shared" ca="1" si="121"/>
        <v>#N/A</v>
      </c>
      <c r="AG315" s="306">
        <f t="shared" ca="1" si="143"/>
        <v>3.3730365781584197</v>
      </c>
      <c r="AH315" s="304">
        <f t="shared" ca="1" si="144"/>
        <v>-6.3294726502267764</v>
      </c>
    </row>
    <row r="316" spans="1:34" x14ac:dyDescent="0.2">
      <c r="A316" s="347">
        <f t="shared" ca="1" si="122"/>
        <v>0.1</v>
      </c>
      <c r="B316" s="304">
        <f t="shared" ca="1" si="123"/>
        <v>22.200000000000049</v>
      </c>
      <c r="D316" s="306">
        <f t="shared" ca="1" si="124"/>
        <v>-0.93196082365347765</v>
      </c>
      <c r="E316" s="307">
        <f t="shared" ca="1" si="125"/>
        <v>-3.4935589069733393</v>
      </c>
      <c r="F316" s="304">
        <f t="shared" ca="1" si="126"/>
        <v>3.6157301908905786</v>
      </c>
      <c r="G316" s="306">
        <f t="shared" ca="1" si="127"/>
        <v>12.469300028147503</v>
      </c>
      <c r="H316" s="307">
        <f t="shared" ca="1" si="128"/>
        <v>-85.492705964535887</v>
      </c>
      <c r="I316" s="304">
        <f t="shared" ca="1" si="129"/>
        <v>86.39725815285199</v>
      </c>
      <c r="J316" s="306">
        <f t="shared" ca="1" si="130"/>
        <v>616.2130342048805</v>
      </c>
      <c r="K316" s="307">
        <f t="shared" ca="1" si="131"/>
        <v>594.429805569103</v>
      </c>
      <c r="L316" s="304">
        <f t="shared" ca="1" si="116"/>
        <v>856.19232493225888</v>
      </c>
      <c r="M316" s="306">
        <f t="shared" ca="1" si="132"/>
        <v>-1.4259653459024282</v>
      </c>
      <c r="N316" s="304">
        <f t="shared" ca="1" si="133"/>
        <v>-81.701796052121693</v>
      </c>
      <c r="P316" s="310">
        <f t="shared" ca="1" si="134"/>
        <v>23</v>
      </c>
      <c r="Q316" s="304">
        <f t="shared" ca="1" si="135"/>
        <v>0</v>
      </c>
      <c r="R316" s="306">
        <f t="shared" ca="1" si="136"/>
        <v>0</v>
      </c>
      <c r="S316" s="307">
        <f t="shared" ca="1" si="137"/>
        <v>4.341000000000002</v>
      </c>
      <c r="T316" s="304">
        <f t="shared" ca="1" si="117"/>
        <v>42.585210000000025</v>
      </c>
      <c r="U316" s="311">
        <f t="shared" ca="1" si="118"/>
        <v>0</v>
      </c>
      <c r="V316" s="306">
        <f t="shared" ca="1" si="119"/>
        <v>1.1542841298645483</v>
      </c>
      <c r="W316" s="304">
        <f t="shared" ca="1" si="120"/>
        <v>27.954714681647253</v>
      </c>
      <c r="Y316" s="314" t="str">
        <f t="shared" ca="1" si="138"/>
        <v/>
      </c>
      <c r="Z316" s="315" t="str">
        <f t="shared" ca="1" si="139"/>
        <v/>
      </c>
      <c r="AA316" s="316" t="str">
        <f t="shared" ca="1" si="140"/>
        <v/>
      </c>
      <c r="AC316" s="310" t="e">
        <f t="shared" ca="1" si="141"/>
        <v>#N/A</v>
      </c>
      <c r="AD316" s="323" t="e">
        <f t="shared" ca="1" si="142"/>
        <v>#N/A</v>
      </c>
      <c r="AE316" s="324" t="e">
        <f t="shared" ca="1" si="121"/>
        <v>#N/A</v>
      </c>
      <c r="AG316" s="306">
        <f t="shared" ca="1" si="143"/>
        <v>3.3201083791400414</v>
      </c>
      <c r="AH316" s="304">
        <f t="shared" ca="1" si="144"/>
        <v>-6.3848241211877337</v>
      </c>
    </row>
    <row r="317" spans="1:34" x14ac:dyDescent="0.2">
      <c r="A317" s="347">
        <f t="shared" ca="1" si="122"/>
        <v>0.1</v>
      </c>
      <c r="B317" s="304">
        <f t="shared" ca="1" si="123"/>
        <v>22.30000000000005</v>
      </c>
      <c r="D317" s="306">
        <f t="shared" ca="1" si="124"/>
        <v>-0.92941011079495828</v>
      </c>
      <c r="E317" s="307">
        <f t="shared" ca="1" si="125"/>
        <v>-3.4377268857677201</v>
      </c>
      <c r="F317" s="304">
        <f t="shared" ca="1" si="126"/>
        <v>3.5611471880811281</v>
      </c>
      <c r="G317" s="306">
        <f t="shared" ca="1" si="127"/>
        <v>12.376359017068006</v>
      </c>
      <c r="H317" s="307">
        <f t="shared" ca="1" si="128"/>
        <v>-85.836478653112664</v>
      </c>
      <c r="I317" s="304">
        <f t="shared" ca="1" si="129"/>
        <v>86.724133492849759</v>
      </c>
      <c r="J317" s="306">
        <f t="shared" ca="1" si="130"/>
        <v>617.45531715714128</v>
      </c>
      <c r="K317" s="307">
        <f t="shared" ca="1" si="131"/>
        <v>585.86334633822059</v>
      </c>
      <c r="L317" s="304">
        <f t="shared" ca="1" si="116"/>
        <v>851.16797946600627</v>
      </c>
      <c r="M317" s="306">
        <f t="shared" ca="1" si="132"/>
        <v>-1.4275979141503938</v>
      </c>
      <c r="N317" s="304">
        <f t="shared" ca="1" si="133"/>
        <v>-81.795335322497195</v>
      </c>
      <c r="P317" s="310">
        <f t="shared" ca="1" si="134"/>
        <v>23</v>
      </c>
      <c r="Q317" s="304">
        <f t="shared" ca="1" si="135"/>
        <v>0</v>
      </c>
      <c r="R317" s="306">
        <f t="shared" ca="1" si="136"/>
        <v>0</v>
      </c>
      <c r="S317" s="307">
        <f t="shared" ca="1" si="137"/>
        <v>4.341000000000002</v>
      </c>
      <c r="T317" s="304">
        <f t="shared" ca="1" si="117"/>
        <v>42.585210000000025</v>
      </c>
      <c r="U317" s="311">
        <f t="shared" ca="1" si="118"/>
        <v>0</v>
      </c>
      <c r="V317" s="306">
        <f t="shared" ca="1" si="119"/>
        <v>1.1552742287568929</v>
      </c>
      <c r="W317" s="304">
        <f t="shared" ca="1" si="120"/>
        <v>28.1908027561586</v>
      </c>
      <c r="Y317" s="314" t="str">
        <f t="shared" ca="1" si="138"/>
        <v/>
      </c>
      <c r="Z317" s="315" t="str">
        <f t="shared" ca="1" si="139"/>
        <v/>
      </c>
      <c r="AA317" s="316" t="str">
        <f t="shared" ca="1" si="140"/>
        <v/>
      </c>
      <c r="AC317" s="310" t="e">
        <f t="shared" ca="1" si="141"/>
        <v>#N/A</v>
      </c>
      <c r="AD317" s="323" t="e">
        <f t="shared" ca="1" si="142"/>
        <v>#N/A</v>
      </c>
      <c r="AE317" s="324" t="e">
        <f t="shared" ca="1" si="121"/>
        <v>#N/A</v>
      </c>
      <c r="AG317" s="306">
        <f t="shared" ca="1" si="143"/>
        <v>3.2675976801389286</v>
      </c>
      <c r="AH317" s="304">
        <f t="shared" ca="1" si="144"/>
        <v>-6.4396946974538682</v>
      </c>
    </row>
    <row r="318" spans="1:34" x14ac:dyDescent="0.2">
      <c r="A318" s="347">
        <f t="shared" ca="1" si="122"/>
        <v>0.1</v>
      </c>
      <c r="B318" s="304">
        <f t="shared" ca="1" si="123"/>
        <v>22.400000000000052</v>
      </c>
      <c r="D318" s="306">
        <f t="shared" ca="1" si="124"/>
        <v>-0.92676705476420718</v>
      </c>
      <c r="E318" s="307">
        <f t="shared" ca="1" si="125"/>
        <v>-3.3823890683060016</v>
      </c>
      <c r="F318" s="304">
        <f t="shared" ca="1" si="126"/>
        <v>3.5070575962182695</v>
      </c>
      <c r="G318" s="306">
        <f t="shared" ca="1" si="127"/>
        <v>12.283682311591585</v>
      </c>
      <c r="H318" s="307">
        <f t="shared" ca="1" si="128"/>
        <v>-86.174717559943261</v>
      </c>
      <c r="I318" s="304">
        <f t="shared" ca="1" si="129"/>
        <v>87.045797128110109</v>
      </c>
      <c r="J318" s="306">
        <f t="shared" ca="1" si="130"/>
        <v>618.68831922357424</v>
      </c>
      <c r="K318" s="307">
        <f t="shared" ca="1" si="131"/>
        <v>577.26278652756776</v>
      </c>
      <c r="L318" s="304">
        <f t="shared" ca="1" si="116"/>
        <v>846.17229986171458</v>
      </c>
      <c r="M318" s="306">
        <f t="shared" ca="1" si="132"/>
        <v>-1.4292062410202544</v>
      </c>
      <c r="N318" s="304">
        <f t="shared" ca="1" si="133"/>
        <v>-81.887485664217692</v>
      </c>
      <c r="P318" s="310">
        <f t="shared" ca="1" si="134"/>
        <v>23</v>
      </c>
      <c r="Q318" s="304">
        <f t="shared" ca="1" si="135"/>
        <v>0</v>
      </c>
      <c r="R318" s="306">
        <f t="shared" ca="1" si="136"/>
        <v>0</v>
      </c>
      <c r="S318" s="307">
        <f t="shared" ca="1" si="137"/>
        <v>4.341000000000002</v>
      </c>
      <c r="T318" s="304">
        <f t="shared" ca="1" si="117"/>
        <v>42.585210000000025</v>
      </c>
      <c r="U318" s="311">
        <f t="shared" ca="1" si="118"/>
        <v>0</v>
      </c>
      <c r="V318" s="306">
        <f t="shared" ca="1" si="119"/>
        <v>1.1562690982437902</v>
      </c>
      <c r="W318" s="304">
        <f t="shared" ca="1" si="120"/>
        <v>28.424769492331997</v>
      </c>
      <c r="Y318" s="314" t="str">
        <f t="shared" ca="1" si="138"/>
        <v/>
      </c>
      <c r="Z318" s="315" t="str">
        <f t="shared" ca="1" si="139"/>
        <v/>
      </c>
      <c r="AA318" s="316" t="str">
        <f t="shared" ca="1" si="140"/>
        <v/>
      </c>
      <c r="AC318" s="310" t="e">
        <f t="shared" ca="1" si="141"/>
        <v>#N/A</v>
      </c>
      <c r="AD318" s="323" t="e">
        <f t="shared" ca="1" si="142"/>
        <v>#N/A</v>
      </c>
      <c r="AE318" s="324" t="e">
        <f t="shared" ca="1" si="121"/>
        <v>#N/A</v>
      </c>
      <c r="AG318" s="306">
        <f t="shared" ca="1" si="143"/>
        <v>3.2155105393610981</v>
      </c>
      <c r="AH318" s="304">
        <f t="shared" ca="1" si="144"/>
        <v>-6.4940803400503544</v>
      </c>
    </row>
    <row r="319" spans="1:34" x14ac:dyDescent="0.2">
      <c r="A319" s="347">
        <f t="shared" ca="1" si="122"/>
        <v>0.1</v>
      </c>
      <c r="B319" s="304">
        <f t="shared" ca="1" si="123"/>
        <v>22.500000000000053</v>
      </c>
      <c r="D319" s="306">
        <f t="shared" ca="1" si="124"/>
        <v>-0.92403396469338261</v>
      </c>
      <c r="E319" s="307">
        <f t="shared" ca="1" si="125"/>
        <v>-3.3275492247870178</v>
      </c>
      <c r="F319" s="304">
        <f t="shared" ca="1" si="126"/>
        <v>3.4534653047754302</v>
      </c>
      <c r="G319" s="306">
        <f t="shared" ca="1" si="127"/>
        <v>12.191278915122247</v>
      </c>
      <c r="H319" s="307">
        <f t="shared" ca="1" si="128"/>
        <v>-86.50747248242196</v>
      </c>
      <c r="I319" s="304">
        <f t="shared" ca="1" si="129"/>
        <v>87.362292076635086</v>
      </c>
      <c r="J319" s="306">
        <f t="shared" ca="1" si="130"/>
        <v>619.91206728490988</v>
      </c>
      <c r="K319" s="307">
        <f t="shared" ca="1" si="131"/>
        <v>568.62867702544952</v>
      </c>
      <c r="L319" s="304">
        <f t="shared" ca="1" si="116"/>
        <v>841.20719415680435</v>
      </c>
      <c r="M319" s="306">
        <f t="shared" ca="1" si="132"/>
        <v>-1.4307908639592175</v>
      </c>
      <c r="N319" s="304">
        <f t="shared" ca="1" si="133"/>
        <v>-81.978277870739888</v>
      </c>
      <c r="P319" s="310">
        <f t="shared" ca="1" si="134"/>
        <v>23</v>
      </c>
      <c r="Q319" s="304">
        <f t="shared" ca="1" si="135"/>
        <v>0</v>
      </c>
      <c r="R319" s="306">
        <f t="shared" ca="1" si="136"/>
        <v>0</v>
      </c>
      <c r="S319" s="307">
        <f t="shared" ca="1" si="137"/>
        <v>4.341000000000002</v>
      </c>
      <c r="T319" s="304">
        <f t="shared" ca="1" si="117"/>
        <v>42.585210000000025</v>
      </c>
      <c r="U319" s="311">
        <f t="shared" ca="1" si="118"/>
        <v>0</v>
      </c>
      <c r="V319" s="306">
        <f t="shared" ca="1" si="119"/>
        <v>1.1572686854535692</v>
      </c>
      <c r="W319" s="304">
        <f t="shared" ca="1" si="120"/>
        <v>28.656599914303463</v>
      </c>
      <c r="Y319" s="314" t="str">
        <f t="shared" ca="1" si="138"/>
        <v/>
      </c>
      <c r="Z319" s="315" t="str">
        <f t="shared" ca="1" si="139"/>
        <v/>
      </c>
      <c r="AA319" s="316" t="str">
        <f t="shared" ca="1" si="140"/>
        <v/>
      </c>
      <c r="AC319" s="310" t="e">
        <f t="shared" ca="1" si="141"/>
        <v>#N/A</v>
      </c>
      <c r="AD319" s="323" t="e">
        <f t="shared" ca="1" si="142"/>
        <v>#N/A</v>
      </c>
      <c r="AE319" s="324" t="e">
        <f t="shared" ca="1" si="121"/>
        <v>#N/A</v>
      </c>
      <c r="AG319" s="306">
        <f t="shared" ca="1" si="143"/>
        <v>3.1638526388596802</v>
      </c>
      <c r="AH319" s="304">
        <f t="shared" ca="1" si="144"/>
        <v>-6.5479773076093029</v>
      </c>
    </row>
    <row r="320" spans="1:34" x14ac:dyDescent="0.2">
      <c r="A320" s="347">
        <f t="shared" ca="1" si="122"/>
        <v>0.1</v>
      </c>
      <c r="B320" s="304">
        <f t="shared" ca="1" si="123"/>
        <v>22.600000000000055</v>
      </c>
      <c r="D320" s="306">
        <f t="shared" ca="1" si="124"/>
        <v>-0.92121313562379459</v>
      </c>
      <c r="E320" s="307">
        <f t="shared" ca="1" si="125"/>
        <v>-3.2732108300327658</v>
      </c>
      <c r="F320" s="304">
        <f t="shared" ca="1" si="126"/>
        <v>3.4003739175404828</v>
      </c>
      <c r="G320" s="306">
        <f t="shared" ca="1" si="127"/>
        <v>12.099157601559867</v>
      </c>
      <c r="H320" s="307">
        <f t="shared" ca="1" si="128"/>
        <v>-86.83479356542523</v>
      </c>
      <c r="I320" s="304">
        <f t="shared" ca="1" si="129"/>
        <v>87.673661884384629</v>
      </c>
      <c r="J320" s="306">
        <f t="shared" ca="1" si="130"/>
        <v>621.12658911074402</v>
      </c>
      <c r="K320" s="307">
        <f t="shared" ca="1" si="131"/>
        <v>559.96156372305711</v>
      </c>
      <c r="L320" s="304">
        <f t="shared" ca="1" si="116"/>
        <v>836.27459159508021</v>
      </c>
      <c r="M320" s="306">
        <f t="shared" ca="1" si="132"/>
        <v>-1.4323523039031933</v>
      </c>
      <c r="N320" s="304">
        <f t="shared" ca="1" si="133"/>
        <v>-82.067741789492857</v>
      </c>
      <c r="P320" s="310">
        <f t="shared" ca="1" si="134"/>
        <v>23</v>
      </c>
      <c r="Q320" s="304">
        <f t="shared" ca="1" si="135"/>
        <v>0</v>
      </c>
      <c r="R320" s="306">
        <f t="shared" ca="1" si="136"/>
        <v>0</v>
      </c>
      <c r="S320" s="307">
        <f t="shared" ca="1" si="137"/>
        <v>4.341000000000002</v>
      </c>
      <c r="T320" s="304">
        <f t="shared" ca="1" si="117"/>
        <v>42.585210000000025</v>
      </c>
      <c r="U320" s="311">
        <f t="shared" ca="1" si="118"/>
        <v>0</v>
      </c>
      <c r="V320" s="306">
        <f t="shared" ca="1" si="119"/>
        <v>1.1582729379444883</v>
      </c>
      <c r="W320" s="304">
        <f t="shared" ca="1" si="120"/>
        <v>28.886280284923579</v>
      </c>
      <c r="Y320" s="314" t="str">
        <f t="shared" ca="1" si="138"/>
        <v/>
      </c>
      <c r="Z320" s="315" t="str">
        <f t="shared" ca="1" si="139"/>
        <v/>
      </c>
      <c r="AA320" s="316" t="str">
        <f t="shared" ca="1" si="140"/>
        <v/>
      </c>
      <c r="AC320" s="310" t="e">
        <f t="shared" ca="1" si="141"/>
        <v>#N/A</v>
      </c>
      <c r="AD320" s="323" t="e">
        <f t="shared" ca="1" si="142"/>
        <v>#N/A</v>
      </c>
      <c r="AE320" s="324" t="e">
        <f t="shared" ca="1" si="121"/>
        <v>#N/A</v>
      </c>
      <c r="AG320" s="306">
        <f t="shared" ca="1" si="143"/>
        <v>3.1126292942614713</v>
      </c>
      <c r="AH320" s="304">
        <f t="shared" ca="1" si="144"/>
        <v>-6.6013821502657111</v>
      </c>
    </row>
    <row r="321" spans="1:34" x14ac:dyDescent="0.2">
      <c r="A321" s="347">
        <f t="shared" ca="1" si="122"/>
        <v>0.1</v>
      </c>
      <c r="B321" s="304">
        <f t="shared" ca="1" si="123"/>
        <v>22.700000000000056</v>
      </c>
      <c r="D321" s="306">
        <f t="shared" ca="1" si="124"/>
        <v>-0.91830684742760005</v>
      </c>
      <c r="E321" s="307">
        <f t="shared" ca="1" si="125"/>
        <v>-3.2193770697051187</v>
      </c>
      <c r="F321" s="304">
        <f t="shared" ca="1" si="126"/>
        <v>3.347786758886464</v>
      </c>
      <c r="G321" s="306">
        <f t="shared" ca="1" si="127"/>
        <v>12.007326916817107</v>
      </c>
      <c r="H321" s="307">
        <f t="shared" ca="1" si="128"/>
        <v>-87.156731272395746</v>
      </c>
      <c r="I321" s="304">
        <f t="shared" ca="1" si="129"/>
        <v>87.979950589756115</v>
      </c>
      <c r="J321" s="306">
        <f t="shared" ca="1" si="130"/>
        <v>622.33191333666286</v>
      </c>
      <c r="K321" s="307">
        <f t="shared" ca="1" si="131"/>
        <v>551.2619874811661</v>
      </c>
      <c r="L321" s="304">
        <f t="shared" ca="1" si="116"/>
        <v>831.37644253307838</v>
      </c>
      <c r="M321" s="306">
        <f t="shared" ca="1" si="132"/>
        <v>-1.4338910659026536</v>
      </c>
      <c r="N321" s="304">
        <f t="shared" ca="1" si="133"/>
        <v>-82.155906357737038</v>
      </c>
      <c r="P321" s="310">
        <f t="shared" ca="1" si="134"/>
        <v>23</v>
      </c>
      <c r="Q321" s="304">
        <f t="shared" ca="1" si="135"/>
        <v>0</v>
      </c>
      <c r="R321" s="306">
        <f t="shared" ca="1" si="136"/>
        <v>0</v>
      </c>
      <c r="S321" s="307">
        <f t="shared" ca="1" si="137"/>
        <v>4.341000000000002</v>
      </c>
      <c r="T321" s="304">
        <f t="shared" ca="1" si="117"/>
        <v>42.585210000000025</v>
      </c>
      <c r="U321" s="311">
        <f t="shared" ca="1" si="118"/>
        <v>0</v>
      </c>
      <c r="V321" s="306">
        <f t="shared" ca="1" si="119"/>
        <v>1.1592818037086206</v>
      </c>
      <c r="W321" s="304">
        <f t="shared" ca="1" si="120"/>
        <v>29.113798078892859</v>
      </c>
      <c r="Y321" s="314" t="str">
        <f t="shared" ca="1" si="138"/>
        <v/>
      </c>
      <c r="Z321" s="315" t="str">
        <f t="shared" ca="1" si="139"/>
        <v/>
      </c>
      <c r="AA321" s="316" t="str">
        <f t="shared" ca="1" si="140"/>
        <v/>
      </c>
      <c r="AC321" s="310" t="e">
        <f t="shared" ca="1" si="141"/>
        <v>#N/A</v>
      </c>
      <c r="AD321" s="323" t="e">
        <f t="shared" ca="1" si="142"/>
        <v>#N/A</v>
      </c>
      <c r="AE321" s="324" t="e">
        <f t="shared" ca="1" si="121"/>
        <v>#N/A</v>
      </c>
      <c r="AG321" s="306">
        <f t="shared" ca="1" si="143"/>
        <v>3.061845464348071</v>
      </c>
      <c r="AH321" s="304">
        <f t="shared" ca="1" si="144"/>
        <v>-6.6542917035069262</v>
      </c>
    </row>
    <row r="322" spans="1:34" x14ac:dyDescent="0.2">
      <c r="A322" s="347">
        <f t="shared" ca="1" si="122"/>
        <v>0.1</v>
      </c>
      <c r="B322" s="304">
        <f t="shared" ca="1" si="123"/>
        <v>22.800000000000058</v>
      </c>
      <c r="D322" s="306">
        <f t="shared" ca="1" si="124"/>
        <v>-0.91531736378110617</v>
      </c>
      <c r="E322" s="307">
        <f t="shared" ca="1" si="125"/>
        <v>-3.1660508465630617</v>
      </c>
      <c r="F322" s="304">
        <f t="shared" ca="1" si="126"/>
        <v>3.2957068800883786</v>
      </c>
      <c r="G322" s="306">
        <f t="shared" ca="1" si="127"/>
        <v>11.915795180438996</v>
      </c>
      <c r="H322" s="307">
        <f t="shared" ca="1" si="128"/>
        <v>-87.473336357052048</v>
      </c>
      <c r="I322" s="304">
        <f t="shared" ca="1" si="129"/>
        <v>88.281202688999073</v>
      </c>
      <c r="J322" s="306">
        <f t="shared" ca="1" si="130"/>
        <v>623.52806944152564</v>
      </c>
      <c r="K322" s="307">
        <f t="shared" ca="1" si="131"/>
        <v>542.53048409969369</v>
      </c>
      <c r="L322" s="304">
        <f t="shared" ca="1" si="116"/>
        <v>826.5147182953998</v>
      </c>
      <c r="M322" s="306">
        <f t="shared" ca="1" si="132"/>
        <v>-1.4354076397207456</v>
      </c>
      <c r="N322" s="304">
        <f t="shared" ca="1" si="133"/>
        <v>-82.242799636833752</v>
      </c>
      <c r="P322" s="310">
        <f t="shared" ca="1" si="134"/>
        <v>23</v>
      </c>
      <c r="Q322" s="304">
        <f t="shared" ca="1" si="135"/>
        <v>0</v>
      </c>
      <c r="R322" s="306">
        <f t="shared" ca="1" si="136"/>
        <v>0</v>
      </c>
      <c r="S322" s="307">
        <f t="shared" ca="1" si="137"/>
        <v>4.341000000000002</v>
      </c>
      <c r="T322" s="304">
        <f t="shared" ca="1" si="117"/>
        <v>42.585210000000025</v>
      </c>
      <c r="U322" s="311">
        <f t="shared" ca="1" si="118"/>
        <v>0</v>
      </c>
      <c r="V322" s="306">
        <f t="shared" ca="1" si="119"/>
        <v>1.1602952311754837</v>
      </c>
      <c r="W322" s="304">
        <f t="shared" ca="1" si="120"/>
        <v>29.339141955767452</v>
      </c>
      <c r="Y322" s="314" t="str">
        <f t="shared" ca="1" si="138"/>
        <v/>
      </c>
      <c r="Z322" s="315" t="str">
        <f t="shared" ca="1" si="139"/>
        <v/>
      </c>
      <c r="AA322" s="316" t="str">
        <f t="shared" ca="1" si="140"/>
        <v/>
      </c>
      <c r="AC322" s="310" t="e">
        <f t="shared" ca="1" si="141"/>
        <v>#N/A</v>
      </c>
      <c r="AD322" s="323" t="e">
        <f t="shared" ca="1" si="142"/>
        <v>#N/A</v>
      </c>
      <c r="AE322" s="324" t="e">
        <f t="shared" ca="1" si="121"/>
        <v>#N/A</v>
      </c>
      <c r="AG322" s="306">
        <f t="shared" ca="1" si="143"/>
        <v>3.0115057604945781</v>
      </c>
      <c r="AH322" s="304">
        <f t="shared" ca="1" si="144"/>
        <v>-6.7067030819840694</v>
      </c>
    </row>
    <row r="323" spans="1:34" x14ac:dyDescent="0.2">
      <c r="A323" s="347">
        <f t="shared" ca="1" si="122"/>
        <v>0.1</v>
      </c>
      <c r="B323" s="304">
        <f t="shared" ca="1" si="123"/>
        <v>22.900000000000059</v>
      </c>
      <c r="D323" s="306">
        <f t="shared" ca="1" si="124"/>
        <v>-0.91224693118862921</v>
      </c>
      <c r="E323" s="307">
        <f t="shared" ca="1" si="125"/>
        <v>-3.1132347867520478</v>
      </c>
      <c r="F323" s="304">
        <f t="shared" ca="1" si="126"/>
        <v>3.2441370656780424</v>
      </c>
      <c r="G323" s="306">
        <f t="shared" ca="1" si="127"/>
        <v>11.824570487320134</v>
      </c>
      <c r="H323" s="307">
        <f t="shared" ca="1" si="128"/>
        <v>-87.784659835727254</v>
      </c>
      <c r="I323" s="304">
        <f t="shared" ca="1" si="129"/>
        <v>88.577463102551931</v>
      </c>
      <c r="J323" s="306">
        <f t="shared" ca="1" si="130"/>
        <v>624.71508772491359</v>
      </c>
      <c r="K323" s="307">
        <f t="shared" ca="1" si="131"/>
        <v>533.76758429005474</v>
      </c>
      <c r="L323" s="304">
        <f t="shared" ca="1" si="116"/>
        <v>821.69141097493969</v>
      </c>
      <c r="M323" s="306">
        <f t="shared" ca="1" si="132"/>
        <v>-1.4369025004050617</v>
      </c>
      <c r="N323" s="304">
        <f t="shared" ca="1" si="133"/>
        <v>-82.328448845005099</v>
      </c>
      <c r="P323" s="310">
        <f t="shared" ca="1" si="134"/>
        <v>23</v>
      </c>
      <c r="Q323" s="304">
        <f t="shared" ca="1" si="135"/>
        <v>0</v>
      </c>
      <c r="R323" s="306">
        <f t="shared" ca="1" si="136"/>
        <v>0</v>
      </c>
      <c r="S323" s="307">
        <f t="shared" ca="1" si="137"/>
        <v>4.341000000000002</v>
      </c>
      <c r="T323" s="304">
        <f t="shared" ca="1" si="117"/>
        <v>42.585210000000025</v>
      </c>
      <c r="U323" s="311">
        <f t="shared" ca="1" si="118"/>
        <v>0</v>
      </c>
      <c r="V323" s="306">
        <f t="shared" ca="1" si="119"/>
        <v>1.1613131692154173</v>
      </c>
      <c r="W323" s="304">
        <f t="shared" ca="1" si="120"/>
        <v>29.562301732869834</v>
      </c>
      <c r="Y323" s="314" t="str">
        <f t="shared" ca="1" si="138"/>
        <v/>
      </c>
      <c r="Z323" s="315" t="str">
        <f t="shared" ca="1" si="139"/>
        <v/>
      </c>
      <c r="AA323" s="316" t="str">
        <f t="shared" ca="1" si="140"/>
        <v/>
      </c>
      <c r="AC323" s="310" t="e">
        <f t="shared" ca="1" si="141"/>
        <v>#N/A</v>
      </c>
      <c r="AD323" s="323" t="e">
        <f t="shared" ca="1" si="142"/>
        <v>#N/A</v>
      </c>
      <c r="AE323" s="324" t="e">
        <f t="shared" ca="1" si="121"/>
        <v>#N/A</v>
      </c>
      <c r="AG323" s="306">
        <f t="shared" ca="1" si="143"/>
        <v>2.9616144559683244</v>
      </c>
      <c r="AH323" s="304">
        <f t="shared" ca="1" si="144"/>
        <v>-6.7586136732935822</v>
      </c>
    </row>
    <row r="324" spans="1:34" x14ac:dyDescent="0.2">
      <c r="A324" s="347">
        <f t="shared" ca="1" si="122"/>
        <v>0.1</v>
      </c>
      <c r="B324" s="304">
        <f t="shared" ca="1" si="123"/>
        <v>23.00000000000006</v>
      </c>
      <c r="D324" s="306">
        <f t="shared" ca="1" si="124"/>
        <v>-0.90909777805594472</v>
      </c>
      <c r="E324" s="307">
        <f t="shared" ca="1" si="125"/>
        <v>-3.0609312461172351</v>
      </c>
      <c r="F324" s="304">
        <f t="shared" ca="1" si="126"/>
        <v>3.1930798398291054</v>
      </c>
      <c r="G324" s="306">
        <f t="shared" ca="1" si="127"/>
        <v>11.73366070951454</v>
      </c>
      <c r="H324" s="307">
        <f t="shared" ca="1" si="128"/>
        <v>-88.090752960338975</v>
      </c>
      <c r="I324" s="304">
        <f t="shared" ca="1" si="129"/>
        <v>88.868777142287016</v>
      </c>
      <c r="J324" s="306">
        <f t="shared" ca="1" si="130"/>
        <v>625.89299928475532</v>
      </c>
      <c r="K324" s="307">
        <f t="shared" ca="1" si="131"/>
        <v>524.97381365025149</v>
      </c>
      <c r="L324" s="304">
        <f t="shared" ref="L324:L387" ca="1" si="145">SQRT(pos_x^2+pos_z^2)</f>
        <v>816.90853317379151</v>
      </c>
      <c r="M324" s="306">
        <f t="shared" ca="1" si="132"/>
        <v>-1.4383761088343892</v>
      </c>
      <c r="N324" s="304">
        <f t="shared" ca="1" si="133"/>
        <v>-82.412880388660469</v>
      </c>
      <c r="P324" s="310">
        <f t="shared" ca="1" si="134"/>
        <v>23</v>
      </c>
      <c r="Q324" s="304">
        <f t="shared" ca="1" si="135"/>
        <v>0</v>
      </c>
      <c r="R324" s="306">
        <f t="shared" ca="1" si="136"/>
        <v>0</v>
      </c>
      <c r="S324" s="307">
        <f t="shared" ca="1" si="137"/>
        <v>4.341000000000002</v>
      </c>
      <c r="T324" s="304">
        <f t="shared" ref="T324:T387" ca="1" si="146">m*g</f>
        <v>42.585210000000025</v>
      </c>
      <c r="U324" s="311">
        <f t="shared" ref="U324:U387" ca="1" si="147">IF(pos_xz&lt;L_rampe,Poids*COS(Beta),0)</f>
        <v>0</v>
      </c>
      <c r="V324" s="306">
        <f t="shared" ref="V324:V387" ca="1" si="148">Rho_moyen*(20000-Alt_rampe-pos_z)/(20000+Alt_rampe+pos_z)</f>
        <v>1.1623355671427102</v>
      </c>
      <c r="W324" s="304">
        <f t="shared" ref="W324:W387" ca="1" si="149">1/2*Rho*Sref*Cx*vit_xz^2</f>
        <v>29.783268358136958</v>
      </c>
      <c r="Y324" s="314" t="str">
        <f t="shared" ca="1" si="138"/>
        <v/>
      </c>
      <c r="Z324" s="315" t="str">
        <f t="shared" ca="1" si="139"/>
        <v/>
      </c>
      <c r="AA324" s="316" t="str">
        <f t="shared" ca="1" si="140"/>
        <v/>
      </c>
      <c r="AC324" s="310">
        <f t="shared" ca="1" si="141"/>
        <v>23.00000000000006</v>
      </c>
      <c r="AD324" s="323">
        <f t="shared" ca="1" si="142"/>
        <v>625.89299928475532</v>
      </c>
      <c r="AE324" s="324" t="e">
        <f t="shared" ref="AE324:AE387" ca="1" si="150">IF(t&lt;T_para, pos_z, NA())</f>
        <v>#N/A</v>
      </c>
      <c r="AG324" s="306">
        <f t="shared" ca="1" si="143"/>
        <v>2.9121754950896754</v>
      </c>
      <c r="AH324" s="304">
        <f t="shared" ca="1" si="144"/>
        <v>-6.8100211317368853</v>
      </c>
    </row>
    <row r="325" spans="1:34" x14ac:dyDescent="0.2">
      <c r="A325" s="347">
        <f t="shared" ref="A325:A388" ca="1" si="151">IF(B324+0.01&lt;=T_ini+ROUNDUP(Temps_fin_propu,0), 0.01, IF(K324&gt;0, 0.1, 0.0001))</f>
        <v>0.1</v>
      </c>
      <c r="B325" s="304">
        <f t="shared" ref="B325:B388" ca="1" si="152">B324+pas</f>
        <v>23.100000000000062</v>
      </c>
      <c r="D325" s="306">
        <f t="shared" ref="D325:D388" ca="1" si="153">IF(AND(L324&lt;L_rampe,Poussee&lt;Poids*SIN(M324)),0,(-W324+Poussee)/m*COS(M324)-U324/m*SIN(M324))</f>
        <v>-0.9058721138122876</v>
      </c>
      <c r="E325" s="307">
        <f t="shared" ref="E325:E388" ca="1" si="154">IF(AND(L324&lt;L_rampe,Poussee&lt;Poids*SIN(M324)),0,(-W324+Poussee)/m*SIN(M324)+U324/m*COS(M324)-Poids/m)</f>
        <v>-3.009142316532877</v>
      </c>
      <c r="F325" s="304">
        <f t="shared" ref="F325:F388" ca="1" si="155">SQRT(acc_x^2+acc_z^2)</f>
        <v>3.1425374727648978</v>
      </c>
      <c r="G325" s="306">
        <f t="shared" ref="G325:G388" ca="1" si="156">G324+acc_x*pas</f>
        <v>11.643073498133312</v>
      </c>
      <c r="H325" s="307">
        <f t="shared" ref="H325:H388" ca="1" si="157">H324+acc_z*pas</f>
        <v>-88.391667191992269</v>
      </c>
      <c r="I325" s="304">
        <f t="shared" ref="I325:I388" ca="1" si="158">SQRT(vit_x^2+vit_z^2)</f>
        <v>89.155190479651026</v>
      </c>
      <c r="J325" s="306">
        <f t="shared" ref="J325:J388" ca="1" si="159">J324+0.5*(vit_x+G324)*pas*(K324&gt;=0)</f>
        <v>627.0618359951377</v>
      </c>
      <c r="K325" s="307">
        <f t="shared" ref="K325:K388" ca="1" si="160">K324+0.5*(vit_z+H324)*pas</f>
        <v>516.14969264263493</v>
      </c>
      <c r="L325" s="304">
        <f t="shared" ca="1" si="145"/>
        <v>812.1681176804957</v>
      </c>
      <c r="M325" s="306">
        <f t="shared" ref="M325:M388" ca="1" si="161">IF(AND(L324&gt;L_rampe,G325&gt;0),ATAN2(G325,H325),$M$4)</f>
        <v>-1.4398289122416932</v>
      </c>
      <c r="N325" s="304">
        <f t="shared" ref="N325:N388" ca="1" si="162">DEGREES(Beta)</f>
        <v>-82.496119892361207</v>
      </c>
      <c r="P325" s="310">
        <f t="shared" ref="P325:P388" ca="1" si="163">MATCH(t-pas/2-T_ini,CdP_t)</f>
        <v>23</v>
      </c>
      <c r="Q325" s="304">
        <f t="shared" ref="Q325:Q388" ca="1" si="164">(INDEX(CdP,2,i_P+1)-INDEX(CdP,2,i_P+0))/(INDEX(CdP,1,i_P+1)-INDEX(CdP,1,i_P+0))*(t-pas/2-T_ini-INDEX(CdP,1,i_P+0))+INDEX(CdP,2,i_P+0)</f>
        <v>0</v>
      </c>
      <c r="R325" s="306">
        <f t="shared" ref="R325:R388" ca="1" si="165">Poussee/(g*ISP)</f>
        <v>0</v>
      </c>
      <c r="S325" s="307">
        <f t="shared" ref="S325:S388" ca="1" si="166">S324-Débit*pas</f>
        <v>4.341000000000002</v>
      </c>
      <c r="T325" s="304">
        <f t="shared" ca="1" si="146"/>
        <v>42.585210000000025</v>
      </c>
      <c r="U325" s="311">
        <f t="shared" ca="1" si="147"/>
        <v>0</v>
      </c>
      <c r="V325" s="306">
        <f t="shared" ca="1" si="148"/>
        <v>1.1633623747184911</v>
      </c>
      <c r="W325" s="304">
        <f t="shared" ca="1" si="149"/>
        <v>30.002033882938139</v>
      </c>
      <c r="Y325" s="314" t="str">
        <f t="shared" ref="Y325:Y388" ca="1" si="167">IF(AND(pos_z&lt;=0,K324&gt;0),"Impact balistique","") &amp; IF(AND(H326&lt;0,vit_z&gt;=0),"Apogée","") &amp; IF(AND(Poussee=0,Q324&gt;0),"Fin de propulsion","") &amp; IF(AND(L326&gt;L_rampe,pos_xz&lt;=L_rampe),"Sortie de rampe","")</f>
        <v/>
      </c>
      <c r="Z325" s="315" t="str">
        <f t="shared" ref="Z325:Z388" ca="1" si="168">IF(ABS(t-T_para)&lt;pas/2,"Para","")</f>
        <v/>
      </c>
      <c r="AA325" s="316" t="str">
        <f t="shared" ref="AA325:AA388" ca="1" si="169">IF(ABS(t-T_satellite)&lt;pas/2,"Satellite","")</f>
        <v/>
      </c>
      <c r="AC325" s="310" t="e">
        <f t="shared" ref="AC325:AC388" ca="1" si="170">IF(ABS(t-ROUND(t,0))&lt;0.001,t,NA())</f>
        <v>#N/A</v>
      </c>
      <c r="AD325" s="323" t="e">
        <f t="shared" ref="AD325:AD388" ca="1" si="171">IF(ABS(t-ROUND(t,0))&lt;0.001,pos_x,NA())</f>
        <v>#N/A</v>
      </c>
      <c r="AE325" s="324" t="e">
        <f t="shared" ca="1" si="150"/>
        <v>#N/A</v>
      </c>
      <c r="AG325" s="306">
        <f t="shared" ref="AG325:AG388" ca="1" si="172">IF(AND(L324&lt;L_rampe,Poussee&lt;Poids*SIN(M324)),0,(-W324+Poussee)/m-Poids*SIN(M324)/m)</f>
        <v>2.8631925022566769</v>
      </c>
      <c r="AH325" s="304">
        <f t="shared" ref="AH325:AH388" ca="1" si="173">IF(AND(L324&lt;L_rampe,Poussee&lt;Poids*SIN(M324)), g*SIN(M324), (-W324+Poussee)/m)</f>
        <v>-6.8609233720656402</v>
      </c>
    </row>
    <row r="326" spans="1:34" x14ac:dyDescent="0.2">
      <c r="A326" s="347">
        <f t="shared" ca="1" si="151"/>
        <v>0.1</v>
      </c>
      <c r="B326" s="304">
        <f t="shared" ca="1" si="152"/>
        <v>23.200000000000063</v>
      </c>
      <c r="D326" s="306">
        <f t="shared" ca="1" si="153"/>
        <v>-0.90257212807985987</v>
      </c>
      <c r="E326" s="307">
        <f t="shared" ca="1" si="154"/>
        <v>-2.957869832240263</v>
      </c>
      <c r="F326" s="304">
        <f t="shared" ca="1" si="155"/>
        <v>3.0925119871818842</v>
      </c>
      <c r="G326" s="306">
        <f t="shared" ca="1" si="156"/>
        <v>11.552816285325326</v>
      </c>
      <c r="H326" s="307">
        <f t="shared" ca="1" si="157"/>
        <v>-88.687454175216288</v>
      </c>
      <c r="I326" s="304">
        <f t="shared" ca="1" si="158"/>
        <v>89.436749114687572</v>
      </c>
      <c r="J326" s="306">
        <f t="shared" ca="1" si="159"/>
        <v>628.22163048431059</v>
      </c>
      <c r="K326" s="307">
        <f t="shared" ca="1" si="160"/>
        <v>507.29573657427449</v>
      </c>
      <c r="L326" s="304">
        <f t="shared" ca="1" si="145"/>
        <v>807.47221707920164</v>
      </c>
      <c r="M326" s="306">
        <f t="shared" ca="1" si="161"/>
        <v>-1.4412613447145102</v>
      </c>
      <c r="N326" s="304">
        <f t="shared" ca="1" si="162"/>
        <v>-82.578192227491115</v>
      </c>
      <c r="P326" s="310">
        <f t="shared" ca="1" si="163"/>
        <v>23</v>
      </c>
      <c r="Q326" s="304">
        <f t="shared" ca="1" si="164"/>
        <v>0</v>
      </c>
      <c r="R326" s="306">
        <f t="shared" ca="1" si="165"/>
        <v>0</v>
      </c>
      <c r="S326" s="307">
        <f t="shared" ca="1" si="166"/>
        <v>4.341000000000002</v>
      </c>
      <c r="T326" s="304">
        <f t="shared" ca="1" si="146"/>
        <v>42.585210000000025</v>
      </c>
      <c r="U326" s="311">
        <f t="shared" ca="1" si="147"/>
        <v>0</v>
      </c>
      <c r="V326" s="306">
        <f t="shared" ca="1" si="148"/>
        <v>1.1643935421533749</v>
      </c>
      <c r="W326" s="304">
        <f t="shared" ca="1" si="149"/>
        <v>30.218591434892513</v>
      </c>
      <c r="Y326" s="314" t="str">
        <f t="shared" ca="1" si="167"/>
        <v/>
      </c>
      <c r="Z326" s="315" t="str">
        <f t="shared" ca="1" si="168"/>
        <v/>
      </c>
      <c r="AA326" s="316" t="str">
        <f t="shared" ca="1" si="169"/>
        <v/>
      </c>
      <c r="AC326" s="310" t="e">
        <f t="shared" ca="1" si="170"/>
        <v>#N/A</v>
      </c>
      <c r="AD326" s="323" t="e">
        <f t="shared" ca="1" si="171"/>
        <v>#N/A</v>
      </c>
      <c r="AE326" s="324" t="e">
        <f t="shared" ca="1" si="150"/>
        <v>#N/A</v>
      </c>
      <c r="AG326" s="306">
        <f t="shared" ca="1" si="172"/>
        <v>2.8146687908349053</v>
      </c>
      <c r="AH326" s="304">
        <f t="shared" ca="1" si="173"/>
        <v>-6.911318563220024</v>
      </c>
    </row>
    <row r="327" spans="1:34" x14ac:dyDescent="0.2">
      <c r="A327" s="347">
        <f t="shared" ca="1" si="151"/>
        <v>0.1</v>
      </c>
      <c r="B327" s="304">
        <f t="shared" ca="1" si="152"/>
        <v>23.300000000000065</v>
      </c>
      <c r="D327" s="306">
        <f t="shared" ca="1" si="153"/>
        <v>-0.89919998988981364</v>
      </c>
      <c r="E327" s="307">
        <f t="shared" ca="1" si="154"/>
        <v>-2.9071153761870772</v>
      </c>
      <c r="F327" s="304">
        <f t="shared" ca="1" si="155"/>
        <v>3.0430051646819751</v>
      </c>
      <c r="G327" s="306">
        <f t="shared" ca="1" si="156"/>
        <v>11.462896286336345</v>
      </c>
      <c r="H327" s="307">
        <f t="shared" ca="1" si="157"/>
        <v>-88.978165712834993</v>
      </c>
      <c r="I327" s="304">
        <f t="shared" ca="1" si="158"/>
        <v>89.713499345929151</v>
      </c>
      <c r="J327" s="306">
        <f t="shared" ca="1" si="159"/>
        <v>629.37241611289369</v>
      </c>
      <c r="K327" s="307">
        <f t="shared" ca="1" si="160"/>
        <v>498.4124555798719</v>
      </c>
      <c r="L327" s="304">
        <f t="shared" ca="1" si="145"/>
        <v>802.8229032862348</v>
      </c>
      <c r="M327" s="306">
        <f t="shared" ca="1" si="161"/>
        <v>-1.4426738276738693</v>
      </c>
      <c r="N327" s="304">
        <f t="shared" ca="1" si="162"/>
        <v>-82.659121539696542</v>
      </c>
      <c r="P327" s="310">
        <f t="shared" ca="1" si="163"/>
        <v>23</v>
      </c>
      <c r="Q327" s="304">
        <f t="shared" ca="1" si="164"/>
        <v>0</v>
      </c>
      <c r="R327" s="306">
        <f t="shared" ca="1" si="165"/>
        <v>0</v>
      </c>
      <c r="S327" s="307">
        <f t="shared" ca="1" si="166"/>
        <v>4.341000000000002</v>
      </c>
      <c r="T327" s="304">
        <f t="shared" ca="1" si="146"/>
        <v>42.585210000000025</v>
      </c>
      <c r="U327" s="311">
        <f t="shared" ca="1" si="147"/>
        <v>0</v>
      </c>
      <c r="V327" s="306">
        <f t="shared" ca="1" si="148"/>
        <v>1.1654290201098823</v>
      </c>
      <c r="W327" s="304">
        <f t="shared" ca="1" si="149"/>
        <v>30.432935190715856</v>
      </c>
      <c r="Y327" s="314" t="str">
        <f t="shared" ca="1" si="167"/>
        <v/>
      </c>
      <c r="Z327" s="315" t="str">
        <f t="shared" ca="1" si="168"/>
        <v/>
      </c>
      <c r="AA327" s="316" t="str">
        <f t="shared" ca="1" si="169"/>
        <v/>
      </c>
      <c r="AC327" s="310" t="e">
        <f t="shared" ca="1" si="170"/>
        <v>#N/A</v>
      </c>
      <c r="AD327" s="323" t="e">
        <f t="shared" ca="1" si="171"/>
        <v>#N/A</v>
      </c>
      <c r="AE327" s="324" t="e">
        <f t="shared" ca="1" si="150"/>
        <v>#N/A</v>
      </c>
      <c r="AG327" s="306">
        <f t="shared" ca="1" si="172"/>
        <v>2.7666073719137465</v>
      </c>
      <c r="AH327" s="304">
        <f t="shared" ca="1" si="173"/>
        <v>-6.9612051220669198</v>
      </c>
    </row>
    <row r="328" spans="1:34" x14ac:dyDescent="0.2">
      <c r="A328" s="347">
        <f t="shared" ca="1" si="151"/>
        <v>0.1</v>
      </c>
      <c r="B328" s="304">
        <f t="shared" ca="1" si="152"/>
        <v>23.400000000000066</v>
      </c>
      <c r="D328" s="306">
        <f t="shared" ca="1" si="153"/>
        <v>-0.89575784694363192</v>
      </c>
      <c r="E328" s="307">
        <f t="shared" ca="1" si="154"/>
        <v>-2.8568802863611609</v>
      </c>
      <c r="F328" s="304">
        <f t="shared" ca="1" si="155"/>
        <v>2.9940185522070699</v>
      </c>
      <c r="G328" s="306">
        <f t="shared" ca="1" si="156"/>
        <v>11.373320501641983</v>
      </c>
      <c r="H328" s="307">
        <f t="shared" ca="1" si="157"/>
        <v>-89.26385374147111</v>
      </c>
      <c r="I328" s="304">
        <f t="shared" ca="1" si="158"/>
        <v>89.98548774114532</v>
      </c>
      <c r="J328" s="306">
        <f t="shared" ca="1" si="159"/>
        <v>630.51422695229257</v>
      </c>
      <c r="K328" s="307">
        <f t="shared" ca="1" si="160"/>
        <v>489.50035460715662</v>
      </c>
      <c r="L328" s="304">
        <f t="shared" ca="1" si="145"/>
        <v>798.22226700949602</v>
      </c>
      <c r="M328" s="306">
        <f t="shared" ca="1" si="161"/>
        <v>-1.4440667703327923</v>
      </c>
      <c r="N328" s="304">
        <f t="shared" ca="1" si="162"/>
        <v>-82.73893127515656</v>
      </c>
      <c r="P328" s="310">
        <f t="shared" ca="1" si="163"/>
        <v>23</v>
      </c>
      <c r="Q328" s="304">
        <f t="shared" ca="1" si="164"/>
        <v>0</v>
      </c>
      <c r="R328" s="306">
        <f t="shared" ca="1" si="165"/>
        <v>0</v>
      </c>
      <c r="S328" s="307">
        <f t="shared" ca="1" si="166"/>
        <v>4.341000000000002</v>
      </c>
      <c r="T328" s="304">
        <f t="shared" ca="1" si="146"/>
        <v>42.585210000000025</v>
      </c>
      <c r="U328" s="311">
        <f t="shared" ca="1" si="147"/>
        <v>0</v>
      </c>
      <c r="V328" s="306">
        <f t="shared" ca="1" si="148"/>
        <v>1.1664687597046324</v>
      </c>
      <c r="W328" s="304">
        <f t="shared" ca="1" si="149"/>
        <v>30.645060349124169</v>
      </c>
      <c r="Y328" s="314" t="str">
        <f t="shared" ca="1" si="167"/>
        <v/>
      </c>
      <c r="Z328" s="315" t="str">
        <f t="shared" ca="1" si="168"/>
        <v/>
      </c>
      <c r="AA328" s="316" t="str">
        <f t="shared" ca="1" si="169"/>
        <v/>
      </c>
      <c r="AC328" s="310" t="e">
        <f t="shared" ca="1" si="170"/>
        <v>#N/A</v>
      </c>
      <c r="AD328" s="323" t="e">
        <f t="shared" ca="1" si="171"/>
        <v>#N/A</v>
      </c>
      <c r="AE328" s="324" t="e">
        <f t="shared" ca="1" si="150"/>
        <v>#N/A</v>
      </c>
      <c r="AG328" s="306">
        <f t="shared" ca="1" si="172"/>
        <v>2.7190109629299259</v>
      </c>
      <c r="AH328" s="304">
        <f t="shared" ca="1" si="173"/>
        <v>-7.0105817071448611</v>
      </c>
    </row>
    <row r="329" spans="1:34" x14ac:dyDescent="0.2">
      <c r="A329" s="347">
        <f t="shared" ca="1" si="151"/>
        <v>0.1</v>
      </c>
      <c r="B329" s="304">
        <f t="shared" ca="1" si="152"/>
        <v>23.500000000000068</v>
      </c>
      <c r="D329" s="306">
        <f t="shared" ca="1" si="153"/>
        <v>-0.89224782491885346</v>
      </c>
      <c r="E329" s="307">
        <f t="shared" ca="1" si="154"/>
        <v>-2.8071656621121512</v>
      </c>
      <c r="F329" s="304">
        <f t="shared" ca="1" si="155"/>
        <v>2.9455534684697167</v>
      </c>
      <c r="G329" s="306">
        <f t="shared" ca="1" si="156"/>
        <v>11.284095719150097</v>
      </c>
      <c r="H329" s="307">
        <f t="shared" ca="1" si="157"/>
        <v>-89.544570307682321</v>
      </c>
      <c r="I329" s="304">
        <f t="shared" ca="1" si="158"/>
        <v>90.252761108934521</v>
      </c>
      <c r="J329" s="306">
        <f t="shared" ca="1" si="159"/>
        <v>631.64709776333223</v>
      </c>
      <c r="K329" s="307">
        <f t="shared" ca="1" si="160"/>
        <v>480.55993340469894</v>
      </c>
      <c r="L329" s="304">
        <f t="shared" ca="1" si="145"/>
        <v>793.6724171260895</v>
      </c>
      <c r="M329" s="306">
        <f t="shared" ca="1" si="161"/>
        <v>-1.4454405701353674</v>
      </c>
      <c r="N329" s="304">
        <f t="shared" ca="1" si="162"/>
        <v>-82.817644205740024</v>
      </c>
      <c r="P329" s="310">
        <f t="shared" ca="1" si="163"/>
        <v>23</v>
      </c>
      <c r="Q329" s="304">
        <f t="shared" ca="1" si="164"/>
        <v>0</v>
      </c>
      <c r="R329" s="306">
        <f t="shared" ca="1" si="165"/>
        <v>0</v>
      </c>
      <c r="S329" s="307">
        <f t="shared" ca="1" si="166"/>
        <v>4.341000000000002</v>
      </c>
      <c r="T329" s="304">
        <f t="shared" ca="1" si="146"/>
        <v>42.585210000000025</v>
      </c>
      <c r="U329" s="311">
        <f t="shared" ca="1" si="147"/>
        <v>0</v>
      </c>
      <c r="V329" s="306">
        <f t="shared" ca="1" si="148"/>
        <v>1.1675127125103075</v>
      </c>
      <c r="W329" s="304">
        <f t="shared" ca="1" si="149"/>
        <v>30.854963103820879</v>
      </c>
      <c r="Y329" s="314" t="str">
        <f t="shared" ca="1" si="167"/>
        <v/>
      </c>
      <c r="Z329" s="315" t="str">
        <f t="shared" ca="1" si="168"/>
        <v/>
      </c>
      <c r="AA329" s="316" t="str">
        <f t="shared" ca="1" si="169"/>
        <v/>
      </c>
      <c r="AC329" s="310" t="e">
        <f t="shared" ca="1" si="170"/>
        <v>#N/A</v>
      </c>
      <c r="AD329" s="323" t="e">
        <f t="shared" ca="1" si="171"/>
        <v>#N/A</v>
      </c>
      <c r="AE329" s="324" t="e">
        <f t="shared" ca="1" si="150"/>
        <v>#N/A</v>
      </c>
      <c r="AG329" s="306">
        <f t="shared" ca="1" si="172"/>
        <v>2.6718819961591267</v>
      </c>
      <c r="AH329" s="304">
        <f t="shared" ca="1" si="173"/>
        <v>-7.0594472124220582</v>
      </c>
    </row>
    <row r="330" spans="1:34" x14ac:dyDescent="0.2">
      <c r="A330" s="347">
        <f t="shared" ca="1" si="151"/>
        <v>0.1</v>
      </c>
      <c r="B330" s="304">
        <f t="shared" ca="1" si="152"/>
        <v>23.600000000000069</v>
      </c>
      <c r="D330" s="306">
        <f t="shared" ca="1" si="153"/>
        <v>-0.88867202681806423</v>
      </c>
      <c r="E330" s="307">
        <f t="shared" ca="1" si="154"/>
        <v>-2.757972370454671</v>
      </c>
      <c r="F330" s="304">
        <f t="shared" ca="1" si="155"/>
        <v>2.8976110103739394</v>
      </c>
      <c r="G330" s="306">
        <f t="shared" ca="1" si="156"/>
        <v>11.195228516468291</v>
      </c>
      <c r="H330" s="307">
        <f t="shared" ca="1" si="157"/>
        <v>-89.820367544727787</v>
      </c>
      <c r="I330" s="304">
        <f t="shared" ca="1" si="158"/>
        <v>90.515366471146393</v>
      </c>
      <c r="J330" s="306">
        <f t="shared" ca="1" si="159"/>
        <v>632.77106397511318</v>
      </c>
      <c r="K330" s="307">
        <f t="shared" ca="1" si="160"/>
        <v>471.59168651207841</v>
      </c>
      <c r="L330" s="304">
        <f t="shared" ca="1" si="145"/>
        <v>789.1754799735628</v>
      </c>
      <c r="M330" s="306">
        <f t="shared" ca="1" si="161"/>
        <v>-1.4467956131773414</v>
      </c>
      <c r="N330" s="304">
        <f t="shared" ca="1" si="162"/>
        <v>-82.89528245310369</v>
      </c>
      <c r="P330" s="310">
        <f t="shared" ca="1" si="163"/>
        <v>23</v>
      </c>
      <c r="Q330" s="304">
        <f t="shared" ca="1" si="164"/>
        <v>0</v>
      </c>
      <c r="R330" s="306">
        <f t="shared" ca="1" si="165"/>
        <v>0</v>
      </c>
      <c r="S330" s="307">
        <f t="shared" ca="1" si="166"/>
        <v>4.341000000000002</v>
      </c>
      <c r="T330" s="304">
        <f t="shared" ca="1" si="146"/>
        <v>42.585210000000025</v>
      </c>
      <c r="U330" s="311">
        <f t="shared" ca="1" si="147"/>
        <v>0</v>
      </c>
      <c r="V330" s="306">
        <f t="shared" ca="1" si="148"/>
        <v>1.1685608305574093</v>
      </c>
      <c r="W330" s="304">
        <f t="shared" ca="1" si="149"/>
        <v>31.062640616593107</v>
      </c>
      <c r="Y330" s="314" t="str">
        <f t="shared" ca="1" si="167"/>
        <v/>
      </c>
      <c r="Z330" s="315" t="str">
        <f t="shared" ca="1" si="168"/>
        <v/>
      </c>
      <c r="AA330" s="316" t="str">
        <f t="shared" ca="1" si="169"/>
        <v/>
      </c>
      <c r="AC330" s="310" t="e">
        <f t="shared" ca="1" si="170"/>
        <v>#N/A</v>
      </c>
      <c r="AD330" s="323" t="e">
        <f t="shared" ca="1" si="171"/>
        <v>#N/A</v>
      </c>
      <c r="AE330" s="324" t="e">
        <f t="shared" ca="1" si="150"/>
        <v>#N/A</v>
      </c>
      <c r="AG330" s="306">
        <f t="shared" ca="1" si="172"/>
        <v>2.6252226270761971</v>
      </c>
      <c r="AH330" s="304">
        <f t="shared" ca="1" si="173"/>
        <v>-7.1078007610736842</v>
      </c>
    </row>
    <row r="331" spans="1:34" x14ac:dyDescent="0.2">
      <c r="A331" s="347">
        <f t="shared" ca="1" si="151"/>
        <v>0.1</v>
      </c>
      <c r="B331" s="304">
        <f t="shared" ca="1" si="152"/>
        <v>23.70000000000007</v>
      </c>
      <c r="D331" s="306">
        <f t="shared" ca="1" si="153"/>
        <v>-0.88503253236005452</v>
      </c>
      <c r="E331" s="307">
        <f t="shared" ca="1" si="154"/>
        <v>-2.7093010523469969</v>
      </c>
      <c r="F331" s="304">
        <f t="shared" ca="1" si="155"/>
        <v>2.8501920594205923</v>
      </c>
      <c r="G331" s="306">
        <f t="shared" ca="1" si="156"/>
        <v>11.106725263232285</v>
      </c>
      <c r="H331" s="307">
        <f t="shared" ca="1" si="157"/>
        <v>-90.091297649962485</v>
      </c>
      <c r="I331" s="304">
        <f t="shared" ca="1" si="158"/>
        <v>90.773351036122151</v>
      </c>
      <c r="J331" s="306">
        <f t="shared" ca="1" si="159"/>
        <v>633.88616166409815</v>
      </c>
      <c r="K331" s="307">
        <f t="shared" ca="1" si="160"/>
        <v>462.59610325234388</v>
      </c>
      <c r="L331" s="304">
        <f t="shared" ca="1" si="145"/>
        <v>784.73359855016804</v>
      </c>
      <c r="M331" s="306">
        <f t="shared" ca="1" si="161"/>
        <v>-1.4481322746091119</v>
      </c>
      <c r="N331" s="304">
        <f t="shared" ca="1" si="162"/>
        <v>-82.971867511782051</v>
      </c>
      <c r="P331" s="310">
        <f t="shared" ca="1" si="163"/>
        <v>23</v>
      </c>
      <c r="Q331" s="304">
        <f t="shared" ca="1" si="164"/>
        <v>0</v>
      </c>
      <c r="R331" s="306">
        <f t="shared" ca="1" si="165"/>
        <v>0</v>
      </c>
      <c r="S331" s="307">
        <f t="shared" ca="1" si="166"/>
        <v>4.341000000000002</v>
      </c>
      <c r="T331" s="304">
        <f t="shared" ca="1" si="146"/>
        <v>42.585210000000025</v>
      </c>
      <c r="U331" s="311">
        <f t="shared" ca="1" si="147"/>
        <v>0</v>
      </c>
      <c r="V331" s="306">
        <f t="shared" ca="1" si="148"/>
        <v>1.1696130663357958</v>
      </c>
      <c r="W331" s="304">
        <f t="shared" ca="1" si="149"/>
        <v>31.268090990541037</v>
      </c>
      <c r="Y331" s="314" t="str">
        <f t="shared" ca="1" si="167"/>
        <v/>
      </c>
      <c r="Z331" s="315" t="str">
        <f t="shared" ca="1" si="168"/>
        <v/>
      </c>
      <c r="AA331" s="316" t="str">
        <f t="shared" ca="1" si="169"/>
        <v/>
      </c>
      <c r="AC331" s="310" t="e">
        <f t="shared" ca="1" si="170"/>
        <v>#N/A</v>
      </c>
      <c r="AD331" s="323" t="e">
        <f t="shared" ca="1" si="171"/>
        <v>#N/A</v>
      </c>
      <c r="AE331" s="324" t="e">
        <f t="shared" ca="1" si="150"/>
        <v>#N/A</v>
      </c>
      <c r="AG331" s="306">
        <f t="shared" ca="1" si="172"/>
        <v>2.5790347425844002</v>
      </c>
      <c r="AH331" s="304">
        <f t="shared" ca="1" si="173"/>
        <v>-7.1556416992842875</v>
      </c>
    </row>
    <row r="332" spans="1:34" x14ac:dyDescent="0.2">
      <c r="A332" s="347">
        <f t="shared" ca="1" si="151"/>
        <v>0.1</v>
      </c>
      <c r="B332" s="304">
        <f t="shared" ca="1" si="152"/>
        <v>23.800000000000072</v>
      </c>
      <c r="D332" s="306">
        <f t="shared" ca="1" si="153"/>
        <v>-0.88133139741210365</v>
      </c>
      <c r="E332" s="307">
        <f t="shared" ca="1" si="154"/>
        <v>-2.6611521289395679</v>
      </c>
      <c r="F332" s="304">
        <f t="shared" ca="1" si="155"/>
        <v>2.8032972880920006</v>
      </c>
      <c r="G332" s="306">
        <f t="shared" ca="1" si="156"/>
        <v>11.018592123491075</v>
      </c>
      <c r="H332" s="307">
        <f t="shared" ca="1" si="157"/>
        <v>-90.357412862856435</v>
      </c>
      <c r="I332" s="304">
        <f t="shared" ca="1" si="158"/>
        <v>91.026762172739907</v>
      </c>
      <c r="J332" s="306">
        <f t="shared" ca="1" si="159"/>
        <v>634.99242753343435</v>
      </c>
      <c r="K332" s="307">
        <f t="shared" ca="1" si="160"/>
        <v>453.57366772670292</v>
      </c>
      <c r="L332" s="304">
        <f t="shared" ca="1" si="145"/>
        <v>780.34893161960395</v>
      </c>
      <c r="M332" s="306">
        <f t="shared" ca="1" si="161"/>
        <v>-1.4494509190219691</v>
      </c>
      <c r="N332" s="304">
        <f t="shared" ca="1" si="162"/>
        <v>-83.047420271317279</v>
      </c>
      <c r="P332" s="310">
        <f t="shared" ca="1" si="163"/>
        <v>23</v>
      </c>
      <c r="Q332" s="304">
        <f t="shared" ca="1" si="164"/>
        <v>0</v>
      </c>
      <c r="R332" s="306">
        <f t="shared" ca="1" si="165"/>
        <v>0</v>
      </c>
      <c r="S332" s="307">
        <f t="shared" ca="1" si="166"/>
        <v>4.341000000000002</v>
      </c>
      <c r="T332" s="304">
        <f t="shared" ca="1" si="146"/>
        <v>42.585210000000025</v>
      </c>
      <c r="U332" s="311">
        <f t="shared" ca="1" si="147"/>
        <v>0</v>
      </c>
      <c r="V332" s="306">
        <f t="shared" ca="1" si="148"/>
        <v>1.1706693727960193</v>
      </c>
      <c r="W332" s="304">
        <f t="shared" ca="1" si="149"/>
        <v>31.471313243463634</v>
      </c>
      <c r="Y332" s="314" t="str">
        <f t="shared" ca="1" si="167"/>
        <v/>
      </c>
      <c r="Z332" s="315" t="str">
        <f t="shared" ca="1" si="168"/>
        <v/>
      </c>
      <c r="AA332" s="316" t="str">
        <f t="shared" ca="1" si="169"/>
        <v/>
      </c>
      <c r="AC332" s="310" t="e">
        <f t="shared" ca="1" si="170"/>
        <v>#N/A</v>
      </c>
      <c r="AD332" s="323" t="e">
        <f t="shared" ca="1" si="171"/>
        <v>#N/A</v>
      </c>
      <c r="AE332" s="324" t="e">
        <f t="shared" ca="1" si="150"/>
        <v>#N/A</v>
      </c>
      <c r="AG332" s="306">
        <f t="shared" ca="1" si="172"/>
        <v>2.533319969114066</v>
      </c>
      <c r="AH332" s="304">
        <f t="shared" ca="1" si="173"/>
        <v>-7.2029695900808619</v>
      </c>
    </row>
    <row r="333" spans="1:34" x14ac:dyDescent="0.2">
      <c r="A333" s="347">
        <f t="shared" ca="1" si="151"/>
        <v>0.1</v>
      </c>
      <c r="B333" s="304">
        <f t="shared" ca="1" si="152"/>
        <v>23.900000000000073</v>
      </c>
      <c r="D333" s="306">
        <f t="shared" ca="1" si="153"/>
        <v>-0.87757065346226215</v>
      </c>
      <c r="E333" s="307">
        <f t="shared" ca="1" si="154"/>
        <v>-2.6135258077877843</v>
      </c>
      <c r="F333" s="304">
        <f t="shared" ca="1" si="155"/>
        <v>2.7569271662107746</v>
      </c>
      <c r="G333" s="306">
        <f t="shared" ca="1" si="156"/>
        <v>10.930835058144849</v>
      </c>
      <c r="H333" s="307">
        <f t="shared" ca="1" si="157"/>
        <v>-90.618765443635212</v>
      </c>
      <c r="I333" s="304">
        <f t="shared" ca="1" si="158"/>
        <v>91.275647385252455</v>
      </c>
      <c r="J333" s="306">
        <f t="shared" ca="1" si="159"/>
        <v>636.0898988925162</v>
      </c>
      <c r="K333" s="307">
        <f t="shared" ca="1" si="160"/>
        <v>444.52485881137835</v>
      </c>
      <c r="L333" s="304">
        <f t="shared" ca="1" si="145"/>
        <v>776.02365271579663</v>
      </c>
      <c r="M333" s="306">
        <f t="shared" ca="1" si="161"/>
        <v>-1.4507519008183796</v>
      </c>
      <c r="N333" s="304">
        <f t="shared" ca="1" si="162"/>
        <v>-83.121961037474946</v>
      </c>
      <c r="P333" s="310">
        <f t="shared" ca="1" si="163"/>
        <v>23</v>
      </c>
      <c r="Q333" s="304">
        <f t="shared" ca="1" si="164"/>
        <v>0</v>
      </c>
      <c r="R333" s="306">
        <f t="shared" ca="1" si="165"/>
        <v>0</v>
      </c>
      <c r="S333" s="307">
        <f t="shared" ca="1" si="166"/>
        <v>4.341000000000002</v>
      </c>
      <c r="T333" s="304">
        <f t="shared" ca="1" si="146"/>
        <v>42.585210000000025</v>
      </c>
      <c r="U333" s="311">
        <f t="shared" ca="1" si="147"/>
        <v>0</v>
      </c>
      <c r="V333" s="306">
        <f t="shared" ca="1" si="148"/>
        <v>1.171729703350455</v>
      </c>
      <c r="W333" s="304">
        <f t="shared" ca="1" si="149"/>
        <v>31.672307281422107</v>
      </c>
      <c r="Y333" s="314" t="str">
        <f t="shared" ca="1" si="167"/>
        <v/>
      </c>
      <c r="Z333" s="315" t="str">
        <f t="shared" ca="1" si="168"/>
        <v/>
      </c>
      <c r="AA333" s="316" t="str">
        <f t="shared" ca="1" si="169"/>
        <v/>
      </c>
      <c r="AC333" s="310" t="e">
        <f t="shared" ca="1" si="170"/>
        <v>#N/A</v>
      </c>
      <c r="AD333" s="323" t="e">
        <f t="shared" ca="1" si="171"/>
        <v>#N/A</v>
      </c>
      <c r="AE333" s="324" t="e">
        <f t="shared" ca="1" si="150"/>
        <v>#N/A</v>
      </c>
      <c r="AG333" s="306">
        <f t="shared" ca="1" si="172"/>
        <v>2.488079680590797</v>
      </c>
      <c r="AH333" s="304">
        <f t="shared" ca="1" si="173"/>
        <v>-7.2497842072019392</v>
      </c>
    </row>
    <row r="334" spans="1:34" x14ac:dyDescent="0.2">
      <c r="A334" s="347">
        <f t="shared" ca="1" si="151"/>
        <v>0.1</v>
      </c>
      <c r="B334" s="304">
        <f t="shared" ca="1" si="152"/>
        <v>24.000000000000075</v>
      </c>
      <c r="D334" s="306">
        <f t="shared" ca="1" si="153"/>
        <v>-0.87375230713056029</v>
      </c>
      <c r="E334" s="307">
        <f t="shared" ca="1" si="154"/>
        <v>-2.5664220890240665</v>
      </c>
      <c r="F334" s="304">
        <f t="shared" ca="1" si="155"/>
        <v>2.7110819672681661</v>
      </c>
      <c r="G334" s="306">
        <f t="shared" ca="1" si="156"/>
        <v>10.843459827431793</v>
      </c>
      <c r="H334" s="307">
        <f t="shared" ca="1" si="157"/>
        <v>-90.875407652537618</v>
      </c>
      <c r="I334" s="304">
        <f t="shared" ca="1" si="158"/>
        <v>91.520054288904461</v>
      </c>
      <c r="J334" s="306">
        <f t="shared" ca="1" si="159"/>
        <v>637.17861363679503</v>
      </c>
      <c r="K334" s="307">
        <f t="shared" ca="1" si="160"/>
        <v>435.45015015656969</v>
      </c>
      <c r="L334" s="304">
        <f t="shared" ca="1" si="145"/>
        <v>771.7599490434103</v>
      </c>
      <c r="M334" s="306">
        <f t="shared" ca="1" si="161"/>
        <v>-1.4520355645670644</v>
      </c>
      <c r="N334" s="304">
        <f t="shared" ca="1" si="162"/>
        <v>-83.195509552588533</v>
      </c>
      <c r="P334" s="310">
        <f t="shared" ca="1" si="163"/>
        <v>23</v>
      </c>
      <c r="Q334" s="304">
        <f t="shared" ca="1" si="164"/>
        <v>0</v>
      </c>
      <c r="R334" s="306">
        <f t="shared" ca="1" si="165"/>
        <v>0</v>
      </c>
      <c r="S334" s="307">
        <f t="shared" ca="1" si="166"/>
        <v>4.341000000000002</v>
      </c>
      <c r="T334" s="304">
        <f t="shared" ca="1" si="146"/>
        <v>42.585210000000025</v>
      </c>
      <c r="U334" s="311">
        <f t="shared" ca="1" si="147"/>
        <v>0</v>
      </c>
      <c r="V334" s="306">
        <f t="shared" ca="1" si="148"/>
        <v>1.1727940118742421</v>
      </c>
      <c r="W334" s="304">
        <f t="shared" ca="1" si="149"/>
        <v>31.871073872502212</v>
      </c>
      <c r="Y334" s="314" t="str">
        <f t="shared" ca="1" si="167"/>
        <v/>
      </c>
      <c r="Z334" s="315" t="str">
        <f t="shared" ca="1" si="168"/>
        <v/>
      </c>
      <c r="AA334" s="316" t="str">
        <f t="shared" ca="1" si="169"/>
        <v/>
      </c>
      <c r="AC334" s="310">
        <f t="shared" ca="1" si="170"/>
        <v>24.000000000000075</v>
      </c>
      <c r="AD334" s="323">
        <f t="shared" ca="1" si="171"/>
        <v>637.17861363679503</v>
      </c>
      <c r="AE334" s="324" t="e">
        <f t="shared" ca="1" si="150"/>
        <v>#N/A</v>
      </c>
      <c r="AG334" s="306">
        <f t="shared" ca="1" si="172"/>
        <v>2.4433150062735294</v>
      </c>
      <c r="AH334" s="304">
        <f t="shared" ca="1" si="173"/>
        <v>-7.2960855290076232</v>
      </c>
    </row>
    <row r="335" spans="1:34" x14ac:dyDescent="0.2">
      <c r="A335" s="347">
        <f t="shared" ca="1" si="151"/>
        <v>0.1</v>
      </c>
      <c r="B335" s="304">
        <f t="shared" ca="1" si="152"/>
        <v>24.100000000000076</v>
      </c>
      <c r="D335" s="306">
        <f t="shared" ca="1" si="153"/>
        <v>-0.86987833971807549</v>
      </c>
      <c r="E335" s="307">
        <f t="shared" ca="1" si="154"/>
        <v>-2.5198407714841604</v>
      </c>
      <c r="F335" s="304">
        <f t="shared" ca="1" si="155"/>
        <v>2.6657617747174194</v>
      </c>
      <c r="G335" s="306">
        <f t="shared" ca="1" si="156"/>
        <v>10.756471993459986</v>
      </c>
      <c r="H335" s="307">
        <f t="shared" ca="1" si="157"/>
        <v>-91.127391729686039</v>
      </c>
      <c r="I335" s="304">
        <f t="shared" ca="1" si="158"/>
        <v>91.760030586316503</v>
      </c>
      <c r="J335" s="306">
        <f t="shared" ca="1" si="159"/>
        <v>638.25861022783965</v>
      </c>
      <c r="K335" s="307">
        <f t="shared" ca="1" si="160"/>
        <v>426.35001018745851</v>
      </c>
      <c r="L335" s="304">
        <f t="shared" ca="1" si="145"/>
        <v>767.56002026995861</v>
      </c>
      <c r="M335" s="306">
        <f t="shared" ca="1" si="161"/>
        <v>-1.4533022453435898</v>
      </c>
      <c r="N335" s="304">
        <f t="shared" ca="1" si="162"/>
        <v>-83.268085015073794</v>
      </c>
      <c r="P335" s="310">
        <f t="shared" ca="1" si="163"/>
        <v>23</v>
      </c>
      <c r="Q335" s="304">
        <f t="shared" ca="1" si="164"/>
        <v>0</v>
      </c>
      <c r="R335" s="306">
        <f t="shared" ca="1" si="165"/>
        <v>0</v>
      </c>
      <c r="S335" s="307">
        <f t="shared" ca="1" si="166"/>
        <v>4.341000000000002</v>
      </c>
      <c r="T335" s="304">
        <f t="shared" ca="1" si="146"/>
        <v>42.585210000000025</v>
      </c>
      <c r="U335" s="311">
        <f t="shared" ca="1" si="147"/>
        <v>0</v>
      </c>
      <c r="V335" s="306">
        <f t="shared" ca="1" si="148"/>
        <v>1.1738622527060238</v>
      </c>
      <c r="W335" s="304">
        <f t="shared" ca="1" si="149"/>
        <v>32.067614620794394</v>
      </c>
      <c r="Y335" s="314" t="str">
        <f t="shared" ca="1" si="167"/>
        <v/>
      </c>
      <c r="Z335" s="315" t="str">
        <f t="shared" ca="1" si="168"/>
        <v/>
      </c>
      <c r="AA335" s="316" t="str">
        <f t="shared" ca="1" si="169"/>
        <v/>
      </c>
      <c r="AC335" s="310" t="e">
        <f t="shared" ca="1" si="170"/>
        <v>#N/A</v>
      </c>
      <c r="AD335" s="323" t="e">
        <f t="shared" ca="1" si="171"/>
        <v>#N/A</v>
      </c>
      <c r="AE335" s="324" t="e">
        <f t="shared" ca="1" si="150"/>
        <v>#N/A</v>
      </c>
      <c r="AG335" s="306">
        <f t="shared" ca="1" si="172"/>
        <v>2.3990268384624489</v>
      </c>
      <c r="AH335" s="304">
        <f t="shared" ca="1" si="173"/>
        <v>-7.3418737324354293</v>
      </c>
    </row>
    <row r="336" spans="1:34" x14ac:dyDescent="0.2">
      <c r="A336" s="347">
        <f t="shared" ca="1" si="151"/>
        <v>0.1</v>
      </c>
      <c r="B336" s="304">
        <f t="shared" ca="1" si="152"/>
        <v>24.200000000000077</v>
      </c>
      <c r="D336" s="306">
        <f t="shared" ca="1" si="153"/>
        <v>-0.86595070679273867</v>
      </c>
      <c r="E336" s="307">
        <f t="shared" ca="1" si="154"/>
        <v>-2.4737814587832041</v>
      </c>
      <c r="F336" s="304">
        <f t="shared" ca="1" si="155"/>
        <v>2.6209664882280355</v>
      </c>
      <c r="G336" s="306">
        <f t="shared" ca="1" si="156"/>
        <v>10.669876922780713</v>
      </c>
      <c r="H336" s="307">
        <f t="shared" ca="1" si="157"/>
        <v>-91.374769875564354</v>
      </c>
      <c r="I336" s="304">
        <f t="shared" ca="1" si="158"/>
        <v>91.995624044623071</v>
      </c>
      <c r="J336" s="306">
        <f t="shared" ca="1" si="159"/>
        <v>639.3299276736517</v>
      </c>
      <c r="K336" s="307">
        <f t="shared" ca="1" si="160"/>
        <v>417.22490210719599</v>
      </c>
      <c r="L336" s="304">
        <f t="shared" ca="1" si="145"/>
        <v>763.42607720561659</v>
      </c>
      <c r="M336" s="306">
        <f t="shared" ca="1" si="161"/>
        <v>-1.454552269057142</v>
      </c>
      <c r="N336" s="304">
        <f t="shared" ca="1" si="162"/>
        <v>-83.339706098151595</v>
      </c>
      <c r="P336" s="310">
        <f t="shared" ca="1" si="163"/>
        <v>23</v>
      </c>
      <c r="Q336" s="304">
        <f t="shared" ca="1" si="164"/>
        <v>0</v>
      </c>
      <c r="R336" s="306">
        <f t="shared" ca="1" si="165"/>
        <v>0</v>
      </c>
      <c r="S336" s="307">
        <f t="shared" ca="1" si="166"/>
        <v>4.341000000000002</v>
      </c>
      <c r="T336" s="304">
        <f t="shared" ca="1" si="146"/>
        <v>42.585210000000025</v>
      </c>
      <c r="U336" s="311">
        <f t="shared" ca="1" si="147"/>
        <v>0</v>
      </c>
      <c r="V336" s="306">
        <f t="shared" ca="1" si="148"/>
        <v>1.1749343806485117</v>
      </c>
      <c r="W336" s="304">
        <f t="shared" ca="1" si="149"/>
        <v>32.261931940610602</v>
      </c>
      <c r="Y336" s="314" t="str">
        <f t="shared" ca="1" si="167"/>
        <v/>
      </c>
      <c r="Z336" s="315" t="str">
        <f t="shared" ca="1" si="168"/>
        <v/>
      </c>
      <c r="AA336" s="316" t="str">
        <f t="shared" ca="1" si="169"/>
        <v/>
      </c>
      <c r="AC336" s="310" t="e">
        <f t="shared" ca="1" si="170"/>
        <v>#N/A</v>
      </c>
      <c r="AD336" s="323" t="e">
        <f t="shared" ca="1" si="171"/>
        <v>#N/A</v>
      </c>
      <c r="AE336" s="324" t="e">
        <f t="shared" ca="1" si="150"/>
        <v>#N/A</v>
      </c>
      <c r="AG336" s="306">
        <f t="shared" ca="1" si="172"/>
        <v>2.3552158400769523</v>
      </c>
      <c r="AH336" s="304">
        <f t="shared" ca="1" si="173"/>
        <v>-7.3871491870063073</v>
      </c>
    </row>
    <row r="337" spans="1:34" x14ac:dyDescent="0.2">
      <c r="A337" s="347">
        <f t="shared" ca="1" si="151"/>
        <v>0.1</v>
      </c>
      <c r="B337" s="304">
        <f t="shared" ca="1" si="152"/>
        <v>24.300000000000079</v>
      </c>
      <c r="D337" s="306">
        <f t="shared" ca="1" si="153"/>
        <v>-0.86197133781083812</v>
      </c>
      <c r="E337" s="307">
        <f t="shared" ca="1" si="154"/>
        <v>-2.4282435653370973</v>
      </c>
      <c r="F337" s="304">
        <f t="shared" ca="1" si="155"/>
        <v>2.576695829896968</v>
      </c>
      <c r="G337" s="306">
        <f t="shared" ca="1" si="156"/>
        <v>10.583679788999628</v>
      </c>
      <c r="H337" s="307">
        <f t="shared" ca="1" si="157"/>
        <v>-91.617594232098057</v>
      </c>
      <c r="I337" s="304">
        <f t="shared" ca="1" si="158"/>
        <v>92.226882473351807</v>
      </c>
      <c r="J337" s="306">
        <f t="shared" ca="1" si="159"/>
        <v>640.39260550924075</v>
      </c>
      <c r="K337" s="307">
        <f t="shared" ca="1" si="160"/>
        <v>408.0752839018129</v>
      </c>
      <c r="L337" s="304">
        <f t="shared" ca="1" si="145"/>
        <v>759.36034036711396</v>
      </c>
      <c r="M337" s="306">
        <f t="shared" ca="1" si="161"/>
        <v>-1.4557859527641295</v>
      </c>
      <c r="N337" s="304">
        <f t="shared" ca="1" si="162"/>
        <v>-83.410390967816042</v>
      </c>
      <c r="P337" s="310">
        <f t="shared" ca="1" si="163"/>
        <v>23</v>
      </c>
      <c r="Q337" s="304">
        <f t="shared" ca="1" si="164"/>
        <v>0</v>
      </c>
      <c r="R337" s="306">
        <f t="shared" ca="1" si="165"/>
        <v>0</v>
      </c>
      <c r="S337" s="307">
        <f t="shared" ca="1" si="166"/>
        <v>4.341000000000002</v>
      </c>
      <c r="T337" s="304">
        <f t="shared" ca="1" si="146"/>
        <v>42.585210000000025</v>
      </c>
      <c r="U337" s="311">
        <f t="shared" ca="1" si="147"/>
        <v>0</v>
      </c>
      <c r="V337" s="306">
        <f t="shared" ca="1" si="148"/>
        <v>1.1760103509688595</v>
      </c>
      <c r="W337" s="304">
        <f t="shared" ca="1" si="149"/>
        <v>32.45402903095458</v>
      </c>
      <c r="Y337" s="314" t="str">
        <f t="shared" ca="1" si="167"/>
        <v/>
      </c>
      <c r="Z337" s="315" t="str">
        <f t="shared" ca="1" si="168"/>
        <v/>
      </c>
      <c r="AA337" s="316" t="str">
        <f t="shared" ca="1" si="169"/>
        <v/>
      </c>
      <c r="AC337" s="310" t="e">
        <f t="shared" ca="1" si="170"/>
        <v>#N/A</v>
      </c>
      <c r="AD337" s="323" t="e">
        <f t="shared" ca="1" si="171"/>
        <v>#N/A</v>
      </c>
      <c r="AE337" s="324" t="e">
        <f t="shared" ca="1" si="150"/>
        <v>#N/A</v>
      </c>
      <c r="AG337" s="306">
        <f t="shared" ca="1" si="172"/>
        <v>2.3118824521036752</v>
      </c>
      <c r="AH337" s="304">
        <f t="shared" ca="1" si="173"/>
        <v>-7.4319124488851847</v>
      </c>
    </row>
    <row r="338" spans="1:34" x14ac:dyDescent="0.2">
      <c r="A338" s="347">
        <f t="shared" ca="1" si="151"/>
        <v>0.1</v>
      </c>
      <c r="B338" s="304">
        <f t="shared" ca="1" si="152"/>
        <v>24.40000000000008</v>
      </c>
      <c r="D338" s="306">
        <f t="shared" ca="1" si="153"/>
        <v>-0.85794213577311884</v>
      </c>
      <c r="E338" s="307">
        <f t="shared" ca="1" si="154"/>
        <v>-2.3832263223252008</v>
      </c>
      <c r="F338" s="304">
        <f t="shared" ca="1" si="155"/>
        <v>2.5329493504131984</v>
      </c>
      <c r="G338" s="306">
        <f t="shared" ca="1" si="156"/>
        <v>10.497885575422316</v>
      </c>
      <c r="H338" s="307">
        <f t="shared" ca="1" si="157"/>
        <v>-91.855916864330581</v>
      </c>
      <c r="I338" s="304">
        <f t="shared" ca="1" si="158"/>
        <v>92.453853703031072</v>
      </c>
      <c r="J338" s="306">
        <f t="shared" ca="1" si="159"/>
        <v>641.44668377746189</v>
      </c>
      <c r="K338" s="307">
        <f t="shared" ca="1" si="160"/>
        <v>398.90160834699145</v>
      </c>
      <c r="L338" s="304">
        <f t="shared" ca="1" si="145"/>
        <v>755.36503842243042</v>
      </c>
      <c r="M338" s="306">
        <f t="shared" ca="1" si="161"/>
        <v>-1.4570036049692205</v>
      </c>
      <c r="N338" s="304">
        <f t="shared" ca="1" si="162"/>
        <v>-83.480157300082553</v>
      </c>
      <c r="P338" s="310">
        <f t="shared" ca="1" si="163"/>
        <v>23</v>
      </c>
      <c r="Q338" s="304">
        <f t="shared" ca="1" si="164"/>
        <v>0</v>
      </c>
      <c r="R338" s="306">
        <f t="shared" ca="1" si="165"/>
        <v>0</v>
      </c>
      <c r="S338" s="307">
        <f t="shared" ca="1" si="166"/>
        <v>4.341000000000002</v>
      </c>
      <c r="T338" s="304">
        <f t="shared" ca="1" si="146"/>
        <v>42.585210000000025</v>
      </c>
      <c r="U338" s="311">
        <f t="shared" ca="1" si="147"/>
        <v>0</v>
      </c>
      <c r="V338" s="306">
        <f t="shared" ca="1" si="148"/>
        <v>1.177090119398869</v>
      </c>
      <c r="W338" s="304">
        <f t="shared" ca="1" si="149"/>
        <v>32.643909850262261</v>
      </c>
      <c r="Y338" s="314" t="str">
        <f t="shared" ca="1" si="167"/>
        <v/>
      </c>
      <c r="Z338" s="315" t="str">
        <f t="shared" ca="1" si="168"/>
        <v/>
      </c>
      <c r="AA338" s="316" t="str">
        <f t="shared" ca="1" si="169"/>
        <v/>
      </c>
      <c r="AC338" s="310" t="e">
        <f t="shared" ca="1" si="170"/>
        <v>#N/A</v>
      </c>
      <c r="AD338" s="323" t="e">
        <f t="shared" ca="1" si="171"/>
        <v>#N/A</v>
      </c>
      <c r="AE338" s="324" t="e">
        <f t="shared" ca="1" si="150"/>
        <v>#N/A</v>
      </c>
      <c r="AG338" s="306">
        <f t="shared" ca="1" si="172"/>
        <v>2.2690269009146862</v>
      </c>
      <c r="AH338" s="304">
        <f t="shared" ca="1" si="173"/>
        <v>-7.4761642549999001</v>
      </c>
    </row>
    <row r="339" spans="1:34" x14ac:dyDescent="0.2">
      <c r="A339" s="347">
        <f t="shared" ca="1" si="151"/>
        <v>0.1</v>
      </c>
      <c r="B339" s="304">
        <f t="shared" ca="1" si="152"/>
        <v>24.500000000000082</v>
      </c>
      <c r="D339" s="306">
        <f t="shared" ca="1" si="153"/>
        <v>-0.85386497691441365</v>
      </c>
      <c r="E339" s="307">
        <f t="shared" ca="1" si="154"/>
        <v>-2.3387287835904278</v>
      </c>
      <c r="F339" s="304">
        <f t="shared" ca="1" si="155"/>
        <v>2.4897264351722286</v>
      </c>
      <c r="G339" s="306">
        <f t="shared" ca="1" si="156"/>
        <v>10.412499077730875</v>
      </c>
      <c r="H339" s="307">
        <f t="shared" ca="1" si="157"/>
        <v>-92.089789742689618</v>
      </c>
      <c r="I339" s="304">
        <f t="shared" ca="1" si="158"/>
        <v>92.676585564513147</v>
      </c>
      <c r="J339" s="306">
        <f t="shared" ca="1" si="159"/>
        <v>642.49220301011951</v>
      </c>
      <c r="K339" s="307">
        <f t="shared" ca="1" si="160"/>
        <v>389.70432301664044</v>
      </c>
      <c r="L339" s="304">
        <f t="shared" ca="1" si="145"/>
        <v>751.44240651340317</v>
      </c>
      <c r="M339" s="306">
        <f t="shared" ca="1" si="161"/>
        <v>-1.4582055259143885</v>
      </c>
      <c r="N339" s="304">
        <f t="shared" ca="1" si="162"/>
        <v>-83.549022297549058</v>
      </c>
      <c r="P339" s="310">
        <f t="shared" ca="1" si="163"/>
        <v>23</v>
      </c>
      <c r="Q339" s="304">
        <f t="shared" ca="1" si="164"/>
        <v>0</v>
      </c>
      <c r="R339" s="306">
        <f t="shared" ca="1" si="165"/>
        <v>0</v>
      </c>
      <c r="S339" s="307">
        <f t="shared" ca="1" si="166"/>
        <v>4.341000000000002</v>
      </c>
      <c r="T339" s="304">
        <f t="shared" ca="1" si="146"/>
        <v>42.585210000000025</v>
      </c>
      <c r="U339" s="311">
        <f t="shared" ca="1" si="147"/>
        <v>0</v>
      </c>
      <c r="V339" s="306">
        <f t="shared" ca="1" si="148"/>
        <v>1.1781736421350169</v>
      </c>
      <c r="W339" s="304">
        <f t="shared" ca="1" si="149"/>
        <v>32.83157909142686</v>
      </c>
      <c r="Y339" s="314" t="str">
        <f t="shared" ca="1" si="167"/>
        <v/>
      </c>
      <c r="Z339" s="315" t="str">
        <f t="shared" ca="1" si="168"/>
        <v/>
      </c>
      <c r="AA339" s="316" t="str">
        <f t="shared" ca="1" si="169"/>
        <v/>
      </c>
      <c r="AC339" s="310" t="e">
        <f t="shared" ca="1" si="170"/>
        <v>#N/A</v>
      </c>
      <c r="AD339" s="323" t="e">
        <f t="shared" ca="1" si="171"/>
        <v>#N/A</v>
      </c>
      <c r="AE339" s="324" t="e">
        <f t="shared" ca="1" si="150"/>
        <v>#N/A</v>
      </c>
      <c r="AG339" s="306">
        <f t="shared" ca="1" si="172"/>
        <v>2.2266492054559128</v>
      </c>
      <c r="AH339" s="304">
        <f t="shared" ca="1" si="173"/>
        <v>-7.5199055172223561</v>
      </c>
    </row>
    <row r="340" spans="1:34" x14ac:dyDescent="0.2">
      <c r="A340" s="347">
        <f t="shared" ca="1" si="151"/>
        <v>0.1</v>
      </c>
      <c r="B340" s="304">
        <f t="shared" ca="1" si="152"/>
        <v>24.600000000000083</v>
      </c>
      <c r="D340" s="306">
        <f t="shared" ca="1" si="153"/>
        <v>-0.84974171042575575</v>
      </c>
      <c r="E340" s="307">
        <f t="shared" ca="1" si="154"/>
        <v>-2.2947498314732737</v>
      </c>
      <c r="F340" s="304">
        <f t="shared" ca="1" si="155"/>
        <v>2.4470263103374892</v>
      </c>
      <c r="G340" s="306">
        <f t="shared" ca="1" si="156"/>
        <v>10.327524906688298</v>
      </c>
      <c r="H340" s="307">
        <f t="shared" ca="1" si="157"/>
        <v>-92.319264725836945</v>
      </c>
      <c r="I340" s="304">
        <f t="shared" ca="1" si="158"/>
        <v>92.89512586900041</v>
      </c>
      <c r="J340" s="306">
        <f t="shared" ca="1" si="159"/>
        <v>643.52920420934049</v>
      </c>
      <c r="K340" s="307">
        <f t="shared" ca="1" si="160"/>
        <v>380.48387029321412</v>
      </c>
      <c r="L340" s="304">
        <f t="shared" ca="1" si="145"/>
        <v>747.59468445382254</v>
      </c>
      <c r="M340" s="306">
        <f t="shared" ca="1" si="161"/>
        <v>-1.4593920078565146</v>
      </c>
      <c r="N340" s="304">
        <f t="shared" ca="1" si="162"/>
        <v>-83.61700270530136</v>
      </c>
      <c r="P340" s="310">
        <f t="shared" ca="1" si="163"/>
        <v>23</v>
      </c>
      <c r="Q340" s="304">
        <f t="shared" ca="1" si="164"/>
        <v>0</v>
      </c>
      <c r="R340" s="306">
        <f t="shared" ca="1" si="165"/>
        <v>0</v>
      </c>
      <c r="S340" s="307">
        <f t="shared" ca="1" si="166"/>
        <v>4.341000000000002</v>
      </c>
      <c r="T340" s="304">
        <f t="shared" ca="1" si="146"/>
        <v>42.585210000000025</v>
      </c>
      <c r="U340" s="311">
        <f t="shared" ca="1" si="147"/>
        <v>0</v>
      </c>
      <c r="V340" s="306">
        <f t="shared" ca="1" si="148"/>
        <v>1.1792608758383243</v>
      </c>
      <c r="W340" s="304">
        <f t="shared" ca="1" si="149"/>
        <v>33.017042157123569</v>
      </c>
      <c r="Y340" s="314" t="str">
        <f t="shared" ca="1" si="167"/>
        <v/>
      </c>
      <c r="Z340" s="315" t="str">
        <f t="shared" ca="1" si="168"/>
        <v/>
      </c>
      <c r="AA340" s="316" t="str">
        <f t="shared" ca="1" si="169"/>
        <v/>
      </c>
      <c r="AC340" s="310" t="e">
        <f t="shared" ca="1" si="170"/>
        <v>#N/A</v>
      </c>
      <c r="AD340" s="323" t="e">
        <f t="shared" ca="1" si="171"/>
        <v>#N/A</v>
      </c>
      <c r="AE340" s="324" t="e">
        <f t="shared" ca="1" si="150"/>
        <v>#N/A</v>
      </c>
      <c r="AG340" s="306">
        <f t="shared" ca="1" si="172"/>
        <v>2.1847491843059279</v>
      </c>
      <c r="AH340" s="304">
        <f t="shared" ca="1" si="173"/>
        <v>-7.5631373166152605</v>
      </c>
    </row>
    <row r="341" spans="1:34" x14ac:dyDescent="0.2">
      <c r="A341" s="347">
        <f t="shared" ca="1" si="151"/>
        <v>0.1</v>
      </c>
      <c r="B341" s="304">
        <f t="shared" ca="1" si="152"/>
        <v>24.700000000000085</v>
      </c>
      <c r="D341" s="306">
        <f t="shared" ca="1" si="153"/>
        <v>-0.84557415820790993</v>
      </c>
      <c r="E341" s="307">
        <f t="shared" ca="1" si="154"/>
        <v>-2.2512881825762667</v>
      </c>
      <c r="F341" s="304">
        <f t="shared" ca="1" si="155"/>
        <v>2.4048480488456159</v>
      </c>
      <c r="G341" s="306">
        <f t="shared" ca="1" si="156"/>
        <v>10.242967490867507</v>
      </c>
      <c r="H341" s="307">
        <f t="shared" ca="1" si="157"/>
        <v>-92.544393544094575</v>
      </c>
      <c r="I341" s="304">
        <f t="shared" ca="1" si="158"/>
        <v>93.109522388761192</v>
      </c>
      <c r="J341" s="306">
        <f t="shared" ca="1" si="159"/>
        <v>644.55772882921826</v>
      </c>
      <c r="K341" s="307">
        <f t="shared" ca="1" si="160"/>
        <v>371.24068737971754</v>
      </c>
      <c r="L341" s="304">
        <f t="shared" ca="1" si="145"/>
        <v>743.82411480110352</v>
      </c>
      <c r="M341" s="306">
        <f t="shared" ca="1" si="161"/>
        <v>-1.4605633353340646</v>
      </c>
      <c r="N341" s="304">
        <f t="shared" ca="1" si="162"/>
        <v>-83.684114826192683</v>
      </c>
      <c r="P341" s="310">
        <f t="shared" ca="1" si="163"/>
        <v>23</v>
      </c>
      <c r="Q341" s="304">
        <f t="shared" ca="1" si="164"/>
        <v>0</v>
      </c>
      <c r="R341" s="306">
        <f t="shared" ca="1" si="165"/>
        <v>0</v>
      </c>
      <c r="S341" s="307">
        <f t="shared" ca="1" si="166"/>
        <v>4.341000000000002</v>
      </c>
      <c r="T341" s="304">
        <f t="shared" ca="1" si="146"/>
        <v>42.585210000000025</v>
      </c>
      <c r="U341" s="311">
        <f t="shared" ca="1" si="147"/>
        <v>0</v>
      </c>
      <c r="V341" s="306">
        <f t="shared" ca="1" si="148"/>
        <v>1.1803517776340553</v>
      </c>
      <c r="W341" s="304">
        <f t="shared" ca="1" si="149"/>
        <v>33.200305135445809</v>
      </c>
      <c r="Y341" s="314" t="str">
        <f t="shared" ca="1" si="167"/>
        <v/>
      </c>
      <c r="Z341" s="315" t="str">
        <f t="shared" ca="1" si="168"/>
        <v/>
      </c>
      <c r="AA341" s="316" t="str">
        <f t="shared" ca="1" si="169"/>
        <v/>
      </c>
      <c r="AC341" s="310" t="e">
        <f t="shared" ca="1" si="170"/>
        <v>#N/A</v>
      </c>
      <c r="AD341" s="323" t="e">
        <f t="shared" ca="1" si="171"/>
        <v>#N/A</v>
      </c>
      <c r="AE341" s="324" t="e">
        <f t="shared" ca="1" si="150"/>
        <v>#N/A</v>
      </c>
      <c r="AG341" s="306">
        <f t="shared" ca="1" si="172"/>
        <v>2.1433264626051267</v>
      </c>
      <c r="AH341" s="304">
        <f t="shared" ca="1" si="173"/>
        <v>-7.6058608977478821</v>
      </c>
    </row>
    <row r="342" spans="1:34" x14ac:dyDescent="0.2">
      <c r="A342" s="347">
        <f t="shared" ca="1" si="151"/>
        <v>0.1</v>
      </c>
      <c r="B342" s="304">
        <f t="shared" ca="1" si="152"/>
        <v>24.800000000000086</v>
      </c>
      <c r="D342" s="306">
        <f t="shared" ca="1" si="153"/>
        <v>-0.84136411465526906</v>
      </c>
      <c r="E342" s="307">
        <f t="shared" ca="1" si="154"/>
        <v>-2.2083423934560003</v>
      </c>
      <c r="F342" s="304">
        <f t="shared" ca="1" si="155"/>
        <v>2.3631905763532108</v>
      </c>
      <c r="G342" s="306">
        <f t="shared" ca="1" si="156"/>
        <v>10.158831079401979</v>
      </c>
      <c r="H342" s="307">
        <f t="shared" ca="1" si="157"/>
        <v>-92.765227783440181</v>
      </c>
      <c r="I342" s="304">
        <f t="shared" ca="1" si="158"/>
        <v>93.319822838523251</v>
      </c>
      <c r="J342" s="306">
        <f t="shared" ca="1" si="159"/>
        <v>645.57781875773173</v>
      </c>
      <c r="K342" s="307">
        <f t="shared" ca="1" si="160"/>
        <v>361.97520631334078</v>
      </c>
      <c r="L342" s="304">
        <f t="shared" ca="1" si="145"/>
        <v>740.13294080021626</v>
      </c>
      <c r="M342" s="306">
        <f t="shared" ca="1" si="161"/>
        <v>-1.461719785423331</v>
      </c>
      <c r="N342" s="304">
        <f t="shared" ca="1" si="162"/>
        <v>-83.750374535525182</v>
      </c>
      <c r="P342" s="310">
        <f t="shared" ca="1" si="163"/>
        <v>23</v>
      </c>
      <c r="Q342" s="304">
        <f t="shared" ca="1" si="164"/>
        <v>0</v>
      </c>
      <c r="R342" s="306">
        <f t="shared" ca="1" si="165"/>
        <v>0</v>
      </c>
      <c r="S342" s="307">
        <f t="shared" ca="1" si="166"/>
        <v>4.341000000000002</v>
      </c>
      <c r="T342" s="304">
        <f t="shared" ca="1" si="146"/>
        <v>42.585210000000025</v>
      </c>
      <c r="U342" s="311">
        <f t="shared" ca="1" si="147"/>
        <v>0</v>
      </c>
      <c r="V342" s="306">
        <f t="shared" ca="1" si="148"/>
        <v>1.1814463051112685</v>
      </c>
      <c r="W342" s="304">
        <f t="shared" ca="1" si="149"/>
        <v>33.381374775866497</v>
      </c>
      <c r="Y342" s="314" t="str">
        <f t="shared" ca="1" si="167"/>
        <v/>
      </c>
      <c r="Z342" s="315" t="str">
        <f t="shared" ca="1" si="168"/>
        <v/>
      </c>
      <c r="AA342" s="316" t="str">
        <f t="shared" ca="1" si="169"/>
        <v/>
      </c>
      <c r="AC342" s="310" t="e">
        <f t="shared" ca="1" si="170"/>
        <v>#N/A</v>
      </c>
      <c r="AD342" s="323" t="e">
        <f t="shared" ca="1" si="171"/>
        <v>#N/A</v>
      </c>
      <c r="AE342" s="324" t="e">
        <f t="shared" ca="1" si="150"/>
        <v>#N/A</v>
      </c>
      <c r="AG342" s="306">
        <f t="shared" ca="1" si="172"/>
        <v>2.1023804788556388</v>
      </c>
      <c r="AH342" s="304">
        <f t="shared" ca="1" si="173"/>
        <v>-7.6480776630835736</v>
      </c>
    </row>
    <row r="343" spans="1:34" x14ac:dyDescent="0.2">
      <c r="A343" s="347">
        <f t="shared" ca="1" si="151"/>
        <v>0.1</v>
      </c>
      <c r="B343" s="304">
        <f t="shared" ca="1" si="152"/>
        <v>24.900000000000087</v>
      </c>
      <c r="D343" s="306">
        <f t="shared" ca="1" si="153"/>
        <v>-0.83711334646910562</v>
      </c>
      <c r="E343" s="307">
        <f t="shared" ca="1" si="154"/>
        <v>-2.1659108662395683</v>
      </c>
      <c r="F343" s="304">
        <f t="shared" ca="1" si="155"/>
        <v>2.3220526771224081</v>
      </c>
      <c r="G343" s="306">
        <f t="shared" ca="1" si="156"/>
        <v>10.075119744755069</v>
      </c>
      <c r="H343" s="307">
        <f t="shared" ca="1" si="157"/>
        <v>-92.981818870064131</v>
      </c>
      <c r="I343" s="304">
        <f t="shared" ca="1" si="158"/>
        <v>93.526074857531398</v>
      </c>
      <c r="J343" s="306">
        <f t="shared" ca="1" si="159"/>
        <v>646.58951629893954</v>
      </c>
      <c r="K343" s="307">
        <f t="shared" ca="1" si="160"/>
        <v>352.68785398066558</v>
      </c>
      <c r="L343" s="304">
        <f t="shared" ca="1" si="145"/>
        <v>736.52340419920392</v>
      </c>
      <c r="M343" s="306">
        <f t="shared" ca="1" si="161"/>
        <v>-1.4628616279847082</v>
      </c>
      <c r="N343" s="304">
        <f t="shared" ca="1" si="162"/>
        <v>-83.815797295160493</v>
      </c>
      <c r="P343" s="310">
        <f t="shared" ca="1" si="163"/>
        <v>23</v>
      </c>
      <c r="Q343" s="304">
        <f t="shared" ca="1" si="164"/>
        <v>0</v>
      </c>
      <c r="R343" s="306">
        <f t="shared" ca="1" si="165"/>
        <v>0</v>
      </c>
      <c r="S343" s="307">
        <f t="shared" ca="1" si="166"/>
        <v>4.341000000000002</v>
      </c>
      <c r="T343" s="304">
        <f t="shared" ca="1" si="146"/>
        <v>42.585210000000025</v>
      </c>
      <c r="U343" s="311">
        <f t="shared" ca="1" si="147"/>
        <v>0</v>
      </c>
      <c r="V343" s="306">
        <f t="shared" ca="1" si="148"/>
        <v>1.1825444163222096</v>
      </c>
      <c r="W343" s="304">
        <f t="shared" ca="1" si="149"/>
        <v>33.560258465534424</v>
      </c>
      <c r="Y343" s="314" t="str">
        <f t="shared" ca="1" si="167"/>
        <v/>
      </c>
      <c r="Z343" s="315" t="str">
        <f t="shared" ca="1" si="168"/>
        <v/>
      </c>
      <c r="AA343" s="316" t="str">
        <f t="shared" ca="1" si="169"/>
        <v/>
      </c>
      <c r="AC343" s="310" t="e">
        <f t="shared" ca="1" si="170"/>
        <v>#N/A</v>
      </c>
      <c r="AD343" s="323" t="e">
        <f t="shared" ca="1" si="171"/>
        <v>#N/A</v>
      </c>
      <c r="AE343" s="324" t="e">
        <f t="shared" ca="1" si="150"/>
        <v>#N/A</v>
      </c>
      <c r="AG343" s="306">
        <f t="shared" ca="1" si="172"/>
        <v>2.0619104915919095</v>
      </c>
      <c r="AH343" s="304">
        <f t="shared" ca="1" si="173"/>
        <v>-7.689789167442175</v>
      </c>
    </row>
    <row r="344" spans="1:34" x14ac:dyDescent="0.2">
      <c r="A344" s="347">
        <f t="shared" ca="1" si="151"/>
        <v>0.1</v>
      </c>
      <c r="B344" s="304">
        <f t="shared" ca="1" si="152"/>
        <v>25.000000000000089</v>
      </c>
      <c r="D344" s="306">
        <f t="shared" ca="1" si="153"/>
        <v>-0.83282359249913329</v>
      </c>
      <c r="E344" s="307">
        <f t="shared" ca="1" si="154"/>
        <v>-2.1239918541630161</v>
      </c>
      <c r="F344" s="304">
        <f t="shared" ca="1" si="155"/>
        <v>2.2814329998433025</v>
      </c>
      <c r="G344" s="306">
        <f t="shared" ca="1" si="156"/>
        <v>9.9918373855051552</v>
      </c>
      <c r="H344" s="307">
        <f t="shared" ca="1" si="157"/>
        <v>-93.194218055480434</v>
      </c>
      <c r="I344" s="304">
        <f t="shared" ca="1" si="158"/>
        <v>93.728325992257069</v>
      </c>
      <c r="J344" s="306">
        <f t="shared" ca="1" si="159"/>
        <v>647.5928641554525</v>
      </c>
      <c r="K344" s="307">
        <f t="shared" ca="1" si="160"/>
        <v>343.37905213438836</v>
      </c>
      <c r="L344" s="304">
        <f t="shared" ca="1" si="145"/>
        <v>732.99774293634312</v>
      </c>
      <c r="M344" s="306">
        <f t="shared" ca="1" si="161"/>
        <v>-1.4639891258994435</v>
      </c>
      <c r="N344" s="304">
        <f t="shared" ca="1" si="162"/>
        <v>-83.880398167084635</v>
      </c>
      <c r="P344" s="310">
        <f t="shared" ca="1" si="163"/>
        <v>23</v>
      </c>
      <c r="Q344" s="304">
        <f t="shared" ca="1" si="164"/>
        <v>0</v>
      </c>
      <c r="R344" s="306">
        <f t="shared" ca="1" si="165"/>
        <v>0</v>
      </c>
      <c r="S344" s="307">
        <f t="shared" ca="1" si="166"/>
        <v>4.341000000000002</v>
      </c>
      <c r="T344" s="304">
        <f t="shared" ca="1" si="146"/>
        <v>42.585210000000025</v>
      </c>
      <c r="U344" s="311">
        <f t="shared" ca="1" si="147"/>
        <v>0</v>
      </c>
      <c r="V344" s="306">
        <f t="shared" ca="1" si="148"/>
        <v>1.1836460697815596</v>
      </c>
      <c r="W344" s="304">
        <f t="shared" ca="1" si="149"/>
        <v>33.736964205916678</v>
      </c>
      <c r="Y344" s="314" t="str">
        <f t="shared" ca="1" si="167"/>
        <v/>
      </c>
      <c r="Z344" s="315" t="str">
        <f t="shared" ca="1" si="168"/>
        <v/>
      </c>
      <c r="AA344" s="316" t="str">
        <f t="shared" ca="1" si="169"/>
        <v/>
      </c>
      <c r="AC344" s="310">
        <f t="shared" ca="1" si="170"/>
        <v>25.000000000000089</v>
      </c>
      <c r="AD344" s="323">
        <f t="shared" ca="1" si="171"/>
        <v>647.5928641554525</v>
      </c>
      <c r="AE344" s="324" t="e">
        <f t="shared" ca="1" si="150"/>
        <v>#N/A</v>
      </c>
      <c r="AG344" s="306">
        <f t="shared" ca="1" si="172"/>
        <v>2.0219155859224376</v>
      </c>
      <c r="AH344" s="304">
        <f t="shared" ca="1" si="173"/>
        <v>-7.7309971125396011</v>
      </c>
    </row>
    <row r="345" spans="1:34" x14ac:dyDescent="0.2">
      <c r="A345" s="347">
        <f t="shared" ca="1" si="151"/>
        <v>0.1</v>
      </c>
      <c r="B345" s="304">
        <f t="shared" ca="1" si="152"/>
        <v>25.10000000000009</v>
      </c>
      <c r="D345" s="306">
        <f t="shared" ca="1" si="153"/>
        <v>-0.82849656361237833</v>
      </c>
      <c r="E345" s="307">
        <f t="shared" ca="1" si="154"/>
        <v>-2.0825834670292096</v>
      </c>
      <c r="F345" s="304">
        <f t="shared" ca="1" si="155"/>
        <v>2.2413300633911382</v>
      </c>
      <c r="G345" s="306">
        <f t="shared" ca="1" si="156"/>
        <v>9.9089877291439166</v>
      </c>
      <c r="H345" s="307">
        <f t="shared" ca="1" si="157"/>
        <v>-93.402476402183353</v>
      </c>
      <c r="I345" s="304">
        <f t="shared" ca="1" si="158"/>
        <v>93.926623679746641</v>
      </c>
      <c r="J345" s="306">
        <f t="shared" ca="1" si="159"/>
        <v>648.58790541118492</v>
      </c>
      <c r="K345" s="307">
        <f t="shared" ca="1" si="160"/>
        <v>334.0492174115052</v>
      </c>
      <c r="L345" s="304">
        <f t="shared" ca="1" si="145"/>
        <v>729.55818869978236</v>
      </c>
      <c r="M345" s="306">
        <f t="shared" ca="1" si="161"/>
        <v>-1.4651025352972862</v>
      </c>
      <c r="N345" s="304">
        <f t="shared" ca="1" si="162"/>
        <v>-83.944191826451217</v>
      </c>
      <c r="P345" s="310">
        <f t="shared" ca="1" si="163"/>
        <v>23</v>
      </c>
      <c r="Q345" s="304">
        <f t="shared" ca="1" si="164"/>
        <v>0</v>
      </c>
      <c r="R345" s="306">
        <f t="shared" ca="1" si="165"/>
        <v>0</v>
      </c>
      <c r="S345" s="307">
        <f t="shared" ca="1" si="166"/>
        <v>4.341000000000002</v>
      </c>
      <c r="T345" s="304">
        <f t="shared" ca="1" si="146"/>
        <v>42.585210000000025</v>
      </c>
      <c r="U345" s="311">
        <f t="shared" ca="1" si="147"/>
        <v>0</v>
      </c>
      <c r="V345" s="306">
        <f t="shared" ca="1" si="148"/>
        <v>1.1847512244655434</v>
      </c>
      <c r="W345" s="304">
        <f t="shared" ca="1" si="149"/>
        <v>33.911500589796248</v>
      </c>
      <c r="Y345" s="314" t="str">
        <f t="shared" ca="1" si="167"/>
        <v/>
      </c>
      <c r="Z345" s="315" t="str">
        <f t="shared" ca="1" si="168"/>
        <v/>
      </c>
      <c r="AA345" s="316" t="str">
        <f t="shared" ca="1" si="169"/>
        <v/>
      </c>
      <c r="AC345" s="310" t="e">
        <f t="shared" ca="1" si="170"/>
        <v>#N/A</v>
      </c>
      <c r="AD345" s="323" t="e">
        <f t="shared" ca="1" si="171"/>
        <v>#N/A</v>
      </c>
      <c r="AE345" s="324" t="e">
        <f t="shared" ca="1" si="150"/>
        <v>#N/A</v>
      </c>
      <c r="AG345" s="306">
        <f t="shared" ca="1" si="172"/>
        <v>1.9823946799427912</v>
      </c>
      <c r="AH345" s="304">
        <f t="shared" ca="1" si="173"/>
        <v>-7.7717033416071555</v>
      </c>
    </row>
    <row r="346" spans="1:34" x14ac:dyDescent="0.2">
      <c r="A346" s="347">
        <f t="shared" ca="1" si="151"/>
        <v>0.1</v>
      </c>
      <c r="B346" s="304">
        <f t="shared" ca="1" si="152"/>
        <v>25.200000000000092</v>
      </c>
      <c r="D346" s="306">
        <f t="shared" ca="1" si="153"/>
        <v>-0.82413394258835992</v>
      </c>
      <c r="E346" s="307">
        <f t="shared" ca="1" si="154"/>
        <v>-2.041683676582978</v>
      </c>
      <c r="F346" s="304">
        <f t="shared" ca="1" si="155"/>
        <v>2.2017422625165781</v>
      </c>
      <c r="G346" s="306">
        <f t="shared" ca="1" si="156"/>
        <v>9.8265743348850805</v>
      </c>
      <c r="H346" s="307">
        <f t="shared" ca="1" si="157"/>
        <v>-93.606644769841651</v>
      </c>
      <c r="I346" s="304">
        <f t="shared" ca="1" si="158"/>
        <v>94.121015231596104</v>
      </c>
      <c r="J346" s="306">
        <f t="shared" ca="1" si="159"/>
        <v>649.57468351438638</v>
      </c>
      <c r="K346" s="307">
        <f t="shared" ca="1" si="160"/>
        <v>324.69876135290394</v>
      </c>
      <c r="L346" s="304">
        <f t="shared" ca="1" si="145"/>
        <v>726.20696436134881</v>
      </c>
      <c r="M346" s="306">
        <f t="shared" ca="1" si="161"/>
        <v>-1.4662021057754322</v>
      </c>
      <c r="N346" s="304">
        <f t="shared" ca="1" si="162"/>
        <v>-84.007192574126165</v>
      </c>
      <c r="P346" s="310">
        <f t="shared" ca="1" si="163"/>
        <v>23</v>
      </c>
      <c r="Q346" s="304">
        <f t="shared" ca="1" si="164"/>
        <v>0</v>
      </c>
      <c r="R346" s="306">
        <f t="shared" ca="1" si="165"/>
        <v>0</v>
      </c>
      <c r="S346" s="307">
        <f t="shared" ca="1" si="166"/>
        <v>4.341000000000002</v>
      </c>
      <c r="T346" s="304">
        <f t="shared" ca="1" si="146"/>
        <v>42.585210000000025</v>
      </c>
      <c r="U346" s="311">
        <f t="shared" ca="1" si="147"/>
        <v>0</v>
      </c>
      <c r="V346" s="306">
        <f t="shared" ca="1" si="148"/>
        <v>1.1858598398108968</v>
      </c>
      <c r="W346" s="304">
        <f t="shared" ca="1" si="149"/>
        <v>34.083876778633389</v>
      </c>
      <c r="Y346" s="314" t="str">
        <f t="shared" ca="1" si="167"/>
        <v/>
      </c>
      <c r="Z346" s="315" t="str">
        <f t="shared" ca="1" si="168"/>
        <v/>
      </c>
      <c r="AA346" s="316" t="str">
        <f t="shared" ca="1" si="169"/>
        <v/>
      </c>
      <c r="AC346" s="310" t="e">
        <f t="shared" ca="1" si="170"/>
        <v>#N/A</v>
      </c>
      <c r="AD346" s="323" t="e">
        <f t="shared" ca="1" si="171"/>
        <v>#N/A</v>
      </c>
      <c r="AE346" s="324" t="e">
        <f t="shared" ca="1" si="150"/>
        <v>#N/A</v>
      </c>
      <c r="AG346" s="306">
        <f t="shared" ca="1" si="172"/>
        <v>1.9433465310203095</v>
      </c>
      <c r="AH346" s="304">
        <f t="shared" ca="1" si="173"/>
        <v>-7.8119098340926589</v>
      </c>
    </row>
    <row r="347" spans="1:34" x14ac:dyDescent="0.2">
      <c r="A347" s="347">
        <f t="shared" ca="1" si="151"/>
        <v>0.1</v>
      </c>
      <c r="B347" s="304">
        <f t="shared" ca="1" si="152"/>
        <v>25.300000000000093</v>
      </c>
      <c r="D347" s="306">
        <f t="shared" ca="1" si="153"/>
        <v>-0.81973738403960372</v>
      </c>
      <c r="E347" s="307">
        <f t="shared" ca="1" si="154"/>
        <v>-2.0012903218014682</v>
      </c>
      <c r="F347" s="304">
        <f t="shared" ca="1" si="155"/>
        <v>2.1626678734674716</v>
      </c>
      <c r="G347" s="306">
        <f t="shared" ca="1" si="156"/>
        <v>9.7446005964811206</v>
      </c>
      <c r="H347" s="307">
        <f t="shared" ca="1" si="157"/>
        <v>-93.806773802021794</v>
      </c>
      <c r="I347" s="304">
        <f t="shared" ca="1" si="158"/>
        <v>94.311547818539296</v>
      </c>
      <c r="J347" s="306">
        <f t="shared" ca="1" si="159"/>
        <v>650.55324226095468</v>
      </c>
      <c r="K347" s="307">
        <f t="shared" ca="1" si="160"/>
        <v>315.32809042431074</v>
      </c>
      <c r="L347" s="304">
        <f t="shared" ca="1" si="145"/>
        <v>722.94628128712486</v>
      </c>
      <c r="M347" s="306">
        <f t="shared" ca="1" si="161"/>
        <v>-1.4672880806091491</v>
      </c>
      <c r="N347" s="304">
        <f t="shared" ca="1" si="162"/>
        <v>-84.069414348755572</v>
      </c>
      <c r="P347" s="310">
        <f t="shared" ca="1" si="163"/>
        <v>23</v>
      </c>
      <c r="Q347" s="304">
        <f t="shared" ca="1" si="164"/>
        <v>0</v>
      </c>
      <c r="R347" s="306">
        <f t="shared" ca="1" si="165"/>
        <v>0</v>
      </c>
      <c r="S347" s="307">
        <f t="shared" ca="1" si="166"/>
        <v>4.341000000000002</v>
      </c>
      <c r="T347" s="304">
        <f t="shared" ca="1" si="146"/>
        <v>42.585210000000025</v>
      </c>
      <c r="U347" s="311">
        <f t="shared" ca="1" si="147"/>
        <v>0</v>
      </c>
      <c r="V347" s="306">
        <f t="shared" ca="1" si="148"/>
        <v>1.1869718757137029</v>
      </c>
      <c r="W347" s="304">
        <f t="shared" ca="1" si="149"/>
        <v>34.254102480298457</v>
      </c>
      <c r="Y347" s="314" t="str">
        <f t="shared" ca="1" si="167"/>
        <v/>
      </c>
      <c r="Z347" s="315" t="str">
        <f t="shared" ca="1" si="168"/>
        <v/>
      </c>
      <c r="AA347" s="316" t="str">
        <f t="shared" ca="1" si="169"/>
        <v/>
      </c>
      <c r="AC347" s="310" t="e">
        <f t="shared" ca="1" si="170"/>
        <v>#N/A</v>
      </c>
      <c r="AD347" s="323" t="e">
        <f t="shared" ca="1" si="171"/>
        <v>#N/A</v>
      </c>
      <c r="AE347" s="324" t="e">
        <f t="shared" ca="1" si="150"/>
        <v>#N/A</v>
      </c>
      <c r="AG347" s="306">
        <f t="shared" ca="1" si="172"/>
        <v>1.9047697419508864</v>
      </c>
      <c r="AH347" s="304">
        <f t="shared" ca="1" si="173"/>
        <v>-7.8516187004453748</v>
      </c>
    </row>
    <row r="348" spans="1:34" x14ac:dyDescent="0.2">
      <c r="A348" s="347">
        <f t="shared" ca="1" si="151"/>
        <v>0.1</v>
      </c>
      <c r="B348" s="304">
        <f t="shared" ca="1" si="152"/>
        <v>25.400000000000095</v>
      </c>
      <c r="D348" s="306">
        <f t="shared" ca="1" si="153"/>
        <v>-0.81530851435649909</v>
      </c>
      <c r="E348" s="307">
        <f t="shared" ca="1" si="154"/>
        <v>-1.9614011140979137</v>
      </c>
      <c r="F348" s="304">
        <f t="shared" ca="1" si="155"/>
        <v>2.1241050595407795</v>
      </c>
      <c r="G348" s="306">
        <f t="shared" ca="1" si="156"/>
        <v>9.6630697450454708</v>
      </c>
      <c r="H348" s="307">
        <f t="shared" ca="1" si="157"/>
        <v>-94.002913913431584</v>
      </c>
      <c r="I348" s="304">
        <f t="shared" ca="1" si="158"/>
        <v>94.498268455637017</v>
      </c>
      <c r="J348" s="306">
        <f t="shared" ca="1" si="159"/>
        <v>651.52362577803103</v>
      </c>
      <c r="K348" s="307">
        <f t="shared" ca="1" si="160"/>
        <v>305.93760603853809</v>
      </c>
      <c r="L348" s="304">
        <f t="shared" ca="1" si="145"/>
        <v>719.77833652836728</v>
      </c>
      <c r="M348" s="306">
        <f t="shared" ca="1" si="161"/>
        <v>-1.4683606969544378</v>
      </c>
      <c r="N348" s="304">
        <f t="shared" ca="1" si="162"/>
        <v>-84.130870738377354</v>
      </c>
      <c r="P348" s="310">
        <f t="shared" ca="1" si="163"/>
        <v>23</v>
      </c>
      <c r="Q348" s="304">
        <f t="shared" ca="1" si="164"/>
        <v>0</v>
      </c>
      <c r="R348" s="306">
        <f t="shared" ca="1" si="165"/>
        <v>0</v>
      </c>
      <c r="S348" s="307">
        <f t="shared" ca="1" si="166"/>
        <v>4.341000000000002</v>
      </c>
      <c r="T348" s="304">
        <f t="shared" ca="1" si="146"/>
        <v>42.585210000000025</v>
      </c>
      <c r="U348" s="311">
        <f t="shared" ca="1" si="147"/>
        <v>0</v>
      </c>
      <c r="V348" s="306">
        <f t="shared" ca="1" si="148"/>
        <v>1.1880872925280972</v>
      </c>
      <c r="W348" s="304">
        <f t="shared" ca="1" si="149"/>
        <v>34.422187927183096</v>
      </c>
      <c r="Y348" s="314" t="str">
        <f t="shared" ca="1" si="167"/>
        <v/>
      </c>
      <c r="Z348" s="315" t="str">
        <f t="shared" ca="1" si="168"/>
        <v/>
      </c>
      <c r="AA348" s="316" t="str">
        <f t="shared" ca="1" si="169"/>
        <v/>
      </c>
      <c r="AC348" s="310" t="e">
        <f t="shared" ca="1" si="170"/>
        <v>#N/A</v>
      </c>
      <c r="AD348" s="323" t="e">
        <f t="shared" ca="1" si="171"/>
        <v>#N/A</v>
      </c>
      <c r="AE348" s="324" t="e">
        <f t="shared" ca="1" si="150"/>
        <v>#N/A</v>
      </c>
      <c r="AG348" s="306">
        <f t="shared" ca="1" si="172"/>
        <v>1.8666627669882825</v>
      </c>
      <c r="AH348" s="304">
        <f t="shared" ca="1" si="173"/>
        <v>-7.8908321769865104</v>
      </c>
    </row>
    <row r="349" spans="1:34" x14ac:dyDescent="0.2">
      <c r="A349" s="347">
        <f t="shared" ca="1" si="151"/>
        <v>0.1</v>
      </c>
      <c r="B349" s="304">
        <f t="shared" ca="1" si="152"/>
        <v>25.500000000000096</v>
      </c>
      <c r="D349" s="306">
        <f t="shared" ca="1" si="153"/>
        <v>-0.81084893167557204</v>
      </c>
      <c r="E349" s="307">
        <f t="shared" ca="1" si="154"/>
        <v>-1.922013642437177</v>
      </c>
      <c r="F349" s="304">
        <f t="shared" ca="1" si="155"/>
        <v>2.0860518765634857</v>
      </c>
      <c r="G349" s="306">
        <f t="shared" ca="1" si="156"/>
        <v>9.5819848518779143</v>
      </c>
      <c r="H349" s="307">
        <f t="shared" ca="1" si="157"/>
        <v>-94.195115277675299</v>
      </c>
      <c r="I349" s="304">
        <f t="shared" ca="1" si="158"/>
        <v>94.681223988054555</v>
      </c>
      <c r="J349" s="306">
        <f t="shared" ca="1" si="159"/>
        <v>652.48587850787715</v>
      </c>
      <c r="K349" s="307">
        <f t="shared" ca="1" si="160"/>
        <v>296.52770457898276</v>
      </c>
      <c r="L349" s="304">
        <f t="shared" ca="1" si="145"/>
        <v>716.70530989736403</v>
      </c>
      <c r="M349" s="306">
        <f t="shared" ca="1" si="161"/>
        <v>-1.4694201860430798</v>
      </c>
      <c r="N349" s="304">
        <f t="shared" ca="1" si="162"/>
        <v>-84.19157499159671</v>
      </c>
      <c r="P349" s="310">
        <f t="shared" ca="1" si="163"/>
        <v>23</v>
      </c>
      <c r="Q349" s="304">
        <f t="shared" ca="1" si="164"/>
        <v>0</v>
      </c>
      <c r="R349" s="306">
        <f t="shared" ca="1" si="165"/>
        <v>0</v>
      </c>
      <c r="S349" s="307">
        <f t="shared" ca="1" si="166"/>
        <v>4.341000000000002</v>
      </c>
      <c r="T349" s="304">
        <f t="shared" ca="1" si="146"/>
        <v>42.585210000000025</v>
      </c>
      <c r="U349" s="311">
        <f t="shared" ca="1" si="147"/>
        <v>0</v>
      </c>
      <c r="V349" s="306">
        <f t="shared" ca="1" si="148"/>
        <v>1.1892060510648523</v>
      </c>
      <c r="W349" s="304">
        <f t="shared" ca="1" si="149"/>
        <v>34.588143854696014</v>
      </c>
      <c r="Y349" s="314" t="str">
        <f t="shared" ca="1" si="167"/>
        <v/>
      </c>
      <c r="Z349" s="315" t="str">
        <f t="shared" ca="1" si="168"/>
        <v/>
      </c>
      <c r="AA349" s="316" t="str">
        <f t="shared" ca="1" si="169"/>
        <v/>
      </c>
      <c r="AC349" s="310" t="e">
        <f t="shared" ca="1" si="170"/>
        <v>#N/A</v>
      </c>
      <c r="AD349" s="323" t="e">
        <f t="shared" ca="1" si="171"/>
        <v>#N/A</v>
      </c>
      <c r="AE349" s="324" t="e">
        <f t="shared" ca="1" si="150"/>
        <v>#N/A</v>
      </c>
      <c r="AG349" s="306">
        <f t="shared" ca="1" si="172"/>
        <v>1.829023917746464</v>
      </c>
      <c r="AH349" s="304">
        <f t="shared" ca="1" si="173"/>
        <v>-7.9295526208668692</v>
      </c>
    </row>
    <row r="350" spans="1:34" x14ac:dyDescent="0.2">
      <c r="A350" s="347">
        <f t="shared" ca="1" si="151"/>
        <v>0.1</v>
      </c>
      <c r="B350" s="304">
        <f t="shared" ca="1" si="152"/>
        <v>25.600000000000097</v>
      </c>
      <c r="D350" s="306">
        <f t="shared" ca="1" si="153"/>
        <v>-0.80636020587021606</v>
      </c>
      <c r="E350" s="307">
        <f t="shared" ca="1" si="154"/>
        <v>-1.8831253783615676</v>
      </c>
      <c r="F350" s="304">
        <f t="shared" ca="1" si="155"/>
        <v>2.0485062783014492</v>
      </c>
      <c r="G350" s="306">
        <f t="shared" ca="1" si="156"/>
        <v>9.5013488312908922</v>
      </c>
      <c r="H350" s="307">
        <f t="shared" ca="1" si="157"/>
        <v>-94.383427815511453</v>
      </c>
      <c r="I350" s="304">
        <f t="shared" ca="1" si="158"/>
        <v>94.860461077414826</v>
      </c>
      <c r="J350" s="306">
        <f t="shared" ca="1" si="159"/>
        <v>653.44004519203554</v>
      </c>
      <c r="K350" s="307">
        <f t="shared" ca="1" si="160"/>
        <v>287.09877742432343</v>
      </c>
      <c r="L350" s="304">
        <f t="shared" ca="1" si="145"/>
        <v>713.72936093389819</v>
      </c>
      <c r="M350" s="306">
        <f t="shared" ca="1" si="161"/>
        <v>-1.4704667733703933</v>
      </c>
      <c r="N350" s="304">
        <f t="shared" ca="1" si="162"/>
        <v>-84.251540028343655</v>
      </c>
      <c r="P350" s="310">
        <f t="shared" ca="1" si="163"/>
        <v>23</v>
      </c>
      <c r="Q350" s="304">
        <f t="shared" ca="1" si="164"/>
        <v>0</v>
      </c>
      <c r="R350" s="306">
        <f t="shared" ca="1" si="165"/>
        <v>0</v>
      </c>
      <c r="S350" s="307">
        <f t="shared" ca="1" si="166"/>
        <v>4.341000000000002</v>
      </c>
      <c r="T350" s="304">
        <f t="shared" ca="1" si="146"/>
        <v>42.585210000000025</v>
      </c>
      <c r="U350" s="311">
        <f t="shared" ca="1" si="147"/>
        <v>0</v>
      </c>
      <c r="V350" s="306">
        <f t="shared" ca="1" si="148"/>
        <v>1.1903281125898431</v>
      </c>
      <c r="W350" s="304">
        <f t="shared" ca="1" si="149"/>
        <v>34.75198148014865</v>
      </c>
      <c r="Y350" s="314" t="str">
        <f t="shared" ca="1" si="167"/>
        <v/>
      </c>
      <c r="Z350" s="315" t="str">
        <f t="shared" ca="1" si="168"/>
        <v/>
      </c>
      <c r="AA350" s="316" t="str">
        <f t="shared" ca="1" si="169"/>
        <v/>
      </c>
      <c r="AC350" s="310" t="e">
        <f t="shared" ca="1" si="170"/>
        <v>#N/A</v>
      </c>
      <c r="AD350" s="323" t="e">
        <f t="shared" ca="1" si="171"/>
        <v>#N/A</v>
      </c>
      <c r="AE350" s="324" t="e">
        <f t="shared" ca="1" si="150"/>
        <v>#N/A</v>
      </c>
      <c r="AG350" s="306">
        <f t="shared" ca="1" si="172"/>
        <v>1.7918513689755722</v>
      </c>
      <c r="AH350" s="304">
        <f t="shared" ca="1" si="173"/>
        <v>-7.9677825051131075</v>
      </c>
    </row>
    <row r="351" spans="1:34" x14ac:dyDescent="0.2">
      <c r="A351" s="347">
        <f t="shared" ca="1" si="151"/>
        <v>0.1</v>
      </c>
      <c r="B351" s="304">
        <f t="shared" ca="1" si="152"/>
        <v>25.700000000000099</v>
      </c>
      <c r="D351" s="306">
        <f t="shared" ca="1" si="153"/>
        <v>-0.80184387856296391</v>
      </c>
      <c r="E351" s="307">
        <f t="shared" ca="1" si="154"/>
        <v>-1.844733680925712</v>
      </c>
      <c r="F351" s="304">
        <f t="shared" ca="1" si="155"/>
        <v>2.0114661217953995</v>
      </c>
      <c r="G351" s="306">
        <f t="shared" ca="1" si="156"/>
        <v>9.4211644434345967</v>
      </c>
      <c r="H351" s="307">
        <f t="shared" ca="1" si="157"/>
        <v>-94.567901183604022</v>
      </c>
      <c r="I351" s="304">
        <f t="shared" ca="1" si="158"/>
        <v>95.036026188715041</v>
      </c>
      <c r="J351" s="306">
        <f t="shared" ca="1" si="159"/>
        <v>654.38617085577187</v>
      </c>
      <c r="K351" s="307">
        <f t="shared" ca="1" si="160"/>
        <v>277.65121097436764</v>
      </c>
      <c r="L351" s="304">
        <f t="shared" ca="1" si="145"/>
        <v>710.85262576909167</v>
      </c>
      <c r="M351" s="306">
        <f t="shared" ca="1" si="161"/>
        <v>-1.4715006788760125</v>
      </c>
      <c r="N351" s="304">
        <f t="shared" ca="1" si="162"/>
        <v>-84.31077845023097</v>
      </c>
      <c r="P351" s="310">
        <f t="shared" ca="1" si="163"/>
        <v>23</v>
      </c>
      <c r="Q351" s="304">
        <f t="shared" ca="1" si="164"/>
        <v>0</v>
      </c>
      <c r="R351" s="306">
        <f t="shared" ca="1" si="165"/>
        <v>0</v>
      </c>
      <c r="S351" s="307">
        <f t="shared" ca="1" si="166"/>
        <v>4.341000000000002</v>
      </c>
      <c r="T351" s="304">
        <f t="shared" ca="1" si="146"/>
        <v>42.585210000000025</v>
      </c>
      <c r="U351" s="311">
        <f t="shared" ca="1" si="147"/>
        <v>0</v>
      </c>
      <c r="V351" s="306">
        <f t="shared" ca="1" si="148"/>
        <v>1.1914534388223896</v>
      </c>
      <c r="W351" s="304">
        <f t="shared" ca="1" si="149"/>
        <v>34.913712482035265</v>
      </c>
      <c r="Y351" s="314" t="str">
        <f t="shared" ca="1" si="167"/>
        <v/>
      </c>
      <c r="Z351" s="315" t="str">
        <f t="shared" ca="1" si="168"/>
        <v/>
      </c>
      <c r="AA351" s="316" t="str">
        <f t="shared" ca="1" si="169"/>
        <v/>
      </c>
      <c r="AC351" s="310" t="e">
        <f t="shared" ca="1" si="170"/>
        <v>#N/A</v>
      </c>
      <c r="AD351" s="323" t="e">
        <f t="shared" ca="1" si="171"/>
        <v>#N/A</v>
      </c>
      <c r="AE351" s="324" t="e">
        <f t="shared" ca="1" si="150"/>
        <v>#N/A</v>
      </c>
      <c r="AG351" s="306">
        <f t="shared" ca="1" si="172"/>
        <v>1.7551431642121003</v>
      </c>
      <c r="AH351" s="304">
        <f t="shared" ca="1" si="173"/>
        <v>-8.005524413763796</v>
      </c>
    </row>
    <row r="352" spans="1:34" x14ac:dyDescent="0.2">
      <c r="A352" s="347">
        <f t="shared" ca="1" si="151"/>
        <v>0.1</v>
      </c>
      <c r="B352" s="304">
        <f t="shared" ca="1" si="152"/>
        <v>25.8000000000001</v>
      </c>
      <c r="D352" s="306">
        <f t="shared" ca="1" si="153"/>
        <v>-0.79730146315839645</v>
      </c>
      <c r="E352" s="307">
        <f t="shared" ca="1" si="154"/>
        <v>-1.8068358015393624</v>
      </c>
      <c r="F352" s="304">
        <f t="shared" ca="1" si="155"/>
        <v>1.9749291726233906</v>
      </c>
      <c r="G352" s="306">
        <f t="shared" ca="1" si="156"/>
        <v>9.3414342971187576</v>
      </c>
      <c r="H352" s="307">
        <f t="shared" ca="1" si="157"/>
        <v>-94.748584763757961</v>
      </c>
      <c r="I352" s="304">
        <f t="shared" ca="1" si="158"/>
        <v>95.207965577794027</v>
      </c>
      <c r="J352" s="306">
        <f t="shared" ca="1" si="159"/>
        <v>655.32430079279948</v>
      </c>
      <c r="K352" s="307">
        <f t="shared" ca="1" si="160"/>
        <v>268.18538667699954</v>
      </c>
      <c r="L352" s="304">
        <f t="shared" ca="1" si="145"/>
        <v>708.07721389454639</v>
      </c>
      <c r="M352" s="306">
        <f t="shared" ca="1" si="161"/>
        <v>-1.4725221171179845</v>
      </c>
      <c r="N352" s="304">
        <f t="shared" ca="1" si="162"/>
        <v>-84.369302550529227</v>
      </c>
      <c r="P352" s="310">
        <f t="shared" ca="1" si="163"/>
        <v>23</v>
      </c>
      <c r="Q352" s="304">
        <f t="shared" ca="1" si="164"/>
        <v>0</v>
      </c>
      <c r="R352" s="306">
        <f t="shared" ca="1" si="165"/>
        <v>0</v>
      </c>
      <c r="S352" s="307">
        <f t="shared" ca="1" si="166"/>
        <v>4.341000000000002</v>
      </c>
      <c r="T352" s="304">
        <f t="shared" ca="1" si="146"/>
        <v>42.585210000000025</v>
      </c>
      <c r="U352" s="311">
        <f t="shared" ca="1" si="147"/>
        <v>0</v>
      </c>
      <c r="V352" s="306">
        <f t="shared" ca="1" si="148"/>
        <v>1.1925819919334983</v>
      </c>
      <c r="W352" s="304">
        <f t="shared" ca="1" si="149"/>
        <v>35.073348979711774</v>
      </c>
      <c r="Y352" s="314" t="str">
        <f t="shared" ca="1" si="167"/>
        <v/>
      </c>
      <c r="Z352" s="315" t="str">
        <f t="shared" ca="1" si="168"/>
        <v/>
      </c>
      <c r="AA352" s="316" t="str">
        <f t="shared" ca="1" si="169"/>
        <v/>
      </c>
      <c r="AC352" s="310" t="e">
        <f t="shared" ca="1" si="170"/>
        <v>#N/A</v>
      </c>
      <c r="AD352" s="323" t="e">
        <f t="shared" ca="1" si="171"/>
        <v>#N/A</v>
      </c>
      <c r="AE352" s="324" t="e">
        <f t="shared" ca="1" si="150"/>
        <v>#N/A</v>
      </c>
      <c r="AG352" s="306">
        <f t="shared" ca="1" si="172"/>
        <v>1.7188972213041023</v>
      </c>
      <c r="AH352" s="304">
        <f t="shared" ca="1" si="173"/>
        <v>-8.0427810370963488</v>
      </c>
    </row>
    <row r="353" spans="1:34" x14ac:dyDescent="0.2">
      <c r="A353" s="347">
        <f t="shared" ca="1" si="151"/>
        <v>0.1</v>
      </c>
      <c r="B353" s="304">
        <f t="shared" ca="1" si="152"/>
        <v>25.900000000000102</v>
      </c>
      <c r="D353" s="306">
        <f t="shared" ca="1" si="153"/>
        <v>-0.79273444489579714</v>
      </c>
      <c r="E353" s="307">
        <f t="shared" ca="1" si="154"/>
        <v>-1.7694288887171403</v>
      </c>
      <c r="F353" s="304">
        <f t="shared" ca="1" si="155"/>
        <v>1.93889311008911</v>
      </c>
      <c r="G353" s="306">
        <f t="shared" ca="1" si="156"/>
        <v>9.2621608526291777</v>
      </c>
      <c r="H353" s="307">
        <f t="shared" ca="1" si="157"/>
        <v>-94.925527652629668</v>
      </c>
      <c r="I353" s="304">
        <f t="shared" ca="1" si="158"/>
        <v>95.376325279338246</v>
      </c>
      <c r="J353" s="306">
        <f t="shared" ca="1" si="159"/>
        <v>656.25448055028687</v>
      </c>
      <c r="K353" s="307">
        <f t="shared" ca="1" si="160"/>
        <v>258.70168105618018</v>
      </c>
      <c r="L353" s="304">
        <f t="shared" ca="1" si="145"/>
        <v>705.4052048458534</v>
      </c>
      <c r="M353" s="306">
        <f t="shared" ca="1" si="161"/>
        <v>-1.4735312974404671</v>
      </c>
      <c r="N353" s="304">
        <f t="shared" ca="1" si="162"/>
        <v>-84.427124323775132</v>
      </c>
      <c r="P353" s="310">
        <f t="shared" ca="1" si="163"/>
        <v>23</v>
      </c>
      <c r="Q353" s="304">
        <f t="shared" ca="1" si="164"/>
        <v>0</v>
      </c>
      <c r="R353" s="306">
        <f t="shared" ca="1" si="165"/>
        <v>0</v>
      </c>
      <c r="S353" s="307">
        <f t="shared" ca="1" si="166"/>
        <v>4.341000000000002</v>
      </c>
      <c r="T353" s="304">
        <f t="shared" ca="1" si="146"/>
        <v>42.585210000000025</v>
      </c>
      <c r="U353" s="311">
        <f t="shared" ca="1" si="147"/>
        <v>0</v>
      </c>
      <c r="V353" s="306">
        <f t="shared" ca="1" si="148"/>
        <v>1.1937137345439901</v>
      </c>
      <c r="W353" s="304">
        <f t="shared" ca="1" si="149"/>
        <v>35.23090351347637</v>
      </c>
      <c r="Y353" s="314" t="str">
        <f t="shared" ca="1" si="167"/>
        <v/>
      </c>
      <c r="Z353" s="315" t="str">
        <f t="shared" ca="1" si="168"/>
        <v/>
      </c>
      <c r="AA353" s="316" t="str">
        <f t="shared" ca="1" si="169"/>
        <v/>
      </c>
      <c r="AC353" s="310" t="e">
        <f t="shared" ca="1" si="170"/>
        <v>#N/A</v>
      </c>
      <c r="AD353" s="323" t="e">
        <f t="shared" ca="1" si="171"/>
        <v>#N/A</v>
      </c>
      <c r="AE353" s="324" t="e">
        <f t="shared" ca="1" si="150"/>
        <v>#N/A</v>
      </c>
      <c r="AG353" s="306">
        <f t="shared" ca="1" si="172"/>
        <v>1.6831113378120151</v>
      </c>
      <c r="AH353" s="304">
        <f t="shared" ca="1" si="173"/>
        <v>-8.0795551669458092</v>
      </c>
    </row>
    <row r="354" spans="1:34" x14ac:dyDescent="0.2">
      <c r="A354" s="347">
        <f t="shared" ca="1" si="151"/>
        <v>0.1</v>
      </c>
      <c r="B354" s="304">
        <f t="shared" ca="1" si="152"/>
        <v>26.000000000000103</v>
      </c>
      <c r="D354" s="306">
        <f t="shared" ca="1" si="153"/>
        <v>-0.78814428092068178</v>
      </c>
      <c r="E354" s="307">
        <f t="shared" ca="1" si="154"/>
        <v>-1.732509992734478</v>
      </c>
      <c r="F354" s="304">
        <f t="shared" ca="1" si="155"/>
        <v>1.9033555323356695</v>
      </c>
      <c r="G354" s="306">
        <f t="shared" ca="1" si="156"/>
        <v>9.1833464245371097</v>
      </c>
      <c r="H354" s="307">
        <f t="shared" ca="1" si="157"/>
        <v>-95.098778651903118</v>
      </c>
      <c r="I354" s="304">
        <f t="shared" ca="1" si="158"/>
        <v>95.541151095413966</v>
      </c>
      <c r="J354" s="306">
        <f t="shared" ca="1" si="159"/>
        <v>657.17675591414513</v>
      </c>
      <c r="K354" s="307">
        <f t="shared" ca="1" si="160"/>
        <v>249.20046574095355</v>
      </c>
      <c r="L354" s="304">
        <f t="shared" ca="1" si="145"/>
        <v>702.83864481070475</v>
      </c>
      <c r="M354" s="306">
        <f t="shared" ca="1" si="161"/>
        <v>-1.4745284241352952</v>
      </c>
      <c r="N354" s="304">
        <f t="shared" ca="1" si="162"/>
        <v>-84.484255475028604</v>
      </c>
      <c r="P354" s="310">
        <f t="shared" ca="1" si="163"/>
        <v>23</v>
      </c>
      <c r="Q354" s="304">
        <f t="shared" ca="1" si="164"/>
        <v>0</v>
      </c>
      <c r="R354" s="306">
        <f t="shared" ca="1" si="165"/>
        <v>0</v>
      </c>
      <c r="S354" s="307">
        <f t="shared" ca="1" si="166"/>
        <v>4.341000000000002</v>
      </c>
      <c r="T354" s="304">
        <f t="shared" ca="1" si="146"/>
        <v>42.585210000000025</v>
      </c>
      <c r="U354" s="311">
        <f t="shared" ca="1" si="147"/>
        <v>0</v>
      </c>
      <c r="V354" s="306">
        <f t="shared" ca="1" si="148"/>
        <v>1.1948486297225271</v>
      </c>
      <c r="W354" s="304">
        <f t="shared" ca="1" si="149"/>
        <v>35.386389025054761</v>
      </c>
      <c r="Y354" s="314" t="str">
        <f t="shared" ca="1" si="167"/>
        <v/>
      </c>
      <c r="Z354" s="315" t="str">
        <f t="shared" ca="1" si="168"/>
        <v/>
      </c>
      <c r="AA354" s="316" t="str">
        <f t="shared" ca="1" si="169"/>
        <v/>
      </c>
      <c r="AC354" s="310">
        <f t="shared" ca="1" si="170"/>
        <v>26.000000000000103</v>
      </c>
      <c r="AD354" s="323">
        <f t="shared" ca="1" si="171"/>
        <v>657.17675591414513</v>
      </c>
      <c r="AE354" s="324" t="e">
        <f t="shared" ca="1" si="150"/>
        <v>#N/A</v>
      </c>
      <c r="AG354" s="306">
        <f t="shared" ca="1" si="172"/>
        <v>1.6477831962860581</v>
      </c>
      <c r="AH354" s="304">
        <f t="shared" ca="1" si="173"/>
        <v>-8.1158496921161838</v>
      </c>
    </row>
    <row r="355" spans="1:34" x14ac:dyDescent="0.2">
      <c r="A355" s="347">
        <f t="shared" ca="1" si="151"/>
        <v>0.1</v>
      </c>
      <c r="B355" s="304">
        <f t="shared" ca="1" si="152"/>
        <v>26.100000000000104</v>
      </c>
      <c r="D355" s="306">
        <f t="shared" ca="1" si="153"/>
        <v>-0.78353240037435534</v>
      </c>
      <c r="E355" s="307">
        <f t="shared" ca="1" si="154"/>
        <v>-1.6960760701890791</v>
      </c>
      <c r="F355" s="304">
        <f t="shared" ca="1" si="155"/>
        <v>1.8683139613845499</v>
      </c>
      <c r="G355" s="306">
        <f t="shared" ca="1" si="156"/>
        <v>9.1049931844996745</v>
      </c>
      <c r="H355" s="307">
        <f t="shared" ca="1" si="157"/>
        <v>-95.268386258922021</v>
      </c>
      <c r="I355" s="304">
        <f t="shared" ca="1" si="158"/>
        <v>95.702488584513546</v>
      </c>
      <c r="J355" s="306">
        <f t="shared" ca="1" si="159"/>
        <v>658.09117289459698</v>
      </c>
      <c r="K355" s="307">
        <f t="shared" ca="1" si="160"/>
        <v>239.68210749541228</v>
      </c>
      <c r="L355" s="304">
        <f t="shared" ca="1" si="145"/>
        <v>700.37954317300614</v>
      </c>
      <c r="M355" s="306">
        <f t="shared" ca="1" si="161"/>
        <v>-1.4755136965976734</v>
      </c>
      <c r="N355" s="304">
        <f t="shared" ca="1" si="162"/>
        <v>-84.54070742879334</v>
      </c>
      <c r="P355" s="310">
        <f t="shared" ca="1" si="163"/>
        <v>23</v>
      </c>
      <c r="Q355" s="304">
        <f t="shared" ca="1" si="164"/>
        <v>0</v>
      </c>
      <c r="R355" s="306">
        <f t="shared" ca="1" si="165"/>
        <v>0</v>
      </c>
      <c r="S355" s="307">
        <f t="shared" ca="1" si="166"/>
        <v>4.341000000000002</v>
      </c>
      <c r="T355" s="304">
        <f t="shared" ca="1" si="146"/>
        <v>42.585210000000025</v>
      </c>
      <c r="U355" s="311">
        <f t="shared" ca="1" si="147"/>
        <v>0</v>
      </c>
      <c r="V355" s="306">
        <f t="shared" ca="1" si="148"/>
        <v>1.1959866409835413</v>
      </c>
      <c r="W355" s="304">
        <f t="shared" ca="1" si="149"/>
        <v>35.539818838491975</v>
      </c>
      <c r="Y355" s="314" t="str">
        <f t="shared" ca="1" si="167"/>
        <v/>
      </c>
      <c r="Z355" s="315" t="str">
        <f t="shared" ca="1" si="168"/>
        <v/>
      </c>
      <c r="AA355" s="316" t="str">
        <f t="shared" ca="1" si="169"/>
        <v/>
      </c>
      <c r="AC355" s="310" t="e">
        <f t="shared" ca="1" si="170"/>
        <v>#N/A</v>
      </c>
      <c r="AD355" s="323" t="e">
        <f t="shared" ca="1" si="171"/>
        <v>#N/A</v>
      </c>
      <c r="AE355" s="324" t="e">
        <f t="shared" ca="1" si="150"/>
        <v>#N/A</v>
      </c>
      <c r="AG355" s="306">
        <f t="shared" ca="1" si="172"/>
        <v>1.6129103694210247</v>
      </c>
      <c r="AH355" s="304">
        <f t="shared" ca="1" si="173"/>
        <v>-8.1516675938849907</v>
      </c>
    </row>
    <row r="356" spans="1:34" x14ac:dyDescent="0.2">
      <c r="A356" s="347">
        <f t="shared" ca="1" si="151"/>
        <v>0.1</v>
      </c>
      <c r="B356" s="304">
        <f t="shared" ca="1" si="152"/>
        <v>26.200000000000106</v>
      </c>
      <c r="D356" s="306">
        <f t="shared" ca="1" si="153"/>
        <v>-0.77890020450065012</v>
      </c>
      <c r="E356" s="307">
        <f t="shared" ca="1" si="154"/>
        <v>-1.6601239884674417</v>
      </c>
      <c r="F356" s="304">
        <f t="shared" ca="1" si="155"/>
        <v>1.8337658480995334</v>
      </c>
      <c r="G356" s="306">
        <f t="shared" ca="1" si="156"/>
        <v>9.0271031640496098</v>
      </c>
      <c r="H356" s="307">
        <f t="shared" ca="1" si="157"/>
        <v>-95.434398657768767</v>
      </c>
      <c r="I356" s="304">
        <f t="shared" ca="1" si="158"/>
        <v>95.86038305110371</v>
      </c>
      <c r="J356" s="306">
        <f t="shared" ca="1" si="159"/>
        <v>658.99777771202446</v>
      </c>
      <c r="K356" s="307">
        <f t="shared" ca="1" si="160"/>
        <v>230.14696824957775</v>
      </c>
      <c r="L356" s="304">
        <f t="shared" ca="1" si="145"/>
        <v>698.02986900551684</v>
      </c>
      <c r="M356" s="306">
        <f t="shared" ca="1" si="161"/>
        <v>-1.4764873094762379</v>
      </c>
      <c r="N356" s="304">
        <f t="shared" ca="1" si="162"/>
        <v>-84.596491337614665</v>
      </c>
      <c r="P356" s="310">
        <f t="shared" ca="1" si="163"/>
        <v>23</v>
      </c>
      <c r="Q356" s="304">
        <f t="shared" ca="1" si="164"/>
        <v>0</v>
      </c>
      <c r="R356" s="306">
        <f t="shared" ca="1" si="165"/>
        <v>0</v>
      </c>
      <c r="S356" s="307">
        <f t="shared" ca="1" si="166"/>
        <v>4.341000000000002</v>
      </c>
      <c r="T356" s="304">
        <f t="shared" ca="1" si="146"/>
        <v>42.585210000000025</v>
      </c>
      <c r="U356" s="311">
        <f t="shared" ca="1" si="147"/>
        <v>0</v>
      </c>
      <c r="V356" s="306">
        <f t="shared" ca="1" si="148"/>
        <v>1.1971277322850686</v>
      </c>
      <c r="W356" s="304">
        <f t="shared" ca="1" si="149"/>
        <v>35.691206641452531</v>
      </c>
      <c r="Y356" s="314" t="str">
        <f t="shared" ca="1" si="167"/>
        <v/>
      </c>
      <c r="Z356" s="315" t="str">
        <f t="shared" ca="1" si="168"/>
        <v/>
      </c>
      <c r="AA356" s="316" t="str">
        <f t="shared" ca="1" si="169"/>
        <v/>
      </c>
      <c r="AC356" s="310" t="e">
        <f t="shared" ca="1" si="170"/>
        <v>#N/A</v>
      </c>
      <c r="AD356" s="323" t="e">
        <f t="shared" ca="1" si="171"/>
        <v>#N/A</v>
      </c>
      <c r="AE356" s="324" t="e">
        <f t="shared" ca="1" si="150"/>
        <v>#N/A</v>
      </c>
      <c r="AG356" s="306">
        <f t="shared" ca="1" si="172"/>
        <v>1.5784903250894136</v>
      </c>
      <c r="AH356" s="304">
        <f t="shared" ca="1" si="173"/>
        <v>-8.1870119416014653</v>
      </c>
    </row>
    <row r="357" spans="1:34" x14ac:dyDescent="0.2">
      <c r="A357" s="347">
        <f t="shared" ca="1" si="151"/>
        <v>0.1</v>
      </c>
      <c r="B357" s="304">
        <f t="shared" ca="1" si="152"/>
        <v>26.300000000000107</v>
      </c>
      <c r="D357" s="306">
        <f t="shared" ca="1" si="153"/>
        <v>-0.7742490667690366</v>
      </c>
      <c r="E357" s="307">
        <f t="shared" ca="1" si="154"/>
        <v>-1.6246505301159999</v>
      </c>
      <c r="F357" s="304">
        <f t="shared" ca="1" si="155"/>
        <v>1.7997085770754451</v>
      </c>
      <c r="G357" s="306">
        <f t="shared" ca="1" si="156"/>
        <v>8.9496782573727067</v>
      </c>
      <c r="H357" s="307">
        <f t="shared" ca="1" si="157"/>
        <v>-95.596863710780369</v>
      </c>
      <c r="I357" s="304">
        <f t="shared" ca="1" si="158"/>
        <v>96.014879535663667</v>
      </c>
      <c r="J357" s="306">
        <f t="shared" ca="1" si="159"/>
        <v>659.89661678309562</v>
      </c>
      <c r="K357" s="307">
        <f t="shared" ca="1" si="160"/>
        <v>220.5954051311503</v>
      </c>
      <c r="L357" s="304">
        <f t="shared" ca="1" si="145"/>
        <v>695.79154752465342</v>
      </c>
      <c r="M357" s="306">
        <f t="shared" ca="1" si="161"/>
        <v>-1.4774494528177193</v>
      </c>
      <c r="N357" s="304">
        <f t="shared" ca="1" si="162"/>
        <v>-84.651618090368174</v>
      </c>
      <c r="P357" s="310">
        <f t="shared" ca="1" si="163"/>
        <v>23</v>
      </c>
      <c r="Q357" s="304">
        <f t="shared" ca="1" si="164"/>
        <v>0</v>
      </c>
      <c r="R357" s="306">
        <f t="shared" ca="1" si="165"/>
        <v>0</v>
      </c>
      <c r="S357" s="307">
        <f t="shared" ca="1" si="166"/>
        <v>4.341000000000002</v>
      </c>
      <c r="T357" s="304">
        <f t="shared" ca="1" si="146"/>
        <v>42.585210000000025</v>
      </c>
      <c r="U357" s="311">
        <f t="shared" ca="1" si="147"/>
        <v>0</v>
      </c>
      <c r="V357" s="306">
        <f t="shared" ca="1" si="148"/>
        <v>1.1982718680264892</v>
      </c>
      <c r="W357" s="304">
        <f t="shared" ca="1" si="149"/>
        <v>35.840566466929474</v>
      </c>
      <c r="Y357" s="314" t="str">
        <f t="shared" ca="1" si="167"/>
        <v/>
      </c>
      <c r="Z357" s="315" t="str">
        <f t="shared" ca="1" si="168"/>
        <v/>
      </c>
      <c r="AA357" s="316" t="str">
        <f t="shared" ca="1" si="169"/>
        <v/>
      </c>
      <c r="AC357" s="310" t="e">
        <f t="shared" ca="1" si="170"/>
        <v>#N/A</v>
      </c>
      <c r="AD357" s="323" t="e">
        <f t="shared" ca="1" si="171"/>
        <v>#N/A</v>
      </c>
      <c r="AE357" s="324" t="e">
        <f t="shared" ca="1" si="150"/>
        <v>#N/A</v>
      </c>
      <c r="AG357" s="306">
        <f t="shared" ca="1" si="172"/>
        <v>1.5445204312538774</v>
      </c>
      <c r="AH357" s="304">
        <f t="shared" ca="1" si="173"/>
        <v>-8.2218858883788339</v>
      </c>
    </row>
    <row r="358" spans="1:34" x14ac:dyDescent="0.2">
      <c r="A358" s="347">
        <f t="shared" ca="1" si="151"/>
        <v>0.1</v>
      </c>
      <c r="B358" s="304">
        <f t="shared" ca="1" si="152"/>
        <v>26.400000000000109</v>
      </c>
      <c r="D358" s="306">
        <f t="shared" ca="1" si="153"/>
        <v>-0.76958033301330753</v>
      </c>
      <c r="E358" s="307">
        <f t="shared" ca="1" si="154"/>
        <v>-1.5896523971167476</v>
      </c>
      <c r="F358" s="304">
        <f t="shared" ca="1" si="155"/>
        <v>1.766139471451758</v>
      </c>
      <c r="G358" s="306">
        <f t="shared" ca="1" si="156"/>
        <v>8.8727202240713758</v>
      </c>
      <c r="H358" s="307">
        <f t="shared" ca="1" si="157"/>
        <v>-95.755828950492045</v>
      </c>
      <c r="I358" s="304">
        <f t="shared" ca="1" si="158"/>
        <v>96.166022805201493</v>
      </c>
      <c r="J358" s="306">
        <f t="shared" ca="1" si="159"/>
        <v>660.78773670716782</v>
      </c>
      <c r="K358" s="307">
        <f t="shared" ca="1" si="160"/>
        <v>211.02777049808668</v>
      </c>
      <c r="L358" s="304">
        <f t="shared" ca="1" si="145"/>
        <v>693.66645652213458</v>
      </c>
      <c r="M358" s="306">
        <f t="shared" ca="1" si="161"/>
        <v>-1.4784003122064304</v>
      </c>
      <c r="N358" s="304">
        <f t="shared" ca="1" si="162"/>
        <v>-84.706098320251712</v>
      </c>
      <c r="P358" s="310">
        <f t="shared" ca="1" si="163"/>
        <v>23</v>
      </c>
      <c r="Q358" s="304">
        <f t="shared" ca="1" si="164"/>
        <v>0</v>
      </c>
      <c r="R358" s="306">
        <f t="shared" ca="1" si="165"/>
        <v>0</v>
      </c>
      <c r="S358" s="307">
        <f t="shared" ca="1" si="166"/>
        <v>4.341000000000002</v>
      </c>
      <c r="T358" s="304">
        <f t="shared" ca="1" si="146"/>
        <v>42.585210000000025</v>
      </c>
      <c r="U358" s="311">
        <f t="shared" ca="1" si="147"/>
        <v>0</v>
      </c>
      <c r="V358" s="306">
        <f t="shared" ca="1" si="148"/>
        <v>1.1994190130461848</v>
      </c>
      <c r="W358" s="304">
        <f t="shared" ca="1" si="149"/>
        <v>35.987912675363226</v>
      </c>
      <c r="Y358" s="314" t="str">
        <f t="shared" ca="1" si="167"/>
        <v/>
      </c>
      <c r="Z358" s="315" t="str">
        <f t="shared" ca="1" si="168"/>
        <v/>
      </c>
      <c r="AA358" s="316" t="str">
        <f t="shared" ca="1" si="169"/>
        <v/>
      </c>
      <c r="AC358" s="310" t="e">
        <f t="shared" ca="1" si="170"/>
        <v>#N/A</v>
      </c>
      <c r="AD358" s="323" t="e">
        <f t="shared" ca="1" si="171"/>
        <v>#N/A</v>
      </c>
      <c r="AE358" s="324" t="e">
        <f t="shared" ca="1" si="150"/>
        <v>#N/A</v>
      </c>
      <c r="AG358" s="306">
        <f t="shared" ca="1" si="172"/>
        <v>1.510997960760097</v>
      </c>
      <c r="AH358" s="304">
        <f t="shared" ca="1" si="173"/>
        <v>-8.2562926668807783</v>
      </c>
    </row>
    <row r="359" spans="1:34" x14ac:dyDescent="0.2">
      <c r="A359" s="347">
        <f t="shared" ca="1" si="151"/>
        <v>0.1</v>
      </c>
      <c r="B359" s="304">
        <f t="shared" ca="1" si="152"/>
        <v>26.50000000000011</v>
      </c>
      <c r="D359" s="306">
        <f t="shared" ca="1" si="153"/>
        <v>-0.76489532158505802</v>
      </c>
      <c r="E359" s="307">
        <f t="shared" ca="1" si="154"/>
        <v>-1.5551262150671317</v>
      </c>
      <c r="F359" s="304">
        <f t="shared" ca="1" si="155"/>
        <v>1.7330557976509966</v>
      </c>
      <c r="G359" s="306">
        <f t="shared" ca="1" si="156"/>
        <v>8.7962306919128697</v>
      </c>
      <c r="H359" s="307">
        <f t="shared" ca="1" si="157"/>
        <v>-95.911341571998761</v>
      </c>
      <c r="I359" s="304">
        <f t="shared" ca="1" si="158"/>
        <v>96.313857344236652</v>
      </c>
      <c r="J359" s="306">
        <f t="shared" ca="1" si="159"/>
        <v>661.67118425296701</v>
      </c>
      <c r="K359" s="307">
        <f t="shared" ca="1" si="160"/>
        <v>201.44441197196215</v>
      </c>
      <c r="L359" s="304">
        <f t="shared" ca="1" si="145"/>
        <v>691.65642278912833</v>
      </c>
      <c r="M359" s="306">
        <f t="shared" ca="1" si="161"/>
        <v>-1.4793400688987872</v>
      </c>
      <c r="N359" s="304">
        <f t="shared" ca="1" si="162"/>
        <v>-84.759942412492919</v>
      </c>
      <c r="P359" s="310">
        <f t="shared" ca="1" si="163"/>
        <v>23</v>
      </c>
      <c r="Q359" s="304">
        <f t="shared" ca="1" si="164"/>
        <v>0</v>
      </c>
      <c r="R359" s="306">
        <f t="shared" ca="1" si="165"/>
        <v>0</v>
      </c>
      <c r="S359" s="307">
        <f t="shared" ca="1" si="166"/>
        <v>4.341000000000002</v>
      </c>
      <c r="T359" s="304">
        <f t="shared" ca="1" si="146"/>
        <v>42.585210000000025</v>
      </c>
      <c r="U359" s="311">
        <f t="shared" ca="1" si="147"/>
        <v>0</v>
      </c>
      <c r="V359" s="306">
        <f t="shared" ca="1" si="148"/>
        <v>1.2005691326191099</v>
      </c>
      <c r="W359" s="304">
        <f t="shared" ca="1" si="149"/>
        <v>36.133259937169797</v>
      </c>
      <c r="Y359" s="314" t="str">
        <f t="shared" ca="1" si="167"/>
        <v/>
      </c>
      <c r="Z359" s="315" t="str">
        <f t="shared" ca="1" si="168"/>
        <v/>
      </c>
      <c r="AA359" s="316" t="str">
        <f t="shared" ca="1" si="169"/>
        <v/>
      </c>
      <c r="AC359" s="310" t="e">
        <f t="shared" ca="1" si="170"/>
        <v>#N/A</v>
      </c>
      <c r="AD359" s="323" t="e">
        <f t="shared" ca="1" si="171"/>
        <v>#N/A</v>
      </c>
      <c r="AE359" s="324" t="e">
        <f t="shared" ca="1" si="150"/>
        <v>#N/A</v>
      </c>
      <c r="AG359" s="306">
        <f t="shared" ca="1" si="172"/>
        <v>1.4779200960111023</v>
      </c>
      <c r="AH359" s="304">
        <f t="shared" ca="1" si="173"/>
        <v>-8.2902355852023053</v>
      </c>
    </row>
    <row r="360" spans="1:34" x14ac:dyDescent="0.2">
      <c r="A360" s="347">
        <f t="shared" ca="1" si="151"/>
        <v>0.1</v>
      </c>
      <c r="B360" s="304">
        <f t="shared" ca="1" si="152"/>
        <v>26.600000000000112</v>
      </c>
      <c r="D360" s="306">
        <f t="shared" ca="1" si="153"/>
        <v>-0.76019532352120145</v>
      </c>
      <c r="E360" s="307">
        <f t="shared" ca="1" si="154"/>
        <v>-1.5210685372643002</v>
      </c>
      <c r="F360" s="304">
        <f t="shared" ca="1" si="155"/>
        <v>1.7004547700420796</v>
      </c>
      <c r="G360" s="306">
        <f t="shared" ca="1" si="156"/>
        <v>8.7202111595607494</v>
      </c>
      <c r="H360" s="307">
        <f t="shared" ca="1" si="157"/>
        <v>-96.063448425725198</v>
      </c>
      <c r="I360" s="304">
        <f t="shared" ca="1" si="158"/>
        <v>96.458427346237059</v>
      </c>
      <c r="J360" s="306">
        <f t="shared" ca="1" si="159"/>
        <v>662.54700634554069</v>
      </c>
      <c r="K360" s="307">
        <f t="shared" ca="1" si="160"/>
        <v>191.84567247207596</v>
      </c>
      <c r="L360" s="304">
        <f t="shared" ca="1" si="145"/>
        <v>689.76321854945331</v>
      </c>
      <c r="M360" s="306">
        <f t="shared" ca="1" si="161"/>
        <v>-1.48026889995307</v>
      </c>
      <c r="N360" s="304">
        <f t="shared" ca="1" si="162"/>
        <v>-84.813160511784019</v>
      </c>
      <c r="P360" s="310">
        <f t="shared" ca="1" si="163"/>
        <v>23</v>
      </c>
      <c r="Q360" s="304">
        <f t="shared" ca="1" si="164"/>
        <v>0</v>
      </c>
      <c r="R360" s="306">
        <f t="shared" ca="1" si="165"/>
        <v>0</v>
      </c>
      <c r="S360" s="307">
        <f t="shared" ca="1" si="166"/>
        <v>4.341000000000002</v>
      </c>
      <c r="T360" s="304">
        <f t="shared" ca="1" si="146"/>
        <v>42.585210000000025</v>
      </c>
      <c r="U360" s="311">
        <f t="shared" ca="1" si="147"/>
        <v>0</v>
      </c>
      <c r="V360" s="306">
        <f t="shared" ca="1" si="148"/>
        <v>1.2017221924542851</v>
      </c>
      <c r="W360" s="304">
        <f t="shared" ca="1" si="149"/>
        <v>36.276623215677979</v>
      </c>
      <c r="Y360" s="314" t="str">
        <f t="shared" ca="1" si="167"/>
        <v/>
      </c>
      <c r="Z360" s="315" t="str">
        <f t="shared" ca="1" si="168"/>
        <v/>
      </c>
      <c r="AA360" s="316" t="str">
        <f t="shared" ca="1" si="169"/>
        <v/>
      </c>
      <c r="AC360" s="310" t="e">
        <f t="shared" ca="1" si="170"/>
        <v>#N/A</v>
      </c>
      <c r="AD360" s="323" t="e">
        <f t="shared" ca="1" si="171"/>
        <v>#N/A</v>
      </c>
      <c r="AE360" s="324" t="e">
        <f t="shared" ca="1" si="150"/>
        <v>#N/A</v>
      </c>
      <c r="AG360" s="306">
        <f t="shared" ca="1" si="172"/>
        <v>1.4452839335242427</v>
      </c>
      <c r="AH360" s="304">
        <f t="shared" ca="1" si="173"/>
        <v>-8.3237180228449166</v>
      </c>
    </row>
    <row r="361" spans="1:34" x14ac:dyDescent="0.2">
      <c r="A361" s="347">
        <f t="shared" ca="1" si="151"/>
        <v>0.1</v>
      </c>
      <c r="B361" s="304">
        <f t="shared" ca="1" si="152"/>
        <v>26.700000000000113</v>
      </c>
      <c r="D361" s="306">
        <f t="shared" ca="1" si="153"/>
        <v>-0.7554816027247605</v>
      </c>
      <c r="E361" s="307">
        <f t="shared" ca="1" si="154"/>
        <v>-1.4874758486937871</v>
      </c>
      <c r="F361" s="304">
        <f t="shared" ca="1" si="155"/>
        <v>1.6683335555286523</v>
      </c>
      <c r="G361" s="306">
        <f t="shared" ca="1" si="156"/>
        <v>8.6446629992882738</v>
      </c>
      <c r="H361" s="307">
        <f t="shared" ca="1" si="157"/>
        <v>-96.212196010594582</v>
      </c>
      <c r="I361" s="304">
        <f t="shared" ca="1" si="158"/>
        <v>96.599776705499352</v>
      </c>
      <c r="J361" s="306">
        <f t="shared" ca="1" si="159"/>
        <v>663.41525005348319</v>
      </c>
      <c r="K361" s="307">
        <f t="shared" ca="1" si="160"/>
        <v>182.23189025025997</v>
      </c>
      <c r="L361" s="304">
        <f t="shared" ca="1" si="145"/>
        <v>687.98855791917674</v>
      </c>
      <c r="M361" s="306">
        <f t="shared" ca="1" si="161"/>
        <v>-1.4811869783546094</v>
      </c>
      <c r="N361" s="304">
        <f t="shared" ca="1" si="162"/>
        <v>-84.865762529454344</v>
      </c>
      <c r="P361" s="310">
        <f t="shared" ca="1" si="163"/>
        <v>23</v>
      </c>
      <c r="Q361" s="304">
        <f t="shared" ca="1" si="164"/>
        <v>0</v>
      </c>
      <c r="R361" s="306">
        <f t="shared" ca="1" si="165"/>
        <v>0</v>
      </c>
      <c r="S361" s="307">
        <f t="shared" ca="1" si="166"/>
        <v>4.341000000000002</v>
      </c>
      <c r="T361" s="304">
        <f t="shared" ca="1" si="146"/>
        <v>42.585210000000025</v>
      </c>
      <c r="U361" s="311">
        <f t="shared" ca="1" si="147"/>
        <v>0</v>
      </c>
      <c r="V361" s="306">
        <f t="shared" ca="1" si="148"/>
        <v>1.2028781586922099</v>
      </c>
      <c r="W361" s="304">
        <f t="shared" ca="1" si="149"/>
        <v>36.418017750474391</v>
      </c>
      <c r="Y361" s="314" t="str">
        <f t="shared" ca="1" si="167"/>
        <v/>
      </c>
      <c r="Z361" s="315" t="str">
        <f t="shared" ca="1" si="168"/>
        <v/>
      </c>
      <c r="AA361" s="316" t="str">
        <f t="shared" ca="1" si="169"/>
        <v/>
      </c>
      <c r="AC361" s="310" t="e">
        <f t="shared" ca="1" si="170"/>
        <v>#N/A</v>
      </c>
      <c r="AD361" s="323" t="e">
        <f t="shared" ca="1" si="171"/>
        <v>#N/A</v>
      </c>
      <c r="AE361" s="324" t="e">
        <f t="shared" ca="1" si="150"/>
        <v>#N/A</v>
      </c>
      <c r="AG361" s="306">
        <f t="shared" ca="1" si="172"/>
        <v>1.4130864883720449</v>
      </c>
      <c r="AH361" s="304">
        <f t="shared" ca="1" si="173"/>
        <v>-8.3567434267859859</v>
      </c>
    </row>
    <row r="362" spans="1:34" x14ac:dyDescent="0.2">
      <c r="A362" s="347">
        <f t="shared" ca="1" si="151"/>
        <v>0.1</v>
      </c>
      <c r="B362" s="304">
        <f t="shared" ca="1" si="152"/>
        <v>26.800000000000114</v>
      </c>
      <c r="D362" s="306">
        <f t="shared" ca="1" si="153"/>
        <v>-0.75075539615825804</v>
      </c>
      <c r="E362" s="307">
        <f t="shared" ca="1" si="154"/>
        <v>-1.4543445699228741</v>
      </c>
      <c r="F362" s="304">
        <f t="shared" ca="1" si="155"/>
        <v>1.6366892780625444</v>
      </c>
      <c r="G362" s="306">
        <f t="shared" ca="1" si="156"/>
        <v>8.5695874596724479</v>
      </c>
      <c r="H362" s="307">
        <f t="shared" ca="1" si="157"/>
        <v>-96.357630467586873</v>
      </c>
      <c r="I362" s="304">
        <f t="shared" ca="1" si="158"/>
        <v>96.737949009460607</v>
      </c>
      <c r="J362" s="306">
        <f t="shared" ca="1" si="159"/>
        <v>664.2759625764312</v>
      </c>
      <c r="K362" s="307">
        <f t="shared" ca="1" si="160"/>
        <v>172.60339892635091</v>
      </c>
      <c r="L362" s="304">
        <f t="shared" ca="1" si="145"/>
        <v>686.33409341061679</v>
      </c>
      <c r="M362" s="306">
        <f t="shared" ca="1" si="161"/>
        <v>-1.4820944731365904</v>
      </c>
      <c r="N362" s="304">
        <f t="shared" ca="1" si="162"/>
        <v>-84.91775815039199</v>
      </c>
      <c r="P362" s="310">
        <f t="shared" ca="1" si="163"/>
        <v>23</v>
      </c>
      <c r="Q362" s="304">
        <f t="shared" ca="1" si="164"/>
        <v>0</v>
      </c>
      <c r="R362" s="306">
        <f t="shared" ca="1" si="165"/>
        <v>0</v>
      </c>
      <c r="S362" s="307">
        <f t="shared" ca="1" si="166"/>
        <v>4.341000000000002</v>
      </c>
      <c r="T362" s="304">
        <f t="shared" ca="1" si="146"/>
        <v>42.585210000000025</v>
      </c>
      <c r="U362" s="311">
        <f t="shared" ca="1" si="147"/>
        <v>0</v>
      </c>
      <c r="V362" s="306">
        <f t="shared" ca="1" si="148"/>
        <v>1.204036997902211</v>
      </c>
      <c r="W362" s="304">
        <f t="shared" ca="1" si="149"/>
        <v>36.557459041155361</v>
      </c>
      <c r="Y362" s="314" t="str">
        <f t="shared" ca="1" si="167"/>
        <v/>
      </c>
      <c r="Z362" s="315" t="str">
        <f t="shared" ca="1" si="168"/>
        <v/>
      </c>
      <c r="AA362" s="316" t="str">
        <f t="shared" ca="1" si="169"/>
        <v/>
      </c>
      <c r="AC362" s="310" t="e">
        <f t="shared" ca="1" si="170"/>
        <v>#N/A</v>
      </c>
      <c r="AD362" s="323" t="e">
        <f t="shared" ca="1" si="171"/>
        <v>#N/A</v>
      </c>
      <c r="AE362" s="324" t="e">
        <f t="shared" ca="1" si="150"/>
        <v>#N/A</v>
      </c>
      <c r="AG362" s="306">
        <f t="shared" ca="1" si="172"/>
        <v>1.3813246985081467</v>
      </c>
      <c r="AH362" s="304">
        <f t="shared" ca="1" si="173"/>
        <v>-8.3893153076421036</v>
      </c>
    </row>
    <row r="363" spans="1:34" x14ac:dyDescent="0.2">
      <c r="A363" s="347">
        <f t="shared" ca="1" si="151"/>
        <v>0.1</v>
      </c>
      <c r="B363" s="304">
        <f t="shared" ca="1" si="152"/>
        <v>26.900000000000116</v>
      </c>
      <c r="D363" s="306">
        <f t="shared" ca="1" si="153"/>
        <v>-0.74601791404894691</v>
      </c>
      <c r="E363" s="307">
        <f t="shared" ca="1" si="154"/>
        <v>-1.4216710608988858</v>
      </c>
      <c r="F363" s="304">
        <f t="shared" ca="1" si="155"/>
        <v>1.6055190230823506</v>
      </c>
      <c r="G363" s="306">
        <f t="shared" ca="1" si="156"/>
        <v>8.4949856682675531</v>
      </c>
      <c r="H363" s="307">
        <f t="shared" ca="1" si="157"/>
        <v>-96.499797573676759</v>
      </c>
      <c r="I363" s="304">
        <f t="shared" ca="1" si="158"/>
        <v>96.872987531430354</v>
      </c>
      <c r="J363" s="306">
        <f t="shared" ca="1" si="159"/>
        <v>665.12919123282825</v>
      </c>
      <c r="K363" s="307">
        <f t="shared" ca="1" si="160"/>
        <v>162.96052752428773</v>
      </c>
      <c r="L363" s="304">
        <f t="shared" ca="1" si="145"/>
        <v>684.80141249929557</v>
      </c>
      <c r="M363" s="306">
        <f t="shared" ca="1" si="161"/>
        <v>-1.4829915494966401</v>
      </c>
      <c r="N363" s="304">
        <f t="shared" ca="1" si="162"/>
        <v>-84.969156839723809</v>
      </c>
      <c r="P363" s="310">
        <f t="shared" ca="1" si="163"/>
        <v>23</v>
      </c>
      <c r="Q363" s="304">
        <f t="shared" ca="1" si="164"/>
        <v>0</v>
      </c>
      <c r="R363" s="306">
        <f t="shared" ca="1" si="165"/>
        <v>0</v>
      </c>
      <c r="S363" s="307">
        <f t="shared" ca="1" si="166"/>
        <v>4.341000000000002</v>
      </c>
      <c r="T363" s="304">
        <f t="shared" ca="1" si="146"/>
        <v>42.585210000000025</v>
      </c>
      <c r="U363" s="311">
        <f t="shared" ca="1" si="147"/>
        <v>0</v>
      </c>
      <c r="V363" s="306">
        <f t="shared" ca="1" si="148"/>
        <v>1.2051986770797134</v>
      </c>
      <c r="W363" s="304">
        <f t="shared" ca="1" si="149"/>
        <v>36.694962831483139</v>
      </c>
      <c r="Y363" s="314" t="str">
        <f t="shared" ca="1" si="167"/>
        <v/>
      </c>
      <c r="Z363" s="315" t="str">
        <f t="shared" ca="1" si="168"/>
        <v/>
      </c>
      <c r="AA363" s="316" t="str">
        <f t="shared" ca="1" si="169"/>
        <v/>
      </c>
      <c r="AC363" s="310" t="e">
        <f t="shared" ca="1" si="170"/>
        <v>#N/A</v>
      </c>
      <c r="AD363" s="323" t="e">
        <f t="shared" ca="1" si="171"/>
        <v>#N/A</v>
      </c>
      <c r="AE363" s="324" t="e">
        <f t="shared" ca="1" si="150"/>
        <v>#N/A</v>
      </c>
      <c r="AG363" s="306">
        <f t="shared" ca="1" si="172"/>
        <v>1.3499954289795877</v>
      </c>
      <c r="AH363" s="304">
        <f t="shared" ca="1" si="173"/>
        <v>-8.4214372359261329</v>
      </c>
    </row>
    <row r="364" spans="1:34" x14ac:dyDescent="0.2">
      <c r="A364" s="347">
        <f t="shared" ca="1" si="151"/>
        <v>0.1</v>
      </c>
      <c r="B364" s="304">
        <f t="shared" ca="1" si="152"/>
        <v>27.000000000000117</v>
      </c>
      <c r="D364" s="306">
        <f t="shared" ca="1" si="153"/>
        <v>-0.74127034010524384</v>
      </c>
      <c r="E364" s="307">
        <f t="shared" ca="1" si="154"/>
        <v>-1.3894516246529864</v>
      </c>
      <c r="F364" s="304">
        <f t="shared" ca="1" si="155"/>
        <v>1.5748198418773391</v>
      </c>
      <c r="G364" s="306">
        <f t="shared" ca="1" si="156"/>
        <v>8.4208586342570282</v>
      </c>
      <c r="H364" s="307">
        <f t="shared" ca="1" si="157"/>
        <v>-96.638742736142063</v>
      </c>
      <c r="I364" s="304">
        <f t="shared" ca="1" si="158"/>
        <v>97.004935223731749</v>
      </c>
      <c r="J364" s="306">
        <f t="shared" ca="1" si="159"/>
        <v>665.97498344795451</v>
      </c>
      <c r="K364" s="307">
        <f t="shared" ca="1" si="160"/>
        <v>153.30360050879679</v>
      </c>
      <c r="L364" s="304">
        <f t="shared" ca="1" si="145"/>
        <v>683.39203427276209</v>
      </c>
      <c r="M364" s="306">
        <f t="shared" ca="1" si="161"/>
        <v>-1.4838783689093757</v>
      </c>
      <c r="N364" s="304">
        <f t="shared" ca="1" si="162"/>
        <v>-85.019967849263821</v>
      </c>
      <c r="P364" s="310">
        <f t="shared" ca="1" si="163"/>
        <v>23</v>
      </c>
      <c r="Q364" s="304">
        <f t="shared" ca="1" si="164"/>
        <v>0</v>
      </c>
      <c r="R364" s="306">
        <f t="shared" ca="1" si="165"/>
        <v>0</v>
      </c>
      <c r="S364" s="307">
        <f t="shared" ca="1" si="166"/>
        <v>4.341000000000002</v>
      </c>
      <c r="T364" s="304">
        <f t="shared" ca="1" si="146"/>
        <v>42.585210000000025</v>
      </c>
      <c r="U364" s="311">
        <f t="shared" ca="1" si="147"/>
        <v>0</v>
      </c>
      <c r="V364" s="306">
        <f t="shared" ca="1" si="148"/>
        <v>1.2063631636434502</v>
      </c>
      <c r="W364" s="304">
        <f t="shared" ca="1" si="149"/>
        <v>36.830545093944885</v>
      </c>
      <c r="Y364" s="314" t="str">
        <f t="shared" ca="1" si="167"/>
        <v/>
      </c>
      <c r="Z364" s="315" t="str">
        <f t="shared" ca="1" si="168"/>
        <v/>
      </c>
      <c r="AA364" s="316" t="str">
        <f t="shared" ca="1" si="169"/>
        <v/>
      </c>
      <c r="AC364" s="310">
        <f t="shared" ca="1" si="170"/>
        <v>27.000000000000117</v>
      </c>
      <c r="AD364" s="323">
        <f t="shared" ca="1" si="171"/>
        <v>665.97498344795451</v>
      </c>
      <c r="AE364" s="324" t="e">
        <f t="shared" ca="1" si="150"/>
        <v>#N/A</v>
      </c>
      <c r="AG364" s="306">
        <f t="shared" ca="1" si="172"/>
        <v>1.319095476026936</v>
      </c>
      <c r="AH364" s="304">
        <f t="shared" ca="1" si="173"/>
        <v>-8.4531128383974021</v>
      </c>
    </row>
    <row r="365" spans="1:34" x14ac:dyDescent="0.2">
      <c r="A365" s="347">
        <f t="shared" ca="1" si="151"/>
        <v>0.1</v>
      </c>
      <c r="B365" s="304">
        <f t="shared" ca="1" si="152"/>
        <v>27.100000000000119</v>
      </c>
      <c r="D365" s="306">
        <f t="shared" ca="1" si="153"/>
        <v>-0.73651383174366925</v>
      </c>
      <c r="E365" s="307">
        <f t="shared" ca="1" si="154"/>
        <v>-1.3576825109098198</v>
      </c>
      <c r="F365" s="304">
        <f t="shared" ca="1" si="155"/>
        <v>1.5445887558765068</v>
      </c>
      <c r="G365" s="306">
        <f t="shared" ca="1" si="156"/>
        <v>8.3472072510826614</v>
      </c>
      <c r="H365" s="307">
        <f t="shared" ca="1" si="157"/>
        <v>-96.774510987233043</v>
      </c>
      <c r="I365" s="304">
        <f t="shared" ca="1" si="158"/>
        <v>97.133834711240638</v>
      </c>
      <c r="J365" s="306">
        <f t="shared" ca="1" si="159"/>
        <v>666.8133867422215</v>
      </c>
      <c r="K365" s="307">
        <f t="shared" ca="1" si="160"/>
        <v>143.63293782262804</v>
      </c>
      <c r="L365" s="304">
        <f t="shared" ca="1" si="145"/>
        <v>682.10740618042723</v>
      </c>
      <c r="M365" s="306">
        <f t="shared" ca="1" si="161"/>
        <v>-1.4847550892350647</v>
      </c>
      <c r="N365" s="304">
        <f t="shared" ca="1" si="162"/>
        <v>-85.070200223739135</v>
      </c>
      <c r="P365" s="310">
        <f t="shared" ca="1" si="163"/>
        <v>23</v>
      </c>
      <c r="Q365" s="304">
        <f t="shared" ca="1" si="164"/>
        <v>0</v>
      </c>
      <c r="R365" s="306">
        <f t="shared" ca="1" si="165"/>
        <v>0</v>
      </c>
      <c r="S365" s="307">
        <f t="shared" ca="1" si="166"/>
        <v>4.341000000000002</v>
      </c>
      <c r="T365" s="304">
        <f t="shared" ca="1" si="146"/>
        <v>42.585210000000025</v>
      </c>
      <c r="U365" s="311">
        <f t="shared" ca="1" si="147"/>
        <v>0</v>
      </c>
      <c r="V365" s="306">
        <f t="shared" ca="1" si="148"/>
        <v>1.2075304254326094</v>
      </c>
      <c r="W365" s="304">
        <f t="shared" ca="1" si="149"/>
        <v>36.964222014711432</v>
      </c>
      <c r="Y365" s="314" t="str">
        <f t="shared" ca="1" si="167"/>
        <v/>
      </c>
      <c r="Z365" s="315" t="str">
        <f t="shared" ca="1" si="168"/>
        <v/>
      </c>
      <c r="AA365" s="316" t="str">
        <f t="shared" ca="1" si="169"/>
        <v/>
      </c>
      <c r="AC365" s="310" t="e">
        <f t="shared" ca="1" si="170"/>
        <v>#N/A</v>
      </c>
      <c r="AD365" s="323" t="e">
        <f t="shared" ca="1" si="171"/>
        <v>#N/A</v>
      </c>
      <c r="AE365" s="324" t="e">
        <f t="shared" ca="1" si="150"/>
        <v>#N/A</v>
      </c>
      <c r="AG365" s="306">
        <f t="shared" ca="1" si="172"/>
        <v>1.2886215710734685</v>
      </c>
      <c r="AH365" s="304">
        <f t="shared" ca="1" si="173"/>
        <v>-8.4843457945046925</v>
      </c>
    </row>
    <row r="366" spans="1:34" x14ac:dyDescent="0.2">
      <c r="A366" s="347">
        <f t="shared" ca="1" si="151"/>
        <v>0.1</v>
      </c>
      <c r="B366" s="304">
        <f t="shared" ca="1" si="152"/>
        <v>27.20000000000012</v>
      </c>
      <c r="D366" s="306">
        <f t="shared" ca="1" si="153"/>
        <v>-0.73174952032567275</v>
      </c>
      <c r="E366" s="307">
        <f t="shared" ca="1" si="154"/>
        <v>-1.3263599196037124</v>
      </c>
      <c r="F366" s="304">
        <f t="shared" ca="1" si="155"/>
        <v>1.5148227608628075</v>
      </c>
      <c r="G366" s="306">
        <f t="shared" ca="1" si="156"/>
        <v>8.274032299050095</v>
      </c>
      <c r="H366" s="307">
        <f t="shared" ca="1" si="157"/>
        <v>-96.907146979193413</v>
      </c>
      <c r="I366" s="304">
        <f t="shared" ca="1" si="158"/>
        <v>97.259728285312008</v>
      </c>
      <c r="J366" s="306">
        <f t="shared" ca="1" si="159"/>
        <v>667.64444871972819</v>
      </c>
      <c r="K366" s="307">
        <f t="shared" ca="1" si="160"/>
        <v>133.94885492430672</v>
      </c>
      <c r="L366" s="304">
        <f t="shared" ca="1" si="145"/>
        <v>680.94890090358672</v>
      </c>
      <c r="M366" s="306">
        <f t="shared" ca="1" si="161"/>
        <v>-1.4856218648245569</v>
      </c>
      <c r="N366" s="304">
        <f t="shared" ca="1" si="162"/>
        <v>-85.119862806802004</v>
      </c>
      <c r="P366" s="310">
        <f t="shared" ca="1" si="163"/>
        <v>23</v>
      </c>
      <c r="Q366" s="304">
        <f t="shared" ca="1" si="164"/>
        <v>0</v>
      </c>
      <c r="R366" s="306">
        <f t="shared" ca="1" si="165"/>
        <v>0</v>
      </c>
      <c r="S366" s="307">
        <f t="shared" ca="1" si="166"/>
        <v>4.341000000000002</v>
      </c>
      <c r="T366" s="304">
        <f t="shared" ca="1" si="146"/>
        <v>42.585210000000025</v>
      </c>
      <c r="U366" s="311">
        <f t="shared" ca="1" si="147"/>
        <v>0</v>
      </c>
      <c r="V366" s="306">
        <f t="shared" ca="1" si="148"/>
        <v>1.2087004307039209</v>
      </c>
      <c r="W366" s="304">
        <f t="shared" ca="1" si="149"/>
        <v>37.096009978993273</v>
      </c>
      <c r="Y366" s="314" t="str">
        <f t="shared" ca="1" si="167"/>
        <v/>
      </c>
      <c r="Z366" s="315" t="str">
        <f t="shared" ca="1" si="168"/>
        <v/>
      </c>
      <c r="AA366" s="316" t="str">
        <f t="shared" ca="1" si="169"/>
        <v/>
      </c>
      <c r="AC366" s="310" t="e">
        <f t="shared" ca="1" si="170"/>
        <v>#N/A</v>
      </c>
      <c r="AD366" s="323" t="e">
        <f t="shared" ca="1" si="171"/>
        <v>#N/A</v>
      </c>
      <c r="AE366" s="324" t="e">
        <f t="shared" ca="1" si="150"/>
        <v>#N/A</v>
      </c>
      <c r="AG366" s="306">
        <f t="shared" ca="1" si="172"/>
        <v>1.2585703846049157</v>
      </c>
      <c r="AH366" s="304">
        <f t="shared" ca="1" si="173"/>
        <v>-8.5151398329213119</v>
      </c>
    </row>
    <row r="367" spans="1:34" x14ac:dyDescent="0.2">
      <c r="A367" s="347">
        <f t="shared" ca="1" si="151"/>
        <v>0.1</v>
      </c>
      <c r="B367" s="304">
        <f t="shared" ca="1" si="152"/>
        <v>27.300000000000122</v>
      </c>
      <c r="D367" s="306">
        <f t="shared" ca="1" si="153"/>
        <v>-0.72697851140369407</v>
      </c>
      <c r="E367" s="307">
        <f t="shared" ca="1" si="154"/>
        <v>-1.2954800043020018</v>
      </c>
      <c r="F367" s="304">
        <f t="shared" ca="1" si="155"/>
        <v>1.4855188311122298</v>
      </c>
      <c r="G367" s="306">
        <f t="shared" ca="1" si="156"/>
        <v>8.2013344479097263</v>
      </c>
      <c r="H367" s="307">
        <f t="shared" ca="1" si="157"/>
        <v>-97.036694979623618</v>
      </c>
      <c r="I367" s="304">
        <f t="shared" ca="1" si="158"/>
        <v>97.382657898082556</v>
      </c>
      <c r="J367" s="306">
        <f t="shared" ca="1" si="159"/>
        <v>668.46821705707623</v>
      </c>
      <c r="K367" s="307">
        <f t="shared" ca="1" si="160"/>
        <v>124.25166282636586</v>
      </c>
      <c r="L367" s="304">
        <f t="shared" ca="1" si="145"/>
        <v>679.91781336466192</v>
      </c>
      <c r="M367" s="306">
        <f t="shared" ca="1" si="161"/>
        <v>-1.4864788466206296</v>
      </c>
      <c r="N367" s="304">
        <f t="shared" ca="1" si="162"/>
        <v>-85.168964246836509</v>
      </c>
      <c r="P367" s="310">
        <f t="shared" ca="1" si="163"/>
        <v>23</v>
      </c>
      <c r="Q367" s="304">
        <f t="shared" ca="1" si="164"/>
        <v>0</v>
      </c>
      <c r="R367" s="306">
        <f t="shared" ca="1" si="165"/>
        <v>0</v>
      </c>
      <c r="S367" s="307">
        <f t="shared" ca="1" si="166"/>
        <v>4.341000000000002</v>
      </c>
      <c r="T367" s="304">
        <f t="shared" ca="1" si="146"/>
        <v>42.585210000000025</v>
      </c>
      <c r="U367" s="311">
        <f t="shared" ca="1" si="147"/>
        <v>0</v>
      </c>
      <c r="V367" s="306">
        <f t="shared" ca="1" si="148"/>
        <v>1.2098731481286871</v>
      </c>
      <c r="W367" s="304">
        <f t="shared" ca="1" si="149"/>
        <v>37.225925556790187</v>
      </c>
      <c r="Y367" s="314" t="str">
        <f t="shared" ca="1" si="167"/>
        <v/>
      </c>
      <c r="Z367" s="315" t="str">
        <f t="shared" ca="1" si="168"/>
        <v/>
      </c>
      <c r="AA367" s="316" t="str">
        <f t="shared" ca="1" si="169"/>
        <v/>
      </c>
      <c r="AC367" s="310" t="e">
        <f t="shared" ca="1" si="170"/>
        <v>#N/A</v>
      </c>
      <c r="AD367" s="323" t="e">
        <f t="shared" ca="1" si="171"/>
        <v>#N/A</v>
      </c>
      <c r="AE367" s="324" t="e">
        <f t="shared" ca="1" si="150"/>
        <v>#N/A</v>
      </c>
      <c r="AG367" s="306">
        <f t="shared" ca="1" si="172"/>
        <v>1.2289385299411908</v>
      </c>
      <c r="AH367" s="304">
        <f t="shared" ca="1" si="173"/>
        <v>-8.5454987281716779</v>
      </c>
    </row>
    <row r="368" spans="1:34" x14ac:dyDescent="0.2">
      <c r="A368" s="347">
        <f t="shared" ca="1" si="151"/>
        <v>0.1</v>
      </c>
      <c r="B368" s="304">
        <f t="shared" ca="1" si="152"/>
        <v>27.400000000000123</v>
      </c>
      <c r="D368" s="306">
        <f t="shared" ca="1" si="153"/>
        <v>-0.72220188497587245</v>
      </c>
      <c r="E368" s="307">
        <f t="shared" ca="1" si="154"/>
        <v>-1.2650388755363657</v>
      </c>
      <c r="F368" s="304">
        <f t="shared" ca="1" si="155"/>
        <v>1.4566739234574826</v>
      </c>
      <c r="G368" s="306">
        <f t="shared" ca="1" si="156"/>
        <v>8.1291142594121393</v>
      </c>
      <c r="H368" s="307">
        <f t="shared" ca="1" si="157"/>
        <v>-97.163198867177258</v>
      </c>
      <c r="I368" s="304">
        <f t="shared" ca="1" si="158"/>
        <v>97.502665157139234</v>
      </c>
      <c r="J368" s="306">
        <f t="shared" ca="1" si="159"/>
        <v>669.28473949244233</v>
      </c>
      <c r="K368" s="307">
        <f t="shared" ca="1" si="160"/>
        <v>114.54166813402581</v>
      </c>
      <c r="L368" s="304">
        <f t="shared" ca="1" si="145"/>
        <v>679.01535789434956</v>
      </c>
      <c r="M368" s="306">
        <f t="shared" ca="1" si="161"/>
        <v>-1.4873261822558874</v>
      </c>
      <c r="N368" s="304">
        <f t="shared" ca="1" si="162"/>
        <v>-85.217513002567813</v>
      </c>
      <c r="P368" s="310">
        <f t="shared" ca="1" si="163"/>
        <v>23</v>
      </c>
      <c r="Q368" s="304">
        <f t="shared" ca="1" si="164"/>
        <v>0</v>
      </c>
      <c r="R368" s="306">
        <f t="shared" ca="1" si="165"/>
        <v>0</v>
      </c>
      <c r="S368" s="307">
        <f t="shared" ca="1" si="166"/>
        <v>4.341000000000002</v>
      </c>
      <c r="T368" s="304">
        <f t="shared" ca="1" si="146"/>
        <v>42.585210000000025</v>
      </c>
      <c r="U368" s="311">
        <f t="shared" ca="1" si="147"/>
        <v>0</v>
      </c>
      <c r="V368" s="306">
        <f t="shared" ca="1" si="148"/>
        <v>1.2110485467897618</v>
      </c>
      <c r="W368" s="304">
        <f t="shared" ca="1" si="149"/>
        <v>37.353985489031281</v>
      </c>
      <c r="Y368" s="314" t="str">
        <f t="shared" ca="1" si="167"/>
        <v/>
      </c>
      <c r="Z368" s="315" t="str">
        <f t="shared" ca="1" si="168"/>
        <v/>
      </c>
      <c r="AA368" s="316" t="str">
        <f t="shared" ca="1" si="169"/>
        <v/>
      </c>
      <c r="AC368" s="310" t="e">
        <f t="shared" ca="1" si="170"/>
        <v>#N/A</v>
      </c>
      <c r="AD368" s="323" t="e">
        <f t="shared" ca="1" si="171"/>
        <v>#N/A</v>
      </c>
      <c r="AE368" s="324" t="e">
        <f t="shared" ca="1" si="150"/>
        <v>#N/A</v>
      </c>
      <c r="AG368" s="306">
        <f t="shared" ca="1" si="172"/>
        <v>1.1997225669016274</v>
      </c>
      <c r="AH368" s="304">
        <f t="shared" ca="1" si="173"/>
        <v>-8.5754262973485762</v>
      </c>
    </row>
    <row r="369" spans="1:34" x14ac:dyDescent="0.2">
      <c r="A369" s="347">
        <f t="shared" ca="1" si="151"/>
        <v>0.1</v>
      </c>
      <c r="B369" s="304">
        <f t="shared" ca="1" si="152"/>
        <v>27.500000000000124</v>
      </c>
      <c r="D369" s="306">
        <f t="shared" ca="1" si="153"/>
        <v>-0.71742069574880096</v>
      </c>
      <c r="E369" s="307">
        <f t="shared" ca="1" si="154"/>
        <v>-1.235032604042857</v>
      </c>
      <c r="F369" s="304">
        <f t="shared" ca="1" si="155"/>
        <v>1.4282849812756466</v>
      </c>
      <c r="G369" s="306">
        <f t="shared" ca="1" si="156"/>
        <v>8.0573721898372597</v>
      </c>
      <c r="H369" s="307">
        <f t="shared" ca="1" si="157"/>
        <v>-97.286702127581549</v>
      </c>
      <c r="I369" s="304">
        <f t="shared" ca="1" si="158"/>
        <v>97.619791320542902</v>
      </c>
      <c r="J369" s="306">
        <f t="shared" ca="1" si="159"/>
        <v>670.09406381490476</v>
      </c>
      <c r="K369" s="307">
        <f t="shared" ca="1" si="160"/>
        <v>104.81917308428787</v>
      </c>
      <c r="L369" s="304">
        <f t="shared" ca="1" si="145"/>
        <v>678.2426655748277</v>
      </c>
      <c r="M369" s="306">
        <f t="shared" ca="1" si="161"/>
        <v>-1.4881640161473513</v>
      </c>
      <c r="N369" s="304">
        <f t="shared" ca="1" si="162"/>
        <v>-85.265517348481723</v>
      </c>
      <c r="P369" s="310">
        <f t="shared" ca="1" si="163"/>
        <v>23</v>
      </c>
      <c r="Q369" s="304">
        <f t="shared" ca="1" si="164"/>
        <v>0</v>
      </c>
      <c r="R369" s="306">
        <f t="shared" ca="1" si="165"/>
        <v>0</v>
      </c>
      <c r="S369" s="307">
        <f t="shared" ca="1" si="166"/>
        <v>4.341000000000002</v>
      </c>
      <c r="T369" s="304">
        <f t="shared" ca="1" si="146"/>
        <v>42.585210000000025</v>
      </c>
      <c r="U369" s="311">
        <f t="shared" ca="1" si="147"/>
        <v>0</v>
      </c>
      <c r="V369" s="306">
        <f t="shared" ca="1" si="148"/>
        <v>1.2122265961784768</v>
      </c>
      <c r="W369" s="304">
        <f t="shared" ca="1" si="149"/>
        <v>37.480206674101467</v>
      </c>
      <c r="Y369" s="314" t="str">
        <f t="shared" ca="1" si="167"/>
        <v/>
      </c>
      <c r="Z369" s="315" t="str">
        <f t="shared" ca="1" si="168"/>
        <v/>
      </c>
      <c r="AA369" s="316" t="str">
        <f t="shared" ca="1" si="169"/>
        <v/>
      </c>
      <c r="AC369" s="310" t="e">
        <f t="shared" ca="1" si="170"/>
        <v>#N/A</v>
      </c>
      <c r="AD369" s="323" t="e">
        <f t="shared" ca="1" si="171"/>
        <v>#N/A</v>
      </c>
      <c r="AE369" s="324" t="e">
        <f t="shared" ca="1" si="150"/>
        <v>#N/A</v>
      </c>
      <c r="AG369" s="306">
        <f t="shared" ca="1" si="172"/>
        <v>1.1709190053652136</v>
      </c>
      <c r="AH369" s="304">
        <f t="shared" ca="1" si="173"/>
        <v>-8.6049263969203551</v>
      </c>
    </row>
    <row r="370" spans="1:34" x14ac:dyDescent="0.2">
      <c r="A370" s="347">
        <f t="shared" ca="1" si="151"/>
        <v>0.1</v>
      </c>
      <c r="B370" s="304">
        <f t="shared" ca="1" si="152"/>
        <v>27.600000000000126</v>
      </c>
      <c r="D370" s="306">
        <f t="shared" ca="1" si="153"/>
        <v>-0.71263597340776086</v>
      </c>
      <c r="E370" s="307">
        <f t="shared" ca="1" si="154"/>
        <v>-1.2054572239115871</v>
      </c>
      <c r="F370" s="304">
        <f t="shared" ca="1" si="155"/>
        <v>1.4003489383990895</v>
      </c>
      <c r="G370" s="306">
        <f t="shared" ca="1" si="156"/>
        <v>7.9861085924964836</v>
      </c>
      <c r="H370" s="307">
        <f t="shared" ca="1" si="157"/>
        <v>-97.407247849972705</v>
      </c>
      <c r="I370" s="304">
        <f t="shared" ca="1" si="158"/>
        <v>97.734077292197114</v>
      </c>
      <c r="J370" s="306">
        <f t="shared" ca="1" si="159"/>
        <v>670.89623785402148</v>
      </c>
      <c r="K370" s="307">
        <f t="shared" ca="1" si="160"/>
        <v>95.084475585410161</v>
      </c>
      <c r="L370" s="304">
        <f t="shared" ca="1" si="145"/>
        <v>677.60078177643231</v>
      </c>
      <c r="M370" s="306">
        <f t="shared" ca="1" si="161"/>
        <v>-1.4889924895878612</v>
      </c>
      <c r="N370" s="304">
        <f t="shared" ca="1" si="162"/>
        <v>-85.312985380061619</v>
      </c>
      <c r="P370" s="310">
        <f t="shared" ca="1" si="163"/>
        <v>23</v>
      </c>
      <c r="Q370" s="304">
        <f t="shared" ca="1" si="164"/>
        <v>0</v>
      </c>
      <c r="R370" s="306">
        <f t="shared" ca="1" si="165"/>
        <v>0</v>
      </c>
      <c r="S370" s="307">
        <f t="shared" ca="1" si="166"/>
        <v>4.341000000000002</v>
      </c>
      <c r="T370" s="304">
        <f t="shared" ca="1" si="146"/>
        <v>42.585210000000025</v>
      </c>
      <c r="U370" s="311">
        <f t="shared" ca="1" si="147"/>
        <v>0</v>
      </c>
      <c r="V370" s="306">
        <f t="shared" ca="1" si="148"/>
        <v>1.2134072661915265</v>
      </c>
      <c r="W370" s="304">
        <f t="shared" ca="1" si="149"/>
        <v>37.604606154750599</v>
      </c>
      <c r="Y370" s="314" t="str">
        <f t="shared" ca="1" si="167"/>
        <v/>
      </c>
      <c r="Z370" s="315" t="str">
        <f t="shared" ca="1" si="168"/>
        <v/>
      </c>
      <c r="AA370" s="316" t="str">
        <f t="shared" ca="1" si="169"/>
        <v/>
      </c>
      <c r="AC370" s="310" t="e">
        <f t="shared" ca="1" si="170"/>
        <v>#N/A</v>
      </c>
      <c r="AD370" s="323" t="e">
        <f t="shared" ca="1" si="171"/>
        <v>#N/A</v>
      </c>
      <c r="AE370" s="324" t="e">
        <f t="shared" ca="1" si="150"/>
        <v>#N/A</v>
      </c>
      <c r="AG370" s="306">
        <f t="shared" ca="1" si="172"/>
        <v>1.1425243087273849</v>
      </c>
      <c r="AH370" s="304">
        <f t="shared" ca="1" si="173"/>
        <v>-8.6340029196271484</v>
      </c>
    </row>
    <row r="371" spans="1:34" x14ac:dyDescent="0.2">
      <c r="A371" s="347">
        <f t="shared" ca="1" si="151"/>
        <v>0.1</v>
      </c>
      <c r="B371" s="304">
        <f t="shared" ca="1" si="152"/>
        <v>27.700000000000127</v>
      </c>
      <c r="D371" s="306">
        <f t="shared" ca="1" si="153"/>
        <v>-0.70784872289388923</v>
      </c>
      <c r="E371" s="307">
        <f t="shared" ca="1" si="154"/>
        <v>-1.1763087356469608</v>
      </c>
      <c r="F371" s="304">
        <f t="shared" ca="1" si="155"/>
        <v>1.3728627229486063</v>
      </c>
      <c r="G371" s="306">
        <f t="shared" ca="1" si="156"/>
        <v>7.9153237202070947</v>
      </c>
      <c r="H371" s="307">
        <f t="shared" ca="1" si="157"/>
        <v>-97.524878723537398</v>
      </c>
      <c r="I371" s="304">
        <f t="shared" ca="1" si="158"/>
        <v>97.845563617551676</v>
      </c>
      <c r="J371" s="306">
        <f t="shared" ca="1" si="159"/>
        <v>671.69130946965663</v>
      </c>
      <c r="K371" s="307">
        <f t="shared" ca="1" si="160"/>
        <v>85.337869256734649</v>
      </c>
      <c r="L371" s="304">
        <f t="shared" ca="1" si="145"/>
        <v>677.09066390428211</v>
      </c>
      <c r="M371" s="306">
        <f t="shared" ca="1" si="161"/>
        <v>-1.4898117408344185</v>
      </c>
      <c r="N371" s="304">
        <f t="shared" ca="1" si="162"/>
        <v>-85.359925018850191</v>
      </c>
      <c r="P371" s="310">
        <f t="shared" ca="1" si="163"/>
        <v>23</v>
      </c>
      <c r="Q371" s="304">
        <f t="shared" ca="1" si="164"/>
        <v>0</v>
      </c>
      <c r="R371" s="306">
        <f t="shared" ca="1" si="165"/>
        <v>0</v>
      </c>
      <c r="S371" s="307">
        <f t="shared" ca="1" si="166"/>
        <v>4.341000000000002</v>
      </c>
      <c r="T371" s="304">
        <f t="shared" ca="1" si="146"/>
        <v>42.585210000000025</v>
      </c>
      <c r="U371" s="311">
        <f t="shared" ca="1" si="147"/>
        <v>0</v>
      </c>
      <c r="V371" s="306">
        <f t="shared" ca="1" si="148"/>
        <v>1.2145905271277999</v>
      </c>
      <c r="W371" s="304">
        <f t="shared" ca="1" si="149"/>
        <v>37.727201105380544</v>
      </c>
      <c r="Y371" s="314" t="str">
        <f t="shared" ca="1" si="167"/>
        <v/>
      </c>
      <c r="Z371" s="315" t="str">
        <f t="shared" ca="1" si="168"/>
        <v/>
      </c>
      <c r="AA371" s="316" t="str">
        <f t="shared" ca="1" si="169"/>
        <v/>
      </c>
      <c r="AC371" s="310" t="e">
        <f t="shared" ca="1" si="170"/>
        <v>#N/A</v>
      </c>
      <c r="AD371" s="323" t="e">
        <f t="shared" ca="1" si="171"/>
        <v>#N/A</v>
      </c>
      <c r="AE371" s="324" t="e">
        <f t="shared" ca="1" si="150"/>
        <v>#N/A</v>
      </c>
      <c r="AG371" s="306">
        <f t="shared" ca="1" si="172"/>
        <v>1.114534897254897</v>
      </c>
      <c r="AH371" s="304">
        <f t="shared" ca="1" si="173"/>
        <v>-8.6626597914652343</v>
      </c>
    </row>
    <row r="372" spans="1:34" x14ac:dyDescent="0.2">
      <c r="A372" s="347">
        <f t="shared" ca="1" si="151"/>
        <v>0.1</v>
      </c>
      <c r="B372" s="304">
        <f t="shared" ca="1" si="152"/>
        <v>27.800000000000129</v>
      </c>
      <c r="D372" s="306">
        <f t="shared" ca="1" si="153"/>
        <v>-0.70305992468773348</v>
      </c>
      <c r="E372" s="307">
        <f t="shared" ca="1" si="154"/>
        <v>-1.1475831091395161</v>
      </c>
      <c r="F372" s="304">
        <f t="shared" ca="1" si="155"/>
        <v>1.3458232610875174</v>
      </c>
      <c r="G372" s="306">
        <f t="shared" ca="1" si="156"/>
        <v>7.8450177277383215</v>
      </c>
      <c r="H372" s="307">
        <f t="shared" ca="1" si="157"/>
        <v>-97.639637034451354</v>
      </c>
      <c r="I372" s="304">
        <f t="shared" ca="1" si="158"/>
        <v>97.954290479631027</v>
      </c>
      <c r="J372" s="306">
        <f t="shared" ca="1" si="159"/>
        <v>672.47932654205385</v>
      </c>
      <c r="K372" s="307">
        <f t="shared" ca="1" si="160"/>
        <v>75.579643468835215</v>
      </c>
      <c r="L372" s="304">
        <f t="shared" ca="1" si="145"/>
        <v>676.71317937020444</v>
      </c>
      <c r="M372" s="306">
        <f t="shared" ca="1" si="161"/>
        <v>-1.4906219051935807</v>
      </c>
      <c r="N372" s="304">
        <f t="shared" ca="1" si="162"/>
        <v>-85.406344017342107</v>
      </c>
      <c r="P372" s="310">
        <f t="shared" ca="1" si="163"/>
        <v>23</v>
      </c>
      <c r="Q372" s="304">
        <f t="shared" ca="1" si="164"/>
        <v>0</v>
      </c>
      <c r="R372" s="306">
        <f t="shared" ca="1" si="165"/>
        <v>0</v>
      </c>
      <c r="S372" s="307">
        <f t="shared" ca="1" si="166"/>
        <v>4.341000000000002</v>
      </c>
      <c r="T372" s="304">
        <f t="shared" ca="1" si="146"/>
        <v>42.585210000000025</v>
      </c>
      <c r="U372" s="311">
        <f t="shared" ca="1" si="147"/>
        <v>0</v>
      </c>
      <c r="V372" s="306">
        <f t="shared" ca="1" si="148"/>
        <v>1.2157763496851817</v>
      </c>
      <c r="W372" s="304">
        <f t="shared" ca="1" si="149"/>
        <v>37.848008819706187</v>
      </c>
      <c r="Y372" s="314" t="str">
        <f t="shared" ca="1" si="167"/>
        <v/>
      </c>
      <c r="Z372" s="315" t="str">
        <f t="shared" ca="1" si="168"/>
        <v/>
      </c>
      <c r="AA372" s="316" t="str">
        <f t="shared" ca="1" si="169"/>
        <v/>
      </c>
      <c r="AC372" s="310" t="e">
        <f t="shared" ca="1" si="170"/>
        <v>#N/A</v>
      </c>
      <c r="AD372" s="323" t="e">
        <f t="shared" ca="1" si="171"/>
        <v>#N/A</v>
      </c>
      <c r="AE372" s="324" t="e">
        <f t="shared" ca="1" si="150"/>
        <v>#N/A</v>
      </c>
      <c r="AG372" s="306">
        <f t="shared" ca="1" si="172"/>
        <v>1.0869471513404996</v>
      </c>
      <c r="AH372" s="304">
        <f t="shared" ca="1" si="173"/>
        <v>-8.6909009687584717</v>
      </c>
    </row>
    <row r="373" spans="1:34" x14ac:dyDescent="0.2">
      <c r="A373" s="347">
        <f t="shared" ca="1" si="151"/>
        <v>0.1</v>
      </c>
      <c r="B373" s="304">
        <f t="shared" ca="1" si="152"/>
        <v>27.90000000000013</v>
      </c>
      <c r="D373" s="306">
        <f t="shared" ca="1" si="153"/>
        <v>-0.69827053509869252</v>
      </c>
      <c r="E373" s="307">
        <f t="shared" ca="1" si="154"/>
        <v>-1.1192762865503454</v>
      </c>
      <c r="F373" s="304">
        <f t="shared" ca="1" si="155"/>
        <v>1.3192274806950262</v>
      </c>
      <c r="G373" s="306">
        <f t="shared" ca="1" si="156"/>
        <v>7.775190674228452</v>
      </c>
      <c r="H373" s="307">
        <f t="shared" ca="1" si="157"/>
        <v>-97.751564663106393</v>
      </c>
      <c r="I373" s="304">
        <f t="shared" ca="1" si="158"/>
        <v>98.060297695377599</v>
      </c>
      <c r="J373" s="306">
        <f t="shared" ca="1" si="159"/>
        <v>673.26033696215222</v>
      </c>
      <c r="K373" s="307">
        <f t="shared" ca="1" si="160"/>
        <v>65.810083383957334</v>
      </c>
      <c r="L373" s="304">
        <f t="shared" ca="1" si="145"/>
        <v>676.46910380400539</v>
      </c>
      <c r="M373" s="306">
        <f t="shared" ca="1" si="161"/>
        <v>-1.4914231151040263</v>
      </c>
      <c r="N373" s="304">
        <f t="shared" ca="1" si="162"/>
        <v>-85.452249963714692</v>
      </c>
      <c r="P373" s="310">
        <f t="shared" ca="1" si="163"/>
        <v>23</v>
      </c>
      <c r="Q373" s="304">
        <f t="shared" ca="1" si="164"/>
        <v>0</v>
      </c>
      <c r="R373" s="306">
        <f t="shared" ca="1" si="165"/>
        <v>0</v>
      </c>
      <c r="S373" s="307">
        <f t="shared" ca="1" si="166"/>
        <v>4.341000000000002</v>
      </c>
      <c r="T373" s="304">
        <f t="shared" ca="1" si="146"/>
        <v>42.585210000000025</v>
      </c>
      <c r="U373" s="311">
        <f t="shared" ca="1" si="147"/>
        <v>0</v>
      </c>
      <c r="V373" s="306">
        <f t="shared" ca="1" si="148"/>
        <v>1.216964704957304</v>
      </c>
      <c r="W373" s="304">
        <f t="shared" ca="1" si="149"/>
        <v>37.967046698785218</v>
      </c>
      <c r="Y373" s="314" t="str">
        <f t="shared" ca="1" si="167"/>
        <v/>
      </c>
      <c r="Z373" s="315" t="str">
        <f t="shared" ca="1" si="168"/>
        <v/>
      </c>
      <c r="AA373" s="316" t="str">
        <f t="shared" ca="1" si="169"/>
        <v/>
      </c>
      <c r="AC373" s="310" t="e">
        <f t="shared" ca="1" si="170"/>
        <v>#N/A</v>
      </c>
      <c r="AD373" s="323" t="e">
        <f t="shared" ca="1" si="171"/>
        <v>#N/A</v>
      </c>
      <c r="AE373" s="324" t="e">
        <f t="shared" ca="1" si="150"/>
        <v>#N/A</v>
      </c>
      <c r="AG373" s="306">
        <f t="shared" ca="1" si="172"/>
        <v>1.0597574146588702</v>
      </c>
      <c r="AH373" s="304">
        <f t="shared" ca="1" si="173"/>
        <v>-8.7187304353158659</v>
      </c>
    </row>
    <row r="374" spans="1:34" x14ac:dyDescent="0.2">
      <c r="A374" s="347">
        <f t="shared" ca="1" si="151"/>
        <v>0.1</v>
      </c>
      <c r="B374" s="304">
        <f t="shared" ca="1" si="152"/>
        <v>28.000000000000131</v>
      </c>
      <c r="D374" s="306">
        <f t="shared" ca="1" si="153"/>
        <v>-0.69348148655981678</v>
      </c>
      <c r="E374" s="307">
        <f t="shared" ca="1" si="154"/>
        <v>-1.0913841851092787</v>
      </c>
      <c r="F374" s="304">
        <f t="shared" ca="1" si="155"/>
        <v>1.2930723149568464</v>
      </c>
      <c r="G374" s="306">
        <f t="shared" ca="1" si="156"/>
        <v>7.7058425255724705</v>
      </c>
      <c r="H374" s="307">
        <f t="shared" ca="1" si="157"/>
        <v>-97.860703081617316</v>
      </c>
      <c r="I374" s="304">
        <f t="shared" ca="1" si="158"/>
        <v>98.16362471230056</v>
      </c>
      <c r="J374" s="306">
        <f t="shared" ca="1" si="159"/>
        <v>674.03438862214227</v>
      </c>
      <c r="K374" s="307">
        <f t="shared" ca="1" si="160"/>
        <v>56.029469996721147</v>
      </c>
      <c r="L374" s="304">
        <f t="shared" ca="1" si="145"/>
        <v>676.35911951665037</v>
      </c>
      <c r="M374" s="306">
        <f t="shared" ca="1" si="161"/>
        <v>-1.4922155002163882</v>
      </c>
      <c r="N374" s="304">
        <f t="shared" ca="1" si="162"/>
        <v>-85.49765028640202</v>
      </c>
      <c r="P374" s="310">
        <f t="shared" ca="1" si="163"/>
        <v>23</v>
      </c>
      <c r="Q374" s="304">
        <f t="shared" ca="1" si="164"/>
        <v>0</v>
      </c>
      <c r="R374" s="306">
        <f t="shared" ca="1" si="165"/>
        <v>0</v>
      </c>
      <c r="S374" s="307">
        <f t="shared" ca="1" si="166"/>
        <v>4.341000000000002</v>
      </c>
      <c r="T374" s="304">
        <f t="shared" ca="1" si="146"/>
        <v>42.585210000000025</v>
      </c>
      <c r="U374" s="311">
        <f t="shared" ca="1" si="147"/>
        <v>0</v>
      </c>
      <c r="V374" s="306">
        <f t="shared" ca="1" si="148"/>
        <v>1.2181555644302717</v>
      </c>
      <c r="W374" s="304">
        <f t="shared" ca="1" si="149"/>
        <v>38.084332239412213</v>
      </c>
      <c r="Y374" s="314" t="str">
        <f t="shared" ca="1" si="167"/>
        <v/>
      </c>
      <c r="Z374" s="315" t="str">
        <f t="shared" ca="1" si="168"/>
        <v/>
      </c>
      <c r="AA374" s="316" t="str">
        <f t="shared" ca="1" si="169"/>
        <v/>
      </c>
      <c r="AC374" s="310">
        <f t="shared" ca="1" si="170"/>
        <v>28.000000000000131</v>
      </c>
      <c r="AD374" s="323">
        <f t="shared" ca="1" si="171"/>
        <v>674.03438862214227</v>
      </c>
      <c r="AE374" s="324" t="e">
        <f t="shared" ca="1" si="150"/>
        <v>#N/A</v>
      </c>
      <c r="AG374" s="306">
        <f t="shared" ca="1" si="172"/>
        <v>1.0329619972255717</v>
      </c>
      <c r="AH374" s="304">
        <f t="shared" ca="1" si="173"/>
        <v>-8.7461521996740839</v>
      </c>
    </row>
    <row r="375" spans="1:34" x14ac:dyDescent="0.2">
      <c r="A375" s="347">
        <f t="shared" ca="1" si="151"/>
        <v>0.1</v>
      </c>
      <c r="B375" s="304">
        <f t="shared" ca="1" si="152"/>
        <v>28.100000000000133</v>
      </c>
      <c r="D375" s="306">
        <f t="shared" ca="1" si="153"/>
        <v>-0.68869368792753871</v>
      </c>
      <c r="E375" s="307">
        <f t="shared" ca="1" si="154"/>
        <v>-1.0639026998278709</v>
      </c>
      <c r="F375" s="304">
        <f t="shared" ca="1" si="155"/>
        <v>1.2673547058705652</v>
      </c>
      <c r="G375" s="306">
        <f t="shared" ca="1" si="156"/>
        <v>7.6369731567797166</v>
      </c>
      <c r="H375" s="307">
        <f t="shared" ca="1" si="157"/>
        <v>-97.967093351600099</v>
      </c>
      <c r="I375" s="304">
        <f t="shared" ca="1" si="158"/>
        <v>98.264310605420221</v>
      </c>
      <c r="J375" s="306">
        <f t="shared" ca="1" si="159"/>
        <v>674.80152940625987</v>
      </c>
      <c r="K375" s="307">
        <f t="shared" ca="1" si="160"/>
        <v>46.238080175060276</v>
      </c>
      <c r="L375" s="304">
        <f t="shared" ca="1" si="145"/>
        <v>676.38381422628879</v>
      </c>
      <c r="M375" s="306">
        <f t="shared" ca="1" si="161"/>
        <v>-1.4929991874704667</v>
      </c>
      <c r="N375" s="304">
        <f t="shared" ca="1" si="162"/>
        <v>-85.542552258518924</v>
      </c>
      <c r="P375" s="310">
        <f t="shared" ca="1" si="163"/>
        <v>23</v>
      </c>
      <c r="Q375" s="304">
        <f t="shared" ca="1" si="164"/>
        <v>0</v>
      </c>
      <c r="R375" s="306">
        <f t="shared" ca="1" si="165"/>
        <v>0</v>
      </c>
      <c r="S375" s="307">
        <f t="shared" ca="1" si="166"/>
        <v>4.341000000000002</v>
      </c>
      <c r="T375" s="304">
        <f t="shared" ca="1" si="146"/>
        <v>42.585210000000025</v>
      </c>
      <c r="U375" s="311">
        <f t="shared" ca="1" si="147"/>
        <v>0</v>
      </c>
      <c r="V375" s="306">
        <f t="shared" ca="1" si="148"/>
        <v>1.2193488999793469</v>
      </c>
      <c r="W375" s="304">
        <f t="shared" ca="1" si="149"/>
        <v>38.199883022871532</v>
      </c>
      <c r="Y375" s="314" t="str">
        <f t="shared" ca="1" si="167"/>
        <v/>
      </c>
      <c r="Z375" s="315" t="str">
        <f t="shared" ca="1" si="168"/>
        <v/>
      </c>
      <c r="AA375" s="316" t="str">
        <f t="shared" ca="1" si="169"/>
        <v/>
      </c>
      <c r="AC375" s="310" t="e">
        <f t="shared" ca="1" si="170"/>
        <v>#N/A</v>
      </c>
      <c r="AD375" s="323" t="e">
        <f t="shared" ca="1" si="171"/>
        <v>#N/A</v>
      </c>
      <c r="AE375" s="324" t="e">
        <f t="shared" ca="1" si="150"/>
        <v>#N/A</v>
      </c>
      <c r="AG375" s="306">
        <f t="shared" ca="1" si="172"/>
        <v>1.0065571783605876</v>
      </c>
      <c r="AH375" s="304">
        <f t="shared" ca="1" si="173"/>
        <v>-8.7731702924239112</v>
      </c>
    </row>
    <row r="376" spans="1:34" x14ac:dyDescent="0.2">
      <c r="A376" s="347">
        <f t="shared" ca="1" si="151"/>
        <v>0.1</v>
      </c>
      <c r="B376" s="304">
        <f t="shared" ca="1" si="152"/>
        <v>28.200000000000134</v>
      </c>
      <c r="D376" s="306">
        <f t="shared" ca="1" si="153"/>
        <v>-0.68390802478581303</v>
      </c>
      <c r="E376" s="307">
        <f t="shared" ca="1" si="154"/>
        <v>-1.036827706128495</v>
      </c>
      <c r="F376" s="304">
        <f t="shared" ca="1" si="155"/>
        <v>1.2420716076628227</v>
      </c>
      <c r="G376" s="306">
        <f t="shared" ca="1" si="156"/>
        <v>7.5685823543011352</v>
      </c>
      <c r="H376" s="307">
        <f t="shared" ca="1" si="157"/>
        <v>-98.070776122212948</v>
      </c>
      <c r="I376" s="304">
        <f t="shared" ca="1" si="158"/>
        <v>98.362394074499079</v>
      </c>
      <c r="J376" s="306">
        <f t="shared" ca="1" si="159"/>
        <v>675.56180718181395</v>
      </c>
      <c r="K376" s="307">
        <f t="shared" ca="1" si="160"/>
        <v>36.436186701369621</v>
      </c>
      <c r="L376" s="304">
        <f t="shared" ca="1" si="145"/>
        <v>676.54368005628089</v>
      </c>
      <c r="M376" s="306">
        <f t="shared" ca="1" si="161"/>
        <v>-1.4937743011699158</v>
      </c>
      <c r="N376" s="304">
        <f t="shared" ca="1" si="162"/>
        <v>-85.586963002140124</v>
      </c>
      <c r="P376" s="310">
        <f t="shared" ca="1" si="163"/>
        <v>23</v>
      </c>
      <c r="Q376" s="304">
        <f t="shared" ca="1" si="164"/>
        <v>0</v>
      </c>
      <c r="R376" s="306">
        <f t="shared" ca="1" si="165"/>
        <v>0</v>
      </c>
      <c r="S376" s="307">
        <f t="shared" ca="1" si="166"/>
        <v>4.341000000000002</v>
      </c>
      <c r="T376" s="304">
        <f t="shared" ca="1" si="146"/>
        <v>42.585210000000025</v>
      </c>
      <c r="U376" s="311">
        <f t="shared" ca="1" si="147"/>
        <v>0</v>
      </c>
      <c r="V376" s="306">
        <f t="shared" ca="1" si="148"/>
        <v>1.2205446838656069</v>
      </c>
      <c r="W376" s="304">
        <f t="shared" ca="1" si="149"/>
        <v>38.313716704044175</v>
      </c>
      <c r="Y376" s="314" t="str">
        <f t="shared" ca="1" si="167"/>
        <v/>
      </c>
      <c r="Z376" s="315" t="str">
        <f t="shared" ca="1" si="168"/>
        <v/>
      </c>
      <c r="AA376" s="316" t="str">
        <f t="shared" ca="1" si="169"/>
        <v/>
      </c>
      <c r="AC376" s="310" t="e">
        <f t="shared" ca="1" si="170"/>
        <v>#N/A</v>
      </c>
      <c r="AD376" s="323" t="e">
        <f t="shared" ca="1" si="171"/>
        <v>#N/A</v>
      </c>
      <c r="AE376" s="324" t="e">
        <f t="shared" ca="1" si="150"/>
        <v>#N/A</v>
      </c>
      <c r="AG376" s="306">
        <f t="shared" ca="1" si="172"/>
        <v>0.98053920955820217</v>
      </c>
      <c r="AH376" s="304">
        <f t="shared" ca="1" si="173"/>
        <v>-8.7997887636193308</v>
      </c>
    </row>
    <row r="377" spans="1:34" x14ac:dyDescent="0.2">
      <c r="A377" s="347">
        <f t="shared" ca="1" si="151"/>
        <v>0.1</v>
      </c>
      <c r="B377" s="304">
        <f t="shared" ca="1" si="152"/>
        <v>28.300000000000136</v>
      </c>
      <c r="D377" s="306">
        <f t="shared" ca="1" si="153"/>
        <v>-0.67912535975424881</v>
      </c>
      <c r="E377" s="307">
        <f t="shared" ca="1" si="154"/>
        <v>-1.0101550623906483</v>
      </c>
      <c r="F377" s="304">
        <f t="shared" ca="1" si="155"/>
        <v>1.2172199901146845</v>
      </c>
      <c r="G377" s="306">
        <f t="shared" ca="1" si="156"/>
        <v>7.5006698183257106</v>
      </c>
      <c r="H377" s="307">
        <f t="shared" ca="1" si="157"/>
        <v>-98.171791628452013</v>
      </c>
      <c r="I377" s="304">
        <f t="shared" ca="1" si="158"/>
        <v>98.457913441549948</v>
      </c>
      <c r="J377" s="306">
        <f t="shared" ca="1" si="159"/>
        <v>676.31526979044531</v>
      </c>
      <c r="K377" s="307">
        <f t="shared" ca="1" si="160"/>
        <v>26.624058313836372</v>
      </c>
      <c r="L377" s="304">
        <f t="shared" ca="1" si="145"/>
        <v>676.83911281250687</v>
      </c>
      <c r="M377" s="306">
        <f t="shared" ca="1" si="161"/>
        <v>-1.4945409630544961</v>
      </c>
      <c r="N377" s="304">
        <f t="shared" ca="1" si="162"/>
        <v>-85.630889492440119</v>
      </c>
      <c r="P377" s="310">
        <f t="shared" ca="1" si="163"/>
        <v>23</v>
      </c>
      <c r="Q377" s="304">
        <f t="shared" ca="1" si="164"/>
        <v>0</v>
      </c>
      <c r="R377" s="306">
        <f t="shared" ca="1" si="165"/>
        <v>0</v>
      </c>
      <c r="S377" s="307">
        <f t="shared" ca="1" si="166"/>
        <v>4.341000000000002</v>
      </c>
      <c r="T377" s="304">
        <f t="shared" ca="1" si="146"/>
        <v>42.585210000000025</v>
      </c>
      <c r="U377" s="311">
        <f t="shared" ca="1" si="147"/>
        <v>0</v>
      </c>
      <c r="V377" s="306">
        <f t="shared" ca="1" si="148"/>
        <v>1.2217428887325712</v>
      </c>
      <c r="W377" s="304">
        <f t="shared" ca="1" si="149"/>
        <v>38.425851000862984</v>
      </c>
      <c r="Y377" s="314" t="str">
        <f t="shared" ca="1" si="167"/>
        <v/>
      </c>
      <c r="Z377" s="315" t="str">
        <f t="shared" ca="1" si="168"/>
        <v/>
      </c>
      <c r="AA377" s="316" t="str">
        <f t="shared" ca="1" si="169"/>
        <v/>
      </c>
      <c r="AC377" s="310" t="e">
        <f t="shared" ca="1" si="170"/>
        <v>#N/A</v>
      </c>
      <c r="AD377" s="323" t="e">
        <f t="shared" ca="1" si="171"/>
        <v>#N/A</v>
      </c>
      <c r="AE377" s="324" t="e">
        <f t="shared" ca="1" si="150"/>
        <v>#N/A</v>
      </c>
      <c r="AG377" s="306">
        <f t="shared" ca="1" si="172"/>
        <v>0.95490431726478242</v>
      </c>
      <c r="AH377" s="304">
        <f t="shared" ca="1" si="173"/>
        <v>-8.8260116802681772</v>
      </c>
    </row>
    <row r="378" spans="1:34" x14ac:dyDescent="0.2">
      <c r="A378" s="347">
        <f t="shared" ca="1" si="151"/>
        <v>0.1</v>
      </c>
      <c r="B378" s="304">
        <f t="shared" ca="1" si="152"/>
        <v>28.400000000000137</v>
      </c>
      <c r="D378" s="306">
        <f t="shared" ca="1" si="153"/>
        <v>-0.67434653279981305</v>
      </c>
      <c r="E378" s="307">
        <f t="shared" ca="1" si="154"/>
        <v>-0.98388061241579194</v>
      </c>
      <c r="F378" s="304">
        <f t="shared" ca="1" si="155"/>
        <v>1.1927968417910919</v>
      </c>
      <c r="G378" s="306">
        <f t="shared" ca="1" si="156"/>
        <v>7.4332351650457289</v>
      </c>
      <c r="H378" s="307">
        <f t="shared" ca="1" si="157"/>
        <v>-98.270179689693592</v>
      </c>
      <c r="I378" s="304">
        <f t="shared" ca="1" si="158"/>
        <v>98.550906648612525</v>
      </c>
      <c r="J378" s="306">
        <f t="shared" ca="1" si="159"/>
        <v>677.06196503961394</v>
      </c>
      <c r="K378" s="307">
        <f t="shared" ca="1" si="160"/>
        <v>16.801959747929089</v>
      </c>
      <c r="L378" s="304">
        <f t="shared" ca="1" si="145"/>
        <v>677.27041154525159</v>
      </c>
      <c r="M378" s="306">
        <f t="shared" ca="1" si="161"/>
        <v>-1.4952992923699877</v>
      </c>
      <c r="N378" s="304">
        <f t="shared" ca="1" si="162"/>
        <v>-85.674338561698832</v>
      </c>
      <c r="P378" s="310">
        <f t="shared" ca="1" si="163"/>
        <v>23</v>
      </c>
      <c r="Q378" s="304">
        <f t="shared" ca="1" si="164"/>
        <v>0</v>
      </c>
      <c r="R378" s="306">
        <f t="shared" ca="1" si="165"/>
        <v>0</v>
      </c>
      <c r="S378" s="307">
        <f t="shared" ca="1" si="166"/>
        <v>4.341000000000002</v>
      </c>
      <c r="T378" s="304">
        <f t="shared" ca="1" si="146"/>
        <v>42.585210000000025</v>
      </c>
      <c r="U378" s="311">
        <f t="shared" ca="1" si="147"/>
        <v>0</v>
      </c>
      <c r="V378" s="306">
        <f t="shared" ca="1" si="148"/>
        <v>1.2229434876028047</v>
      </c>
      <c r="W378" s="304">
        <f t="shared" ca="1" si="149"/>
        <v>38.536303684110948</v>
      </c>
      <c r="Y378" s="314" t="str">
        <f t="shared" ca="1" si="167"/>
        <v/>
      </c>
      <c r="Z378" s="315" t="str">
        <f t="shared" ca="1" si="168"/>
        <v/>
      </c>
      <c r="AA378" s="316" t="str">
        <f t="shared" ca="1" si="169"/>
        <v/>
      </c>
      <c r="AC378" s="310" t="e">
        <f t="shared" ca="1" si="170"/>
        <v>#N/A</v>
      </c>
      <c r="AD378" s="323" t="e">
        <f t="shared" ca="1" si="171"/>
        <v>#N/A</v>
      </c>
      <c r="AE378" s="324" t="e">
        <f t="shared" ca="1" si="150"/>
        <v>#N/A</v>
      </c>
      <c r="AG378" s="306">
        <f t="shared" ca="1" si="172"/>
        <v>0.92964870556626877</v>
      </c>
      <c r="AH378" s="304">
        <f t="shared" ca="1" si="173"/>
        <v>-8.8518431239030093</v>
      </c>
    </row>
    <row r="379" spans="1:34" x14ac:dyDescent="0.2">
      <c r="A379" s="347">
        <f t="shared" ca="1" si="151"/>
        <v>0.1</v>
      </c>
      <c r="B379" s="304">
        <f t="shared" ca="1" si="152"/>
        <v>28.500000000000139</v>
      </c>
      <c r="D379" s="306">
        <f t="shared" ca="1" si="153"/>
        <v>-0.66957236155166178</v>
      </c>
      <c r="E379" s="307">
        <f t="shared" ca="1" si="154"/>
        <v>-0.9580001878119635</v>
      </c>
      <c r="F379" s="304">
        <f t="shared" ca="1" si="155"/>
        <v>1.1687991731694658</v>
      </c>
      <c r="G379" s="306">
        <f t="shared" ca="1" si="156"/>
        <v>7.3662779288905629</v>
      </c>
      <c r="H379" s="307">
        <f t="shared" ca="1" si="157"/>
        <v>-98.365979708474782</v>
      </c>
      <c r="I379" s="304">
        <f t="shared" ca="1" si="158"/>
        <v>98.64141125578918</v>
      </c>
      <c r="J379" s="306">
        <f t="shared" ca="1" si="159"/>
        <v>677.8019406943107</v>
      </c>
      <c r="K379" s="307">
        <f t="shared" ca="1" si="160"/>
        <v>6.9701517780206697</v>
      </c>
      <c r="L379" s="304">
        <f t="shared" ca="1" si="145"/>
        <v>677.83777839891934</v>
      </c>
      <c r="M379" s="306">
        <f t="shared" ca="1" si="161"/>
        <v>-1.4960494059358456</v>
      </c>
      <c r="N379" s="304">
        <f t="shared" ca="1" si="162"/>
        <v>-85.717316903178002</v>
      </c>
      <c r="P379" s="310">
        <f t="shared" ca="1" si="163"/>
        <v>23</v>
      </c>
      <c r="Q379" s="304">
        <f t="shared" ca="1" si="164"/>
        <v>0</v>
      </c>
      <c r="R379" s="306">
        <f t="shared" ca="1" si="165"/>
        <v>0</v>
      </c>
      <c r="S379" s="307">
        <f t="shared" ca="1" si="166"/>
        <v>4.341000000000002</v>
      </c>
      <c r="T379" s="304">
        <f t="shared" ca="1" si="146"/>
        <v>42.585210000000025</v>
      </c>
      <c r="U379" s="311">
        <f t="shared" ca="1" si="147"/>
        <v>0</v>
      </c>
      <c r="V379" s="306">
        <f t="shared" ca="1" si="148"/>
        <v>1.2241464538744948</v>
      </c>
      <c r="W379" s="304">
        <f t="shared" ca="1" si="149"/>
        <v>38.645092567556667</v>
      </c>
      <c r="Y379" s="314" t="str">
        <f t="shared" ca="1" si="167"/>
        <v/>
      </c>
      <c r="Z379" s="315" t="str">
        <f t="shared" ca="1" si="168"/>
        <v/>
      </c>
      <c r="AA379" s="316" t="str">
        <f t="shared" ca="1" si="169"/>
        <v/>
      </c>
      <c r="AC379" s="310" t="e">
        <f t="shared" ca="1" si="170"/>
        <v>#N/A</v>
      </c>
      <c r="AD379" s="323" t="e">
        <f t="shared" ca="1" si="171"/>
        <v>#N/A</v>
      </c>
      <c r="AE379" s="324" t="e">
        <f t="shared" ca="1" si="150"/>
        <v>#N/A</v>
      </c>
      <c r="AG379" s="306">
        <f t="shared" ca="1" si="172"/>
        <v>0.9047685587869605</v>
      </c>
      <c r="AH379" s="304">
        <f t="shared" ca="1" si="173"/>
        <v>-8.8772871882310369</v>
      </c>
    </row>
    <row r="380" spans="1:34" x14ac:dyDescent="0.2">
      <c r="A380" s="347">
        <f t="shared" ca="1" si="151"/>
        <v>0.1</v>
      </c>
      <c r="B380" s="304">
        <f t="shared" ca="1" si="152"/>
        <v>28.60000000000014</v>
      </c>
      <c r="D380" s="306">
        <f t="shared" ca="1" si="153"/>
        <v>-0.66480364161873395</v>
      </c>
      <c r="E380" s="307">
        <f t="shared" ca="1" si="154"/>
        <v>-0.93250961029953672</v>
      </c>
      <c r="F380" s="304">
        <f t="shared" ca="1" si="155"/>
        <v>1.1452240196618841</v>
      </c>
      <c r="G380" s="306">
        <f t="shared" ca="1" si="156"/>
        <v>7.2997975647286895</v>
      </c>
      <c r="H380" s="307">
        <f t="shared" ca="1" si="157"/>
        <v>-98.459230669504734</v>
      </c>
      <c r="I380" s="304">
        <f t="shared" ca="1" si="158"/>
        <v>98.729464439531725</v>
      </c>
      <c r="J380" s="306">
        <f t="shared" ca="1" si="159"/>
        <v>678.53524446899166</v>
      </c>
      <c r="K380" s="307">
        <f t="shared" ca="1" si="160"/>
        <v>-2.8711087408783076</v>
      </c>
      <c r="L380" s="304">
        <f t="shared" ca="1" si="145"/>
        <v>678.54131875074211</v>
      </c>
      <c r="M380" s="306">
        <f t="shared" ca="1" si="161"/>
        <v>-1.4967914182106836</v>
      </c>
      <c r="N380" s="304">
        <f t="shared" ca="1" si="162"/>
        <v>-85.759831074873119</v>
      </c>
      <c r="P380" s="310">
        <f t="shared" ca="1" si="163"/>
        <v>23</v>
      </c>
      <c r="Q380" s="304">
        <f t="shared" ca="1" si="164"/>
        <v>0</v>
      </c>
      <c r="R380" s="306">
        <f t="shared" ca="1" si="165"/>
        <v>0</v>
      </c>
      <c r="S380" s="307">
        <f t="shared" ca="1" si="166"/>
        <v>4.341000000000002</v>
      </c>
      <c r="T380" s="304">
        <f t="shared" ca="1" si="146"/>
        <v>42.585210000000025</v>
      </c>
      <c r="U380" s="311">
        <f t="shared" ca="1" si="147"/>
        <v>0</v>
      </c>
      <c r="V380" s="306">
        <f t="shared" ca="1" si="148"/>
        <v>1.2253517613180074</v>
      </c>
      <c r="W380" s="304">
        <f t="shared" ca="1" si="149"/>
        <v>38.752235498421719</v>
      </c>
      <c r="Y380" s="314" t="str">
        <f t="shared" ca="1" si="167"/>
        <v>Impact balistique</v>
      </c>
      <c r="Z380" s="315" t="str">
        <f t="shared" ca="1" si="168"/>
        <v/>
      </c>
      <c r="AA380" s="316" t="str">
        <f t="shared" ca="1" si="169"/>
        <v/>
      </c>
      <c r="AC380" s="310" t="e">
        <f t="shared" ca="1" si="170"/>
        <v>#N/A</v>
      </c>
      <c r="AD380" s="323" t="e">
        <f t="shared" ca="1" si="171"/>
        <v>#N/A</v>
      </c>
      <c r="AE380" s="324" t="e">
        <f t="shared" ca="1" si="150"/>
        <v>#N/A</v>
      </c>
      <c r="AG380" s="306">
        <f t="shared" ca="1" si="172"/>
        <v>0.88026004400138724</v>
      </c>
      <c r="AH380" s="304">
        <f t="shared" ca="1" si="173"/>
        <v>-8.9023479768617015</v>
      </c>
    </row>
    <row r="381" spans="1:34" x14ac:dyDescent="0.2">
      <c r="A381" s="347">
        <f t="shared" ca="1" si="151"/>
        <v>1E-4</v>
      </c>
      <c r="B381" s="304">
        <f t="shared" ca="1" si="152"/>
        <v>28.60010000000014</v>
      </c>
      <c r="D381" s="306">
        <f t="shared" ca="1" si="153"/>
        <v>-0.6600411469097005</v>
      </c>
      <c r="E381" s="307">
        <f t="shared" ca="1" si="154"/>
        <v>-0.90740469393933232</v>
      </c>
      <c r="F381" s="304">
        <f t="shared" ca="1" si="155"/>
        <v>1.1220684445242217</v>
      </c>
      <c r="G381" s="306">
        <f t="shared" ca="1" si="156"/>
        <v>7.2997315606139983</v>
      </c>
      <c r="H381" s="307">
        <f t="shared" ca="1" si="157"/>
        <v>-98.459321409974123</v>
      </c>
      <c r="I381" s="304">
        <f t="shared" ca="1" si="158"/>
        <v>98.72955005148971</v>
      </c>
      <c r="J381" s="306">
        <f t="shared" ca="1" si="159"/>
        <v>678.53524446899166</v>
      </c>
      <c r="K381" s="307">
        <f t="shared" ca="1" si="160"/>
        <v>-2.8809546684822815</v>
      </c>
      <c r="L381" s="304">
        <f t="shared" ca="1" si="145"/>
        <v>678.54136048320311</v>
      </c>
      <c r="M381" s="306">
        <f t="shared" ca="1" si="161"/>
        <v>-1.4967921528698218</v>
      </c>
      <c r="N381" s="304">
        <f t="shared" ca="1" si="162"/>
        <v>-85.759873167741119</v>
      </c>
      <c r="P381" s="310">
        <f t="shared" ca="1" si="163"/>
        <v>23</v>
      </c>
      <c r="Q381" s="304">
        <f t="shared" ca="1" si="164"/>
        <v>0</v>
      </c>
      <c r="R381" s="306">
        <f t="shared" ca="1" si="165"/>
        <v>0</v>
      </c>
      <c r="S381" s="307">
        <f t="shared" ca="1" si="166"/>
        <v>4.341000000000002</v>
      </c>
      <c r="T381" s="304">
        <f t="shared" ca="1" si="146"/>
        <v>42.585210000000025</v>
      </c>
      <c r="U381" s="311">
        <f t="shared" ca="1" si="147"/>
        <v>0</v>
      </c>
      <c r="V381" s="306">
        <f t="shared" ca="1" si="148"/>
        <v>1.2253529677910995</v>
      </c>
      <c r="W381" s="304">
        <f t="shared" ca="1" si="149"/>
        <v>38.7523408606909</v>
      </c>
      <c r="Y381" s="314" t="str">
        <f t="shared" ca="1" si="167"/>
        <v/>
      </c>
      <c r="Z381" s="315" t="str">
        <f t="shared" ca="1" si="168"/>
        <v/>
      </c>
      <c r="AA381" s="316" t="str">
        <f t="shared" ca="1" si="169"/>
        <v/>
      </c>
      <c r="AC381" s="310" t="e">
        <f t="shared" ca="1" si="170"/>
        <v>#N/A</v>
      </c>
      <c r="AD381" s="323" t="e">
        <f t="shared" ca="1" si="171"/>
        <v>#N/A</v>
      </c>
      <c r="AE381" s="324" t="e">
        <f t="shared" ca="1" si="150"/>
        <v>#N/A</v>
      </c>
      <c r="AG381" s="306">
        <f t="shared" ca="1" si="172"/>
        <v>0.85611931346087822</v>
      </c>
      <c r="AH381" s="304">
        <f t="shared" ca="1" si="173"/>
        <v>-8.9270296011107355</v>
      </c>
    </row>
    <row r="382" spans="1:34" x14ac:dyDescent="0.2">
      <c r="A382" s="347">
        <f t="shared" ca="1" si="151"/>
        <v>1E-4</v>
      </c>
      <c r="B382" s="304">
        <f t="shared" ca="1" si="152"/>
        <v>28.60020000000014</v>
      </c>
      <c r="D382" s="306">
        <f t="shared" ca="1" si="153"/>
        <v>-0.66003640108445416</v>
      </c>
      <c r="E382" s="307">
        <f t="shared" ca="1" si="154"/>
        <v>-0.90738000404076224</v>
      </c>
      <c r="F382" s="304">
        <f t="shared" ca="1" si="155"/>
        <v>1.1220456864537791</v>
      </c>
      <c r="G382" s="306">
        <f t="shared" ca="1" si="156"/>
        <v>7.2996655569738902</v>
      </c>
      <c r="H382" s="307">
        <f t="shared" ca="1" si="157"/>
        <v>-98.459412147974533</v>
      </c>
      <c r="I382" s="304">
        <f t="shared" ca="1" si="158"/>
        <v>98.729635661073857</v>
      </c>
      <c r="J382" s="306">
        <f t="shared" ca="1" si="159"/>
        <v>678.53524446899166</v>
      </c>
      <c r="K382" s="307">
        <f t="shared" ca="1" si="160"/>
        <v>-2.8908006051601789</v>
      </c>
      <c r="L382" s="304">
        <f t="shared" ca="1" si="145"/>
        <v>678.5414023585688</v>
      </c>
      <c r="M382" s="306">
        <f t="shared" ca="1" si="161"/>
        <v>-1.4967928875210432</v>
      </c>
      <c r="N382" s="304">
        <f t="shared" ca="1" si="162"/>
        <v>-85.759915260155523</v>
      </c>
      <c r="P382" s="310">
        <f t="shared" ca="1" si="163"/>
        <v>23</v>
      </c>
      <c r="Q382" s="304">
        <f t="shared" ca="1" si="164"/>
        <v>0</v>
      </c>
      <c r="R382" s="306">
        <f t="shared" ca="1" si="165"/>
        <v>0</v>
      </c>
      <c r="S382" s="307">
        <f t="shared" ca="1" si="166"/>
        <v>4.341000000000002</v>
      </c>
      <c r="T382" s="304">
        <f t="shared" ca="1" si="146"/>
        <v>42.585210000000025</v>
      </c>
      <c r="U382" s="311">
        <f t="shared" ca="1" si="147"/>
        <v>0</v>
      </c>
      <c r="V382" s="306">
        <f t="shared" ca="1" si="148"/>
        <v>1.2253541742664915</v>
      </c>
      <c r="W382" s="304">
        <f t="shared" ca="1" si="149"/>
        <v>38.752446221359925</v>
      </c>
      <c r="Y382" s="314" t="str">
        <f t="shared" ca="1" si="167"/>
        <v/>
      </c>
      <c r="Z382" s="315" t="str">
        <f t="shared" ca="1" si="168"/>
        <v/>
      </c>
      <c r="AA382" s="316" t="str">
        <f t="shared" ca="1" si="169"/>
        <v/>
      </c>
      <c r="AC382" s="310" t="e">
        <f t="shared" ca="1" si="170"/>
        <v>#N/A</v>
      </c>
      <c r="AD382" s="323" t="e">
        <f t="shared" ca="1" si="171"/>
        <v>#N/A</v>
      </c>
      <c r="AE382" s="324" t="e">
        <f t="shared" ca="1" si="150"/>
        <v>#N/A</v>
      </c>
      <c r="AG382" s="306">
        <f t="shared" ca="1" si="172"/>
        <v>0.85609557489731003</v>
      </c>
      <c r="AH382" s="304">
        <f t="shared" ca="1" si="173"/>
        <v>-8.9270538725387887</v>
      </c>
    </row>
    <row r="383" spans="1:34" x14ac:dyDescent="0.2">
      <c r="A383" s="347">
        <f t="shared" ca="1" si="151"/>
        <v>1E-4</v>
      </c>
      <c r="B383" s="304">
        <f t="shared" ca="1" si="152"/>
        <v>28.600300000000139</v>
      </c>
      <c r="D383" s="306">
        <f t="shared" ca="1" si="153"/>
        <v>-0.66003165526651331</v>
      </c>
      <c r="E383" s="307">
        <f t="shared" ca="1" si="154"/>
        <v>-0.90735531451718998</v>
      </c>
      <c r="F383" s="304">
        <f t="shared" ca="1" si="155"/>
        <v>1.1220229287926526</v>
      </c>
      <c r="G383" s="306">
        <f t="shared" ca="1" si="156"/>
        <v>7.2995995538083633</v>
      </c>
      <c r="H383" s="307">
        <f t="shared" ca="1" si="157"/>
        <v>-98.459502883505991</v>
      </c>
      <c r="I383" s="304">
        <f t="shared" ca="1" si="158"/>
        <v>98.72972126828418</v>
      </c>
      <c r="J383" s="306">
        <f t="shared" ca="1" si="159"/>
        <v>678.53524446899166</v>
      </c>
      <c r="K383" s="307">
        <f t="shared" ca="1" si="160"/>
        <v>-2.9006465509117527</v>
      </c>
      <c r="L383" s="304">
        <f t="shared" ca="1" si="145"/>
        <v>678.54144437683954</v>
      </c>
      <c r="M383" s="306">
        <f t="shared" ca="1" si="161"/>
        <v>-1.4967936221643479</v>
      </c>
      <c r="N383" s="304">
        <f t="shared" ca="1" si="162"/>
        <v>-85.759957352116331</v>
      </c>
      <c r="P383" s="310">
        <f t="shared" ca="1" si="163"/>
        <v>23</v>
      </c>
      <c r="Q383" s="304">
        <f t="shared" ca="1" si="164"/>
        <v>0</v>
      </c>
      <c r="R383" s="306">
        <f t="shared" ca="1" si="165"/>
        <v>0</v>
      </c>
      <c r="S383" s="307">
        <f t="shared" ca="1" si="166"/>
        <v>4.341000000000002</v>
      </c>
      <c r="T383" s="304">
        <f t="shared" ca="1" si="146"/>
        <v>42.585210000000025</v>
      </c>
      <c r="U383" s="311">
        <f t="shared" ca="1" si="147"/>
        <v>0</v>
      </c>
      <c r="V383" s="306">
        <f t="shared" ca="1" si="148"/>
        <v>1.2253553807441833</v>
      </c>
      <c r="W383" s="304">
        <f t="shared" ca="1" si="149"/>
        <v>38.752551580428786</v>
      </c>
      <c r="Y383" s="314" t="str">
        <f t="shared" ca="1" si="167"/>
        <v/>
      </c>
      <c r="Z383" s="315" t="str">
        <f t="shared" ca="1" si="168"/>
        <v/>
      </c>
      <c r="AA383" s="316" t="str">
        <f t="shared" ca="1" si="169"/>
        <v/>
      </c>
      <c r="AC383" s="310" t="e">
        <f t="shared" ca="1" si="170"/>
        <v>#N/A</v>
      </c>
      <c r="AD383" s="323" t="e">
        <f t="shared" ca="1" si="171"/>
        <v>#N/A</v>
      </c>
      <c r="AE383" s="324" t="e">
        <f t="shared" ca="1" si="150"/>
        <v>#N/A</v>
      </c>
      <c r="AG383" s="306">
        <f t="shared" ca="1" si="172"/>
        <v>0.85607183669133313</v>
      </c>
      <c r="AH383" s="304">
        <f t="shared" ca="1" si="173"/>
        <v>-8.9270781435982283</v>
      </c>
    </row>
    <row r="384" spans="1:34" x14ac:dyDescent="0.2">
      <c r="A384" s="347">
        <f t="shared" ca="1" si="151"/>
        <v>1E-4</v>
      </c>
      <c r="B384" s="304">
        <f t="shared" ca="1" si="152"/>
        <v>28.600400000000139</v>
      </c>
      <c r="D384" s="306">
        <f t="shared" ca="1" si="153"/>
        <v>-0.66002690945587894</v>
      </c>
      <c r="E384" s="307">
        <f t="shared" ca="1" si="154"/>
        <v>-0.90733062536861908</v>
      </c>
      <c r="F384" s="304">
        <f t="shared" ca="1" si="155"/>
        <v>1.1220001715408463</v>
      </c>
      <c r="G384" s="306">
        <f t="shared" ca="1" si="156"/>
        <v>7.2995335511174178</v>
      </c>
      <c r="H384" s="307">
        <f t="shared" ca="1" si="157"/>
        <v>-98.459593616568526</v>
      </c>
      <c r="I384" s="304">
        <f t="shared" ca="1" si="158"/>
        <v>98.729806873120694</v>
      </c>
      <c r="J384" s="306">
        <f t="shared" ca="1" si="159"/>
        <v>678.53524446899166</v>
      </c>
      <c r="K384" s="307">
        <f t="shared" ca="1" si="160"/>
        <v>-2.9104925057367566</v>
      </c>
      <c r="L384" s="304">
        <f t="shared" ca="1" si="145"/>
        <v>678.54148653801576</v>
      </c>
      <c r="M384" s="306">
        <f t="shared" ca="1" si="161"/>
        <v>-1.4967943567997362</v>
      </c>
      <c r="N384" s="304">
        <f t="shared" ca="1" si="162"/>
        <v>-85.759999443623556</v>
      </c>
      <c r="P384" s="310">
        <f t="shared" ca="1" si="163"/>
        <v>23</v>
      </c>
      <c r="Q384" s="304">
        <f t="shared" ca="1" si="164"/>
        <v>0</v>
      </c>
      <c r="R384" s="306">
        <f t="shared" ca="1" si="165"/>
        <v>0</v>
      </c>
      <c r="S384" s="307">
        <f t="shared" ca="1" si="166"/>
        <v>4.341000000000002</v>
      </c>
      <c r="T384" s="304">
        <f t="shared" ca="1" si="146"/>
        <v>42.585210000000025</v>
      </c>
      <c r="U384" s="311">
        <f t="shared" ca="1" si="147"/>
        <v>0</v>
      </c>
      <c r="V384" s="306">
        <f t="shared" ca="1" si="148"/>
        <v>1.225356587224175</v>
      </c>
      <c r="W384" s="304">
        <f t="shared" ca="1" si="149"/>
        <v>38.752656937897498</v>
      </c>
      <c r="Y384" s="314" t="str">
        <f t="shared" ca="1" si="167"/>
        <v/>
      </c>
      <c r="Z384" s="315" t="str">
        <f t="shared" ca="1" si="168"/>
        <v/>
      </c>
      <c r="AA384" s="316" t="str">
        <f t="shared" ca="1" si="169"/>
        <v/>
      </c>
      <c r="AC384" s="310" t="e">
        <f t="shared" ca="1" si="170"/>
        <v>#N/A</v>
      </c>
      <c r="AD384" s="323" t="e">
        <f t="shared" ca="1" si="171"/>
        <v>#N/A</v>
      </c>
      <c r="AE384" s="324" t="e">
        <f t="shared" ca="1" si="150"/>
        <v>#N/A</v>
      </c>
      <c r="AG384" s="306">
        <f t="shared" ca="1" si="172"/>
        <v>0.85604809884295285</v>
      </c>
      <c r="AH384" s="304">
        <f t="shared" ca="1" si="173"/>
        <v>-8.9271024142890507</v>
      </c>
    </row>
    <row r="385" spans="1:34" x14ac:dyDescent="0.2">
      <c r="A385" s="347">
        <f t="shared" ca="1" si="151"/>
        <v>1E-4</v>
      </c>
      <c r="B385" s="304">
        <f t="shared" ca="1" si="152"/>
        <v>28.600500000000139</v>
      </c>
      <c r="D385" s="306">
        <f t="shared" ca="1" si="153"/>
        <v>-0.66002216365254873</v>
      </c>
      <c r="E385" s="307">
        <f t="shared" ca="1" si="154"/>
        <v>-0.90730593659504599</v>
      </c>
      <c r="F385" s="304">
        <f t="shared" ca="1" si="155"/>
        <v>1.1219774146983554</v>
      </c>
      <c r="G385" s="306">
        <f t="shared" ca="1" si="156"/>
        <v>7.2994675489010525</v>
      </c>
      <c r="H385" s="307">
        <f t="shared" ca="1" si="157"/>
        <v>-98.459684347162181</v>
      </c>
      <c r="I385" s="304">
        <f t="shared" ca="1" si="158"/>
        <v>98.729892475583469</v>
      </c>
      <c r="J385" s="306">
        <f t="shared" ca="1" si="159"/>
        <v>678.53524446899166</v>
      </c>
      <c r="K385" s="307">
        <f t="shared" ca="1" si="160"/>
        <v>-2.920338469634943</v>
      </c>
      <c r="L385" s="304">
        <f t="shared" ca="1" si="145"/>
        <v>678.54152884209782</v>
      </c>
      <c r="M385" s="306">
        <f t="shared" ca="1" si="161"/>
        <v>-1.4967950914272077</v>
      </c>
      <c r="N385" s="304">
        <f t="shared" ca="1" si="162"/>
        <v>-85.760041534677185</v>
      </c>
      <c r="P385" s="310">
        <f t="shared" ca="1" si="163"/>
        <v>23</v>
      </c>
      <c r="Q385" s="304">
        <f t="shared" ca="1" si="164"/>
        <v>0</v>
      </c>
      <c r="R385" s="306">
        <f t="shared" ca="1" si="165"/>
        <v>0</v>
      </c>
      <c r="S385" s="307">
        <f t="shared" ca="1" si="166"/>
        <v>4.341000000000002</v>
      </c>
      <c r="T385" s="304">
        <f t="shared" ca="1" si="146"/>
        <v>42.585210000000025</v>
      </c>
      <c r="U385" s="311">
        <f t="shared" ca="1" si="147"/>
        <v>0</v>
      </c>
      <c r="V385" s="306">
        <f t="shared" ca="1" si="148"/>
        <v>1.2253577937064664</v>
      </c>
      <c r="W385" s="304">
        <f t="shared" ca="1" si="149"/>
        <v>38.752762293766089</v>
      </c>
      <c r="Y385" s="314" t="str">
        <f t="shared" ca="1" si="167"/>
        <v/>
      </c>
      <c r="Z385" s="315" t="str">
        <f t="shared" ca="1" si="168"/>
        <v/>
      </c>
      <c r="AA385" s="316" t="str">
        <f t="shared" ca="1" si="169"/>
        <v/>
      </c>
      <c r="AC385" s="310" t="e">
        <f t="shared" ca="1" si="170"/>
        <v>#N/A</v>
      </c>
      <c r="AD385" s="323" t="e">
        <f t="shared" ca="1" si="171"/>
        <v>#N/A</v>
      </c>
      <c r="AE385" s="324" t="e">
        <f t="shared" ca="1" si="150"/>
        <v>#N/A</v>
      </c>
      <c r="AG385" s="306">
        <f t="shared" ca="1" si="172"/>
        <v>0.85602436135216209</v>
      </c>
      <c r="AH385" s="304">
        <f t="shared" ca="1" si="173"/>
        <v>-8.9271266846112596</v>
      </c>
    </row>
    <row r="386" spans="1:34" x14ac:dyDescent="0.2">
      <c r="A386" s="347">
        <f t="shared" ca="1" si="151"/>
        <v>1E-4</v>
      </c>
      <c r="B386" s="304">
        <f t="shared" ca="1" si="152"/>
        <v>28.600600000000139</v>
      </c>
      <c r="D386" s="306">
        <f t="shared" ca="1" si="153"/>
        <v>-0.6600174178565289</v>
      </c>
      <c r="E386" s="307">
        <f t="shared" ca="1" si="154"/>
        <v>-0.90728124819646183</v>
      </c>
      <c r="F386" s="304">
        <f t="shared" ca="1" si="155"/>
        <v>1.1219546582651767</v>
      </c>
      <c r="G386" s="306">
        <f t="shared" ca="1" si="156"/>
        <v>7.2994015471592668</v>
      </c>
      <c r="H386" s="307">
        <f t="shared" ca="1" si="157"/>
        <v>-98.459775075286998</v>
      </c>
      <c r="I386" s="304">
        <f t="shared" ca="1" si="158"/>
        <v>98.729978075672534</v>
      </c>
      <c r="J386" s="306">
        <f t="shared" ca="1" si="159"/>
        <v>678.53524446899166</v>
      </c>
      <c r="K386" s="307">
        <f t="shared" ca="1" si="160"/>
        <v>-2.9301844426060657</v>
      </c>
      <c r="L386" s="304">
        <f t="shared" ca="1" si="145"/>
        <v>678.54157128908616</v>
      </c>
      <c r="M386" s="306">
        <f t="shared" ca="1" si="161"/>
        <v>-1.4967958260467631</v>
      </c>
      <c r="N386" s="304">
        <f t="shared" ca="1" si="162"/>
        <v>-85.760083625277261</v>
      </c>
      <c r="P386" s="310">
        <f t="shared" ca="1" si="163"/>
        <v>23</v>
      </c>
      <c r="Q386" s="304">
        <f t="shared" ca="1" si="164"/>
        <v>0</v>
      </c>
      <c r="R386" s="306">
        <f t="shared" ca="1" si="165"/>
        <v>0</v>
      </c>
      <c r="S386" s="307">
        <f t="shared" ca="1" si="166"/>
        <v>4.341000000000002</v>
      </c>
      <c r="T386" s="304">
        <f t="shared" ca="1" si="146"/>
        <v>42.585210000000025</v>
      </c>
      <c r="U386" s="311">
        <f t="shared" ca="1" si="147"/>
        <v>0</v>
      </c>
      <c r="V386" s="306">
        <f t="shared" ca="1" si="148"/>
        <v>1.2253590001910579</v>
      </c>
      <c r="W386" s="304">
        <f t="shared" ca="1" si="149"/>
        <v>38.752867648034588</v>
      </c>
      <c r="Y386" s="314" t="str">
        <f t="shared" ca="1" si="167"/>
        <v/>
      </c>
      <c r="Z386" s="315" t="str">
        <f t="shared" ca="1" si="168"/>
        <v/>
      </c>
      <c r="AA386" s="316" t="str">
        <f t="shared" ca="1" si="169"/>
        <v/>
      </c>
      <c r="AC386" s="310" t="e">
        <f t="shared" ca="1" si="170"/>
        <v>#N/A</v>
      </c>
      <c r="AD386" s="323" t="e">
        <f t="shared" ca="1" si="171"/>
        <v>#N/A</v>
      </c>
      <c r="AE386" s="324" t="e">
        <f t="shared" ca="1" si="150"/>
        <v>#N/A</v>
      </c>
      <c r="AG386" s="306">
        <f t="shared" ca="1" si="172"/>
        <v>0.85600062421895551</v>
      </c>
      <c r="AH386" s="304">
        <f t="shared" ca="1" si="173"/>
        <v>-8.9271509545648637</v>
      </c>
    </row>
    <row r="387" spans="1:34" x14ac:dyDescent="0.2">
      <c r="A387" s="347">
        <f t="shared" ca="1" si="151"/>
        <v>1E-4</v>
      </c>
      <c r="B387" s="304">
        <f t="shared" ca="1" si="152"/>
        <v>28.600700000000138</v>
      </c>
      <c r="D387" s="306">
        <f t="shared" ca="1" si="153"/>
        <v>-0.660012672067815</v>
      </c>
      <c r="E387" s="307">
        <f t="shared" ca="1" si="154"/>
        <v>-0.90725656017286305</v>
      </c>
      <c r="F387" s="304">
        <f t="shared" ca="1" si="155"/>
        <v>1.121931902241305</v>
      </c>
      <c r="G387" s="306">
        <f t="shared" ca="1" si="156"/>
        <v>7.2993355458920597</v>
      </c>
      <c r="H387" s="307">
        <f t="shared" ca="1" si="157"/>
        <v>-98.459865800943021</v>
      </c>
      <c r="I387" s="304">
        <f t="shared" ca="1" si="158"/>
        <v>98.730063673387917</v>
      </c>
      <c r="J387" s="306">
        <f t="shared" ca="1" si="159"/>
        <v>678.53524446899166</v>
      </c>
      <c r="K387" s="307">
        <f t="shared" ca="1" si="160"/>
        <v>-2.9400304246498772</v>
      </c>
      <c r="L387" s="304">
        <f t="shared" ca="1" si="145"/>
        <v>678.54161387898102</v>
      </c>
      <c r="M387" s="306">
        <f t="shared" ca="1" si="161"/>
        <v>-1.4967965606584022</v>
      </c>
      <c r="N387" s="304">
        <f t="shared" ca="1" si="162"/>
        <v>-85.760125715423754</v>
      </c>
      <c r="P387" s="310">
        <f t="shared" ca="1" si="163"/>
        <v>23</v>
      </c>
      <c r="Q387" s="304">
        <f t="shared" ca="1" si="164"/>
        <v>0</v>
      </c>
      <c r="R387" s="306">
        <f t="shared" ca="1" si="165"/>
        <v>0</v>
      </c>
      <c r="S387" s="307">
        <f t="shared" ca="1" si="166"/>
        <v>4.341000000000002</v>
      </c>
      <c r="T387" s="304">
        <f t="shared" ca="1" si="146"/>
        <v>42.585210000000025</v>
      </c>
      <c r="U387" s="311">
        <f t="shared" ca="1" si="147"/>
        <v>0</v>
      </c>
      <c r="V387" s="306">
        <f t="shared" ca="1" si="148"/>
        <v>1.225360206677949</v>
      </c>
      <c r="W387" s="304">
        <f t="shared" ca="1" si="149"/>
        <v>38.752973000703008</v>
      </c>
      <c r="Y387" s="314" t="str">
        <f t="shared" ca="1" si="167"/>
        <v/>
      </c>
      <c r="Z387" s="315" t="str">
        <f t="shared" ca="1" si="168"/>
        <v/>
      </c>
      <c r="AA387" s="316" t="str">
        <f t="shared" ca="1" si="169"/>
        <v/>
      </c>
      <c r="AC387" s="310" t="e">
        <f t="shared" ca="1" si="170"/>
        <v>#N/A</v>
      </c>
      <c r="AD387" s="323" t="e">
        <f t="shared" ca="1" si="171"/>
        <v>#N/A</v>
      </c>
      <c r="AE387" s="324" t="e">
        <f t="shared" ca="1" si="150"/>
        <v>#N/A</v>
      </c>
      <c r="AG387" s="306">
        <f t="shared" ca="1" si="172"/>
        <v>0.85597688744332956</v>
      </c>
      <c r="AH387" s="304">
        <f t="shared" ca="1" si="173"/>
        <v>-8.9271752241498668</v>
      </c>
    </row>
    <row r="388" spans="1:34" x14ac:dyDescent="0.2">
      <c r="A388" s="347">
        <f t="shared" ca="1" si="151"/>
        <v>1E-4</v>
      </c>
      <c r="B388" s="304">
        <f t="shared" ca="1" si="152"/>
        <v>28.600800000000138</v>
      </c>
      <c r="D388" s="306">
        <f t="shared" ca="1" si="153"/>
        <v>-0.6600079262864107</v>
      </c>
      <c r="E388" s="307">
        <f t="shared" ca="1" si="154"/>
        <v>-0.90723187252424609</v>
      </c>
      <c r="F388" s="304">
        <f t="shared" ca="1" si="155"/>
        <v>1.1219091466267392</v>
      </c>
      <c r="G388" s="306">
        <f t="shared" ca="1" si="156"/>
        <v>7.2992695450994312</v>
      </c>
      <c r="H388" s="307">
        <f t="shared" ca="1" si="157"/>
        <v>-98.459956524130277</v>
      </c>
      <c r="I388" s="304">
        <f t="shared" ca="1" si="158"/>
        <v>98.730149268729647</v>
      </c>
      <c r="J388" s="306">
        <f t="shared" ca="1" si="159"/>
        <v>678.53524446899166</v>
      </c>
      <c r="K388" s="307">
        <f t="shared" ca="1" si="160"/>
        <v>-2.949876415766131</v>
      </c>
      <c r="L388" s="304">
        <f t="shared" ref="L388:L451" ca="1" si="174">SQRT(pos_x^2+pos_z^2)</f>
        <v>678.54165661178274</v>
      </c>
      <c r="M388" s="306">
        <f t="shared" ca="1" si="161"/>
        <v>-1.4967972952621251</v>
      </c>
      <c r="N388" s="304">
        <f t="shared" ca="1" si="162"/>
        <v>-85.760167805116708</v>
      </c>
      <c r="P388" s="310">
        <f t="shared" ca="1" si="163"/>
        <v>23</v>
      </c>
      <c r="Q388" s="304">
        <f t="shared" ca="1" si="164"/>
        <v>0</v>
      </c>
      <c r="R388" s="306">
        <f t="shared" ca="1" si="165"/>
        <v>0</v>
      </c>
      <c r="S388" s="307">
        <f t="shared" ca="1" si="166"/>
        <v>4.341000000000002</v>
      </c>
      <c r="T388" s="304">
        <f t="shared" ref="T388:T451" ca="1" si="175">m*g</f>
        <v>42.585210000000025</v>
      </c>
      <c r="U388" s="311">
        <f t="shared" ref="U388:U451" ca="1" si="176">IF(pos_xz&lt;L_rampe,Poids*COS(Beta),0)</f>
        <v>0</v>
      </c>
      <c r="V388" s="306">
        <f t="shared" ref="V388:V451" ca="1" si="177">Rho_moyen*(20000-Alt_rampe-pos_z)/(20000+Alt_rampe+pos_z)</f>
        <v>1.2253614131671402</v>
      </c>
      <c r="W388" s="304">
        <f t="shared" ref="W388:W451" ca="1" si="178">1/2*Rho*Sref*Cx*vit_xz^2</f>
        <v>38.75307835177135</v>
      </c>
      <c r="Y388" s="314" t="str">
        <f t="shared" ca="1" si="167"/>
        <v/>
      </c>
      <c r="Z388" s="315" t="str">
        <f t="shared" ca="1" si="168"/>
        <v/>
      </c>
      <c r="AA388" s="316" t="str">
        <f t="shared" ca="1" si="169"/>
        <v/>
      </c>
      <c r="AC388" s="310" t="e">
        <f t="shared" ca="1" si="170"/>
        <v>#N/A</v>
      </c>
      <c r="AD388" s="323" t="e">
        <f t="shared" ca="1" si="171"/>
        <v>#N/A</v>
      </c>
      <c r="AE388" s="324" t="e">
        <f t="shared" ref="AE388:AE451" ca="1" si="179">IF(t&lt;T_para, pos_z, NA())</f>
        <v>#N/A</v>
      </c>
      <c r="AG388" s="306">
        <f t="shared" ca="1" si="172"/>
        <v>0.85595315102527891</v>
      </c>
      <c r="AH388" s="304">
        <f t="shared" ca="1" si="173"/>
        <v>-8.9271994933662722</v>
      </c>
    </row>
    <row r="389" spans="1:34" x14ac:dyDescent="0.2">
      <c r="A389" s="347">
        <f t="shared" ref="A389:A452" ca="1" si="180">IF(B388+0.01&lt;=T_ini+ROUNDUP(Temps_fin_propu,0), 0.01, IF(K388&gt;0, 0.1, 0.0001))</f>
        <v>1E-4</v>
      </c>
      <c r="B389" s="304">
        <f t="shared" ref="B389:B452" ca="1" si="181">B388+pas</f>
        <v>28.600900000000138</v>
      </c>
      <c r="D389" s="306">
        <f t="shared" ref="D389:D452" ca="1" si="182">IF(AND(L388&lt;L_rampe,Poussee&lt;Poids*SIN(M388)),0,(-W388+Poussee)/m*COS(M388)-U388/m*SIN(M388))</f>
        <v>-0.66000318051231555</v>
      </c>
      <c r="E389" s="307">
        <f t="shared" ref="E389:E452" ca="1" si="183">IF(AND(L388&lt;L_rampe,Poussee&lt;Poids*SIN(M388)),0,(-W388+Poussee)/m*SIN(M388)+U388/m*COS(M388)-Poids/m)</f>
        <v>-0.90720718525061095</v>
      </c>
      <c r="F389" s="304">
        <f t="shared" ref="F389:F452" ca="1" si="184">SQRT(acc_x^2+acc_z^2)</f>
        <v>1.1218863914214792</v>
      </c>
      <c r="G389" s="306">
        <f t="shared" ref="G389:G452" ca="1" si="185">G388+acc_x*pas</f>
        <v>7.2992035447813803</v>
      </c>
      <c r="H389" s="307">
        <f t="shared" ref="H389:H452" ca="1" si="186">H388+acc_z*pas</f>
        <v>-98.460047244848809</v>
      </c>
      <c r="I389" s="304">
        <f t="shared" ref="I389:I452" ca="1" si="187">SQRT(vit_x^2+vit_z^2)</f>
        <v>98.730234861697809</v>
      </c>
      <c r="J389" s="306">
        <f t="shared" ref="J389:J452" ca="1" si="188">J388+0.5*(vit_x+G388)*pas*(K388&gt;=0)</f>
        <v>678.53524446899166</v>
      </c>
      <c r="K389" s="307">
        <f t="shared" ref="K389:K452" ca="1" si="189">K388+0.5*(vit_z+H388)*pas</f>
        <v>-2.9597224159545799</v>
      </c>
      <c r="L389" s="304">
        <f t="shared" ca="1" si="174"/>
        <v>678.54169948749188</v>
      </c>
      <c r="M389" s="306">
        <f t="shared" ref="M389:M452" ca="1" si="190">IF(AND(L388&gt;L_rampe,G389&gt;0),ATAN2(G389,H389),$M$4)</f>
        <v>-1.4967980298579322</v>
      </c>
      <c r="N389" s="304">
        <f t="shared" ref="N389:N452" ca="1" si="191">DEGREES(Beta)</f>
        <v>-85.760209894356095</v>
      </c>
      <c r="P389" s="310">
        <f t="shared" ref="P389:P452" ca="1" si="192">MATCH(t-pas/2-T_ini,CdP_t)</f>
        <v>23</v>
      </c>
      <c r="Q389" s="304">
        <f t="shared" ref="Q389:Q452" ca="1" si="193">(INDEX(CdP,2,i_P+1)-INDEX(CdP,2,i_P+0))/(INDEX(CdP,1,i_P+1)-INDEX(CdP,1,i_P+0))*(t-pas/2-T_ini-INDEX(CdP,1,i_P+0))+INDEX(CdP,2,i_P+0)</f>
        <v>0</v>
      </c>
      <c r="R389" s="306">
        <f t="shared" ref="R389:R452" ca="1" si="194">Poussee/(g*ISP)</f>
        <v>0</v>
      </c>
      <c r="S389" s="307">
        <f t="shared" ref="S389:S452" ca="1" si="195">S388-Débit*pas</f>
        <v>4.341000000000002</v>
      </c>
      <c r="T389" s="304">
        <f t="shared" ca="1" si="175"/>
        <v>42.585210000000025</v>
      </c>
      <c r="U389" s="311">
        <f t="shared" ca="1" si="176"/>
        <v>0</v>
      </c>
      <c r="V389" s="306">
        <f t="shared" ca="1" si="177"/>
        <v>1.2253626196586311</v>
      </c>
      <c r="W389" s="304">
        <f t="shared" ca="1" si="178"/>
        <v>38.753183701239685</v>
      </c>
      <c r="Y389" s="314" t="str">
        <f t="shared" ref="Y389:Y452" ca="1" si="196">IF(AND(pos_z&lt;=0,K388&gt;0),"Impact balistique","") &amp; IF(AND(H390&lt;0,vit_z&gt;=0),"Apogée","") &amp; IF(AND(Poussee=0,Q388&gt;0),"Fin de propulsion","") &amp; IF(AND(L390&gt;L_rampe,pos_xz&lt;=L_rampe),"Sortie de rampe","")</f>
        <v/>
      </c>
      <c r="Z389" s="315" t="str">
        <f t="shared" ref="Z389:Z452" ca="1" si="197">IF(ABS(t-T_para)&lt;pas/2,"Para","")</f>
        <v/>
      </c>
      <c r="AA389" s="316" t="str">
        <f t="shared" ref="AA389:AA452" ca="1" si="198">IF(ABS(t-T_satellite)&lt;pas/2,"Satellite","")</f>
        <v/>
      </c>
      <c r="AC389" s="310" t="e">
        <f t="shared" ref="AC389:AC452" ca="1" si="199">IF(ABS(t-ROUND(t,0))&lt;0.001,t,NA())</f>
        <v>#N/A</v>
      </c>
      <c r="AD389" s="323" t="e">
        <f t="shared" ref="AD389:AD452" ca="1" si="200">IF(ABS(t-ROUND(t,0))&lt;0.001,pos_x,NA())</f>
        <v>#N/A</v>
      </c>
      <c r="AE389" s="324" t="e">
        <f t="shared" ca="1" si="179"/>
        <v>#N/A</v>
      </c>
      <c r="AG389" s="306">
        <f t="shared" ref="AG389:AG452" ca="1" si="201">IF(AND(L388&lt;L_rampe,Poussee&lt;Poids*SIN(M388)),0,(-W388+Poussee)/m-Poids*SIN(M388)/m)</f>
        <v>0.85592941496480357</v>
      </c>
      <c r="AH389" s="304">
        <f t="shared" ref="AH389:AH452" ca="1" si="202">IF(AND(L388&lt;L_rampe,Poussee&lt;Poids*SIN(M388)), g*SIN(M388), (-W388+Poussee)/m)</f>
        <v>-8.9272237622140818</v>
      </c>
    </row>
    <row r="390" spans="1:34" x14ac:dyDescent="0.2">
      <c r="A390" s="347">
        <f t="shared" ca="1" si="180"/>
        <v>1E-4</v>
      </c>
      <c r="B390" s="304">
        <f t="shared" ca="1" si="181"/>
        <v>28.601000000000138</v>
      </c>
      <c r="D390" s="306">
        <f t="shared" ca="1" si="182"/>
        <v>-0.65999843474553022</v>
      </c>
      <c r="E390" s="307">
        <f t="shared" ca="1" si="183"/>
        <v>-0.90718249835193809</v>
      </c>
      <c r="F390" s="304">
        <f t="shared" ca="1" si="184"/>
        <v>1.1218636366255099</v>
      </c>
      <c r="G390" s="306">
        <f t="shared" ca="1" si="185"/>
        <v>7.2991375449379055</v>
      </c>
      <c r="H390" s="307">
        <f t="shared" ca="1" si="186"/>
        <v>-98.460137963098646</v>
      </c>
      <c r="I390" s="304">
        <f t="shared" ca="1" si="187"/>
        <v>98.730320452292361</v>
      </c>
      <c r="J390" s="306">
        <f t="shared" ca="1" si="188"/>
        <v>678.53524446899166</v>
      </c>
      <c r="K390" s="307">
        <f t="shared" ca="1" si="189"/>
        <v>-2.9695684252149772</v>
      </c>
      <c r="L390" s="304">
        <f t="shared" ca="1" si="174"/>
        <v>678.54174250610868</v>
      </c>
      <c r="M390" s="306">
        <f t="shared" ca="1" si="190"/>
        <v>-1.4967987644458232</v>
      </c>
      <c r="N390" s="304">
        <f t="shared" ca="1" si="191"/>
        <v>-85.760251983141927</v>
      </c>
      <c r="P390" s="310">
        <f t="shared" ca="1" si="192"/>
        <v>23</v>
      </c>
      <c r="Q390" s="304">
        <f t="shared" ca="1" si="193"/>
        <v>0</v>
      </c>
      <c r="R390" s="306">
        <f t="shared" ca="1" si="194"/>
        <v>0</v>
      </c>
      <c r="S390" s="307">
        <f t="shared" ca="1" si="195"/>
        <v>4.341000000000002</v>
      </c>
      <c r="T390" s="304">
        <f t="shared" ca="1" si="175"/>
        <v>42.585210000000025</v>
      </c>
      <c r="U390" s="311">
        <f t="shared" ca="1" si="176"/>
        <v>0</v>
      </c>
      <c r="V390" s="306">
        <f t="shared" ca="1" si="177"/>
        <v>1.2253638261524216</v>
      </c>
      <c r="W390" s="304">
        <f t="shared" ca="1" si="178"/>
        <v>38.753289049107934</v>
      </c>
      <c r="Y390" s="314" t="str">
        <f t="shared" ca="1" si="196"/>
        <v/>
      </c>
      <c r="Z390" s="315" t="str">
        <f t="shared" ca="1" si="197"/>
        <v/>
      </c>
      <c r="AA390" s="316" t="str">
        <f t="shared" ca="1" si="198"/>
        <v/>
      </c>
      <c r="AC390" s="310" t="e">
        <f t="shared" ca="1" si="199"/>
        <v>#N/A</v>
      </c>
      <c r="AD390" s="323" t="e">
        <f t="shared" ca="1" si="200"/>
        <v>#N/A</v>
      </c>
      <c r="AE390" s="324" t="e">
        <f t="shared" ca="1" si="179"/>
        <v>#N/A</v>
      </c>
      <c r="AG390" s="306">
        <f t="shared" ca="1" si="201"/>
        <v>0.85590567926188754</v>
      </c>
      <c r="AH390" s="304">
        <f t="shared" ca="1" si="202"/>
        <v>-8.9272480306933115</v>
      </c>
    </row>
    <row r="391" spans="1:34" x14ac:dyDescent="0.2">
      <c r="A391" s="347">
        <f t="shared" ca="1" si="180"/>
        <v>1E-4</v>
      </c>
      <c r="B391" s="304">
        <f t="shared" ca="1" si="181"/>
        <v>28.601100000000137</v>
      </c>
      <c r="D391" s="306">
        <f t="shared" ca="1" si="182"/>
        <v>-0.6599936889860567</v>
      </c>
      <c r="E391" s="307">
        <f t="shared" ca="1" si="183"/>
        <v>-0.90715781182824529</v>
      </c>
      <c r="F391" s="304">
        <f t="shared" ca="1" si="184"/>
        <v>1.1218408822388466</v>
      </c>
      <c r="G391" s="306">
        <f t="shared" ca="1" si="185"/>
        <v>7.2990715455690065</v>
      </c>
      <c r="H391" s="307">
        <f t="shared" ca="1" si="186"/>
        <v>-98.46022867887983</v>
      </c>
      <c r="I391" s="304">
        <f t="shared" ca="1" si="187"/>
        <v>98.730406040513401</v>
      </c>
      <c r="J391" s="306">
        <f t="shared" ca="1" si="188"/>
        <v>678.53524446899166</v>
      </c>
      <c r="K391" s="307">
        <f t="shared" ca="1" si="189"/>
        <v>-2.9794144435470762</v>
      </c>
      <c r="L391" s="304">
        <f t="shared" ca="1" si="174"/>
        <v>678.54178566763358</v>
      </c>
      <c r="M391" s="306">
        <f t="shared" ca="1" si="190"/>
        <v>-1.4967994990257985</v>
      </c>
      <c r="N391" s="304">
        <f t="shared" ca="1" si="191"/>
        <v>-85.76029407147422</v>
      </c>
      <c r="P391" s="310">
        <f t="shared" ca="1" si="192"/>
        <v>23</v>
      </c>
      <c r="Q391" s="304">
        <f t="shared" ca="1" si="193"/>
        <v>0</v>
      </c>
      <c r="R391" s="306">
        <f t="shared" ca="1" si="194"/>
        <v>0</v>
      </c>
      <c r="S391" s="307">
        <f t="shared" ca="1" si="195"/>
        <v>4.341000000000002</v>
      </c>
      <c r="T391" s="304">
        <f t="shared" ca="1" si="175"/>
        <v>42.585210000000025</v>
      </c>
      <c r="U391" s="311">
        <f t="shared" ca="1" si="176"/>
        <v>0</v>
      </c>
      <c r="V391" s="306">
        <f t="shared" ca="1" si="177"/>
        <v>1.2253650326485119</v>
      </c>
      <c r="W391" s="304">
        <f t="shared" ca="1" si="178"/>
        <v>38.753394395376198</v>
      </c>
      <c r="Y391" s="314" t="str">
        <f t="shared" ca="1" si="196"/>
        <v/>
      </c>
      <c r="Z391" s="315" t="str">
        <f t="shared" ca="1" si="197"/>
        <v/>
      </c>
      <c r="AA391" s="316" t="str">
        <f t="shared" ca="1" si="198"/>
        <v/>
      </c>
      <c r="AC391" s="310" t="e">
        <f t="shared" ca="1" si="199"/>
        <v>#N/A</v>
      </c>
      <c r="AD391" s="323" t="e">
        <f t="shared" ca="1" si="200"/>
        <v>#N/A</v>
      </c>
      <c r="AE391" s="324" t="e">
        <f t="shared" ca="1" si="179"/>
        <v>#N/A</v>
      </c>
      <c r="AG391" s="306">
        <f t="shared" ca="1" si="201"/>
        <v>0.85588194391654859</v>
      </c>
      <c r="AH391" s="304">
        <f t="shared" ca="1" si="202"/>
        <v>-8.9272722988039437</v>
      </c>
    </row>
    <row r="392" spans="1:34" x14ac:dyDescent="0.2">
      <c r="A392" s="347">
        <f t="shared" ca="1" si="180"/>
        <v>1E-4</v>
      </c>
      <c r="B392" s="304">
        <f t="shared" ca="1" si="181"/>
        <v>28.601200000000137</v>
      </c>
      <c r="D392" s="306">
        <f t="shared" ca="1" si="182"/>
        <v>-0.65998894323389401</v>
      </c>
      <c r="E392" s="307">
        <f t="shared" ca="1" si="183"/>
        <v>-0.90713312567951654</v>
      </c>
      <c r="F392" s="304">
        <f t="shared" ca="1" si="184"/>
        <v>1.1218181282614761</v>
      </c>
      <c r="G392" s="306">
        <f t="shared" ca="1" si="185"/>
        <v>7.2990055466746835</v>
      </c>
      <c r="H392" s="307">
        <f t="shared" ca="1" si="186"/>
        <v>-98.460319392192403</v>
      </c>
      <c r="I392" s="304">
        <f t="shared" ca="1" si="187"/>
        <v>98.730491626360944</v>
      </c>
      <c r="J392" s="306">
        <f t="shared" ca="1" si="188"/>
        <v>678.53524446899166</v>
      </c>
      <c r="K392" s="307">
        <f t="shared" ca="1" si="189"/>
        <v>-2.9892604709506299</v>
      </c>
      <c r="L392" s="304">
        <f t="shared" ca="1" si="174"/>
        <v>678.5418289720667</v>
      </c>
      <c r="M392" s="306">
        <f t="shared" ca="1" si="190"/>
        <v>-1.4968002335978579</v>
      </c>
      <c r="N392" s="304">
        <f t="shared" ca="1" si="191"/>
        <v>-85.760336159352974</v>
      </c>
      <c r="P392" s="310">
        <f t="shared" ca="1" si="192"/>
        <v>23</v>
      </c>
      <c r="Q392" s="304">
        <f t="shared" ca="1" si="193"/>
        <v>0</v>
      </c>
      <c r="R392" s="306">
        <f t="shared" ca="1" si="194"/>
        <v>0</v>
      </c>
      <c r="S392" s="307">
        <f t="shared" ca="1" si="195"/>
        <v>4.341000000000002</v>
      </c>
      <c r="T392" s="304">
        <f t="shared" ca="1" si="175"/>
        <v>42.585210000000025</v>
      </c>
      <c r="U392" s="311">
        <f t="shared" ca="1" si="176"/>
        <v>0</v>
      </c>
      <c r="V392" s="306">
        <f t="shared" ca="1" si="177"/>
        <v>1.2253662391469018</v>
      </c>
      <c r="W392" s="304">
        <f t="shared" ca="1" si="178"/>
        <v>38.753499740044461</v>
      </c>
      <c r="Y392" s="314" t="str">
        <f t="shared" ca="1" si="196"/>
        <v/>
      </c>
      <c r="Z392" s="315" t="str">
        <f t="shared" ca="1" si="197"/>
        <v/>
      </c>
      <c r="AA392" s="316" t="str">
        <f t="shared" ca="1" si="198"/>
        <v/>
      </c>
      <c r="AC392" s="310" t="e">
        <f t="shared" ca="1" si="199"/>
        <v>#N/A</v>
      </c>
      <c r="AD392" s="323" t="e">
        <f t="shared" ca="1" si="200"/>
        <v>#N/A</v>
      </c>
      <c r="AE392" s="324" t="e">
        <f t="shared" ca="1" si="179"/>
        <v>#N/A</v>
      </c>
      <c r="AG392" s="306">
        <f t="shared" ca="1" si="201"/>
        <v>0.85585820892876718</v>
      </c>
      <c r="AH392" s="304">
        <f t="shared" ca="1" si="202"/>
        <v>-8.9272965665459978</v>
      </c>
    </row>
    <row r="393" spans="1:34" x14ac:dyDescent="0.2">
      <c r="A393" s="347">
        <f t="shared" ca="1" si="180"/>
        <v>1E-4</v>
      </c>
      <c r="B393" s="304">
        <f t="shared" ca="1" si="181"/>
        <v>28.601300000000137</v>
      </c>
      <c r="D393" s="306">
        <f t="shared" ca="1" si="182"/>
        <v>-0.65998419748904535</v>
      </c>
      <c r="E393" s="307">
        <f t="shared" ca="1" si="183"/>
        <v>-0.9071084399057483</v>
      </c>
      <c r="F393" s="304">
        <f t="shared" ca="1" si="184"/>
        <v>1.1217953746933973</v>
      </c>
      <c r="G393" s="306">
        <f t="shared" ca="1" si="185"/>
        <v>7.2989395482549346</v>
      </c>
      <c r="H393" s="307">
        <f t="shared" ca="1" si="186"/>
        <v>-98.460410103036395</v>
      </c>
      <c r="I393" s="304">
        <f t="shared" ca="1" si="187"/>
        <v>98.730577209835019</v>
      </c>
      <c r="J393" s="306">
        <f t="shared" ca="1" si="188"/>
        <v>678.53524446899166</v>
      </c>
      <c r="K393" s="307">
        <f t="shared" ca="1" si="189"/>
        <v>-2.9991065074253913</v>
      </c>
      <c r="L393" s="304">
        <f t="shared" ca="1" si="174"/>
        <v>678.54187241940872</v>
      </c>
      <c r="M393" s="306">
        <f t="shared" ca="1" si="190"/>
        <v>-1.4968009681620018</v>
      </c>
      <c r="N393" s="304">
        <f t="shared" ca="1" si="191"/>
        <v>-85.760378246778203</v>
      </c>
      <c r="P393" s="310">
        <f t="shared" ca="1" si="192"/>
        <v>23</v>
      </c>
      <c r="Q393" s="304">
        <f t="shared" ca="1" si="193"/>
        <v>0</v>
      </c>
      <c r="R393" s="306">
        <f t="shared" ca="1" si="194"/>
        <v>0</v>
      </c>
      <c r="S393" s="307">
        <f t="shared" ca="1" si="195"/>
        <v>4.341000000000002</v>
      </c>
      <c r="T393" s="304">
        <f t="shared" ca="1" si="175"/>
        <v>42.585210000000025</v>
      </c>
      <c r="U393" s="311">
        <f t="shared" ca="1" si="176"/>
        <v>0</v>
      </c>
      <c r="V393" s="306">
        <f t="shared" ca="1" si="177"/>
        <v>1.2253674456475914</v>
      </c>
      <c r="W393" s="304">
        <f t="shared" ca="1" si="178"/>
        <v>38.75360508311276</v>
      </c>
      <c r="Y393" s="314" t="str">
        <f t="shared" ca="1" si="196"/>
        <v/>
      </c>
      <c r="Z393" s="315" t="str">
        <f t="shared" ca="1" si="197"/>
        <v/>
      </c>
      <c r="AA393" s="316" t="str">
        <f t="shared" ca="1" si="198"/>
        <v/>
      </c>
      <c r="AC393" s="310" t="e">
        <f t="shared" ca="1" si="199"/>
        <v>#N/A</v>
      </c>
      <c r="AD393" s="323" t="e">
        <f t="shared" ca="1" si="200"/>
        <v>#N/A</v>
      </c>
      <c r="AE393" s="324" t="e">
        <f t="shared" ca="1" si="179"/>
        <v>#N/A</v>
      </c>
      <c r="AG393" s="306">
        <f t="shared" ca="1" si="201"/>
        <v>0.85583447429854331</v>
      </c>
      <c r="AH393" s="304">
        <f t="shared" ca="1" si="202"/>
        <v>-8.9273208339194756</v>
      </c>
    </row>
    <row r="394" spans="1:34" x14ac:dyDescent="0.2">
      <c r="A394" s="347">
        <f t="shared" ca="1" si="180"/>
        <v>1E-4</v>
      </c>
      <c r="B394" s="304">
        <f t="shared" ca="1" si="181"/>
        <v>28.601400000000137</v>
      </c>
      <c r="D394" s="306">
        <f t="shared" ca="1" si="182"/>
        <v>-0.65997945175150896</v>
      </c>
      <c r="E394" s="307">
        <f t="shared" ca="1" si="183"/>
        <v>-0.90708375450693524</v>
      </c>
      <c r="F394" s="304">
        <f t="shared" ca="1" si="184"/>
        <v>1.1217726215346051</v>
      </c>
      <c r="G394" s="306">
        <f t="shared" ca="1" si="185"/>
        <v>7.298873550309759</v>
      </c>
      <c r="H394" s="307">
        <f t="shared" ca="1" si="186"/>
        <v>-98.460500811411848</v>
      </c>
      <c r="I394" s="304">
        <f t="shared" ca="1" si="187"/>
        <v>98.730662790935639</v>
      </c>
      <c r="J394" s="306">
        <f t="shared" ca="1" si="188"/>
        <v>678.53524446899166</v>
      </c>
      <c r="K394" s="307">
        <f t="shared" ca="1" si="189"/>
        <v>-3.0089525529711136</v>
      </c>
      <c r="L394" s="304">
        <f t="shared" ca="1" si="174"/>
        <v>678.54191600965987</v>
      </c>
      <c r="M394" s="306">
        <f t="shared" ca="1" si="190"/>
        <v>-1.4968017027182303</v>
      </c>
      <c r="N394" s="304">
        <f t="shared" ca="1" si="191"/>
        <v>-85.76042033374992</v>
      </c>
      <c r="P394" s="310">
        <f t="shared" ca="1" si="192"/>
        <v>23</v>
      </c>
      <c r="Q394" s="304">
        <f t="shared" ca="1" si="193"/>
        <v>0</v>
      </c>
      <c r="R394" s="306">
        <f t="shared" ca="1" si="194"/>
        <v>0</v>
      </c>
      <c r="S394" s="307">
        <f t="shared" ca="1" si="195"/>
        <v>4.341000000000002</v>
      </c>
      <c r="T394" s="304">
        <f t="shared" ca="1" si="175"/>
        <v>42.585210000000025</v>
      </c>
      <c r="U394" s="311">
        <f t="shared" ca="1" si="176"/>
        <v>0</v>
      </c>
      <c r="V394" s="306">
        <f t="shared" ca="1" si="177"/>
        <v>1.2253686521505809</v>
      </c>
      <c r="W394" s="304">
        <f t="shared" ca="1" si="178"/>
        <v>38.753710424581065</v>
      </c>
      <c r="Y394" s="314" t="str">
        <f t="shared" ca="1" si="196"/>
        <v/>
      </c>
      <c r="Z394" s="315" t="str">
        <f t="shared" ca="1" si="197"/>
        <v/>
      </c>
      <c r="AA394" s="316" t="str">
        <f t="shared" ca="1" si="198"/>
        <v/>
      </c>
      <c r="AC394" s="310" t="e">
        <f t="shared" ca="1" si="199"/>
        <v>#N/A</v>
      </c>
      <c r="AD394" s="323" t="e">
        <f t="shared" ca="1" si="200"/>
        <v>#N/A</v>
      </c>
      <c r="AE394" s="324" t="e">
        <f t="shared" ca="1" si="179"/>
        <v>#N/A</v>
      </c>
      <c r="AG394" s="306">
        <f t="shared" ca="1" si="201"/>
        <v>0.85581074002586988</v>
      </c>
      <c r="AH394" s="304">
        <f t="shared" ca="1" si="202"/>
        <v>-8.9273451009243825</v>
      </c>
    </row>
    <row r="395" spans="1:34" x14ac:dyDescent="0.2">
      <c r="A395" s="347">
        <f t="shared" ca="1" si="180"/>
        <v>1E-4</v>
      </c>
      <c r="B395" s="304">
        <f t="shared" ca="1" si="181"/>
        <v>28.601500000000136</v>
      </c>
      <c r="D395" s="306">
        <f t="shared" ca="1" si="182"/>
        <v>-0.65997470602128538</v>
      </c>
      <c r="E395" s="307">
        <f t="shared" ca="1" si="183"/>
        <v>-0.90705906948308268</v>
      </c>
      <c r="F395" s="304">
        <f t="shared" ca="1" si="184"/>
        <v>1.121749868785104</v>
      </c>
      <c r="G395" s="306">
        <f t="shared" ca="1" si="185"/>
        <v>7.2988075528391567</v>
      </c>
      <c r="H395" s="307">
        <f t="shared" ca="1" si="186"/>
        <v>-98.46059151731879</v>
      </c>
      <c r="I395" s="304">
        <f t="shared" ca="1" si="187"/>
        <v>98.730748369662876</v>
      </c>
      <c r="J395" s="306">
        <f t="shared" ca="1" si="188"/>
        <v>678.53524446899166</v>
      </c>
      <c r="K395" s="307">
        <f t="shared" ca="1" si="189"/>
        <v>-3.0187986075875504</v>
      </c>
      <c r="L395" s="304">
        <f t="shared" ca="1" si="174"/>
        <v>678.5419597428205</v>
      </c>
      <c r="M395" s="306">
        <f t="shared" ca="1" si="190"/>
        <v>-1.4968024372665434</v>
      </c>
      <c r="N395" s="304">
        <f t="shared" ca="1" si="191"/>
        <v>-85.760462420268112</v>
      </c>
      <c r="P395" s="310">
        <f t="shared" ca="1" si="192"/>
        <v>23</v>
      </c>
      <c r="Q395" s="304">
        <f t="shared" ca="1" si="193"/>
        <v>0</v>
      </c>
      <c r="R395" s="306">
        <f t="shared" ca="1" si="194"/>
        <v>0</v>
      </c>
      <c r="S395" s="307">
        <f t="shared" ca="1" si="195"/>
        <v>4.341000000000002</v>
      </c>
      <c r="T395" s="304">
        <f t="shared" ca="1" si="175"/>
        <v>42.585210000000025</v>
      </c>
      <c r="U395" s="311">
        <f t="shared" ca="1" si="176"/>
        <v>0</v>
      </c>
      <c r="V395" s="306">
        <f t="shared" ca="1" si="177"/>
        <v>1.2253698586558692</v>
      </c>
      <c r="W395" s="304">
        <f t="shared" ca="1" si="178"/>
        <v>38.753815764449413</v>
      </c>
      <c r="Y395" s="314" t="str">
        <f t="shared" ca="1" si="196"/>
        <v/>
      </c>
      <c r="Z395" s="315" t="str">
        <f t="shared" ca="1" si="197"/>
        <v/>
      </c>
      <c r="AA395" s="316" t="str">
        <f t="shared" ca="1" si="198"/>
        <v/>
      </c>
      <c r="AC395" s="310" t="e">
        <f t="shared" ca="1" si="199"/>
        <v>#N/A</v>
      </c>
      <c r="AD395" s="323" t="e">
        <f t="shared" ca="1" si="200"/>
        <v>#N/A</v>
      </c>
      <c r="AE395" s="324" t="e">
        <f t="shared" ca="1" si="179"/>
        <v>#N/A</v>
      </c>
      <c r="AG395" s="306">
        <f t="shared" ca="1" si="201"/>
        <v>0.85578700611075398</v>
      </c>
      <c r="AH395" s="304">
        <f t="shared" ca="1" si="202"/>
        <v>-8.9273693675607113</v>
      </c>
    </row>
    <row r="396" spans="1:34" x14ac:dyDescent="0.2">
      <c r="A396" s="347">
        <f t="shared" ca="1" si="180"/>
        <v>1E-4</v>
      </c>
      <c r="B396" s="304">
        <f t="shared" ca="1" si="181"/>
        <v>28.601600000000136</v>
      </c>
      <c r="D396" s="306">
        <f t="shared" ca="1" si="182"/>
        <v>-0.65996996029837685</v>
      </c>
      <c r="E396" s="307">
        <f t="shared" ca="1" si="183"/>
        <v>-0.90703438483418175</v>
      </c>
      <c r="F396" s="304">
        <f t="shared" ca="1" si="184"/>
        <v>1.1217271164448881</v>
      </c>
      <c r="G396" s="306">
        <f t="shared" ca="1" si="185"/>
        <v>7.2987415558431268</v>
      </c>
      <c r="H396" s="307">
        <f t="shared" ca="1" si="186"/>
        <v>-98.460682220757278</v>
      </c>
      <c r="I396" s="304">
        <f t="shared" ca="1" si="187"/>
        <v>98.730833946016773</v>
      </c>
      <c r="J396" s="306">
        <f t="shared" ca="1" si="188"/>
        <v>678.53524446899166</v>
      </c>
      <c r="K396" s="307">
        <f t="shared" ca="1" si="189"/>
        <v>-3.0286446712744541</v>
      </c>
      <c r="L396" s="304">
        <f t="shared" ca="1" si="174"/>
        <v>678.54200361889104</v>
      </c>
      <c r="M396" s="306">
        <f t="shared" ca="1" si="190"/>
        <v>-1.4968031718069412</v>
      </c>
      <c r="N396" s="304">
        <f t="shared" ca="1" si="191"/>
        <v>-85.760504506332779</v>
      </c>
      <c r="P396" s="310">
        <f t="shared" ca="1" si="192"/>
        <v>23</v>
      </c>
      <c r="Q396" s="304">
        <f t="shared" ca="1" si="193"/>
        <v>0</v>
      </c>
      <c r="R396" s="306">
        <f t="shared" ca="1" si="194"/>
        <v>0</v>
      </c>
      <c r="S396" s="307">
        <f t="shared" ca="1" si="195"/>
        <v>4.341000000000002</v>
      </c>
      <c r="T396" s="304">
        <f t="shared" ca="1" si="175"/>
        <v>42.585210000000025</v>
      </c>
      <c r="U396" s="311">
        <f t="shared" ca="1" si="176"/>
        <v>0</v>
      </c>
      <c r="V396" s="306">
        <f t="shared" ca="1" si="177"/>
        <v>1.2253710651634577</v>
      </c>
      <c r="W396" s="304">
        <f t="shared" ca="1" si="178"/>
        <v>38.753921102717875</v>
      </c>
      <c r="Y396" s="314" t="str">
        <f t="shared" ca="1" si="196"/>
        <v/>
      </c>
      <c r="Z396" s="315" t="str">
        <f t="shared" ca="1" si="197"/>
        <v/>
      </c>
      <c r="AA396" s="316" t="str">
        <f t="shared" ca="1" si="198"/>
        <v/>
      </c>
      <c r="AC396" s="310" t="e">
        <f t="shared" ca="1" si="199"/>
        <v>#N/A</v>
      </c>
      <c r="AD396" s="323" t="e">
        <f t="shared" ca="1" si="200"/>
        <v>#N/A</v>
      </c>
      <c r="AE396" s="324" t="e">
        <f t="shared" ca="1" si="179"/>
        <v>#N/A</v>
      </c>
      <c r="AG396" s="306">
        <f t="shared" ca="1" si="201"/>
        <v>0.85576327255319029</v>
      </c>
      <c r="AH396" s="304">
        <f t="shared" ca="1" si="202"/>
        <v>-8.927393633828471</v>
      </c>
    </row>
    <row r="397" spans="1:34" x14ac:dyDescent="0.2">
      <c r="A397" s="347">
        <f t="shared" ca="1" si="180"/>
        <v>1E-4</v>
      </c>
      <c r="B397" s="304">
        <f t="shared" ca="1" si="181"/>
        <v>28.601700000000136</v>
      </c>
      <c r="D397" s="306">
        <f t="shared" ca="1" si="182"/>
        <v>-0.65996521458278401</v>
      </c>
      <c r="E397" s="307">
        <f t="shared" ca="1" si="183"/>
        <v>-0.90700970056021823</v>
      </c>
      <c r="F397" s="304">
        <f t="shared" ca="1" si="184"/>
        <v>1.1217043645139466</v>
      </c>
      <c r="G397" s="306">
        <f t="shared" ca="1" si="185"/>
        <v>7.2986755593216683</v>
      </c>
      <c r="H397" s="307">
        <f t="shared" ca="1" si="186"/>
        <v>-98.46077292172734</v>
      </c>
      <c r="I397" s="304">
        <f t="shared" ca="1" si="187"/>
        <v>98.730919519997357</v>
      </c>
      <c r="J397" s="306">
        <f t="shared" ca="1" si="188"/>
        <v>678.53524446899166</v>
      </c>
      <c r="K397" s="307">
        <f t="shared" ca="1" si="189"/>
        <v>-3.0384907440315785</v>
      </c>
      <c r="L397" s="304">
        <f t="shared" ca="1" si="174"/>
        <v>678.54204763787175</v>
      </c>
      <c r="M397" s="306">
        <f t="shared" ca="1" si="190"/>
        <v>-1.4968039063394238</v>
      </c>
      <c r="N397" s="304">
        <f t="shared" ca="1" si="191"/>
        <v>-85.76054659194395</v>
      </c>
      <c r="P397" s="310">
        <f t="shared" ca="1" si="192"/>
        <v>23</v>
      </c>
      <c r="Q397" s="304">
        <f t="shared" ca="1" si="193"/>
        <v>0</v>
      </c>
      <c r="R397" s="306">
        <f t="shared" ca="1" si="194"/>
        <v>0</v>
      </c>
      <c r="S397" s="307">
        <f t="shared" ca="1" si="195"/>
        <v>4.341000000000002</v>
      </c>
      <c r="T397" s="304">
        <f t="shared" ca="1" si="175"/>
        <v>42.585210000000025</v>
      </c>
      <c r="U397" s="311">
        <f t="shared" ca="1" si="176"/>
        <v>0</v>
      </c>
      <c r="V397" s="306">
        <f t="shared" ca="1" si="177"/>
        <v>1.2253722716733457</v>
      </c>
      <c r="W397" s="304">
        <f t="shared" ca="1" si="178"/>
        <v>38.754026439386422</v>
      </c>
      <c r="Y397" s="314" t="str">
        <f t="shared" ca="1" si="196"/>
        <v/>
      </c>
      <c r="Z397" s="315" t="str">
        <f t="shared" ca="1" si="197"/>
        <v/>
      </c>
      <c r="AA397" s="316" t="str">
        <f t="shared" ca="1" si="198"/>
        <v/>
      </c>
      <c r="AC397" s="310" t="e">
        <f t="shared" ca="1" si="199"/>
        <v>#N/A</v>
      </c>
      <c r="AD397" s="323" t="e">
        <f t="shared" ca="1" si="200"/>
        <v>#N/A</v>
      </c>
      <c r="AE397" s="324" t="e">
        <f t="shared" ca="1" si="179"/>
        <v>#N/A</v>
      </c>
      <c r="AG397" s="306">
        <f t="shared" ca="1" si="201"/>
        <v>0.85573953935315927</v>
      </c>
      <c r="AH397" s="304">
        <f t="shared" ca="1" si="202"/>
        <v>-8.9274178997276792</v>
      </c>
    </row>
    <row r="398" spans="1:34" x14ac:dyDescent="0.2">
      <c r="A398" s="347">
        <f t="shared" ca="1" si="180"/>
        <v>1E-4</v>
      </c>
      <c r="B398" s="304">
        <f t="shared" ca="1" si="181"/>
        <v>28.601800000000136</v>
      </c>
      <c r="D398" s="306">
        <f t="shared" ca="1" si="182"/>
        <v>-0.65996046887450766</v>
      </c>
      <c r="E398" s="307">
        <f t="shared" ca="1" si="183"/>
        <v>-0.90698501666119569</v>
      </c>
      <c r="F398" s="304">
        <f t="shared" ca="1" si="184"/>
        <v>1.1216816129922829</v>
      </c>
      <c r="G398" s="306">
        <f t="shared" ca="1" si="185"/>
        <v>7.2986095632747805</v>
      </c>
      <c r="H398" s="307">
        <f t="shared" ca="1" si="186"/>
        <v>-98.460863620229006</v>
      </c>
      <c r="I398" s="304">
        <f t="shared" ca="1" si="187"/>
        <v>98.731005091604644</v>
      </c>
      <c r="J398" s="306">
        <f t="shared" ca="1" si="188"/>
        <v>678.53524446899166</v>
      </c>
      <c r="K398" s="307">
        <f t="shared" ca="1" si="189"/>
        <v>-3.0483368258586765</v>
      </c>
      <c r="L398" s="304">
        <f t="shared" ca="1" si="174"/>
        <v>678.54209179976317</v>
      </c>
      <c r="M398" s="306">
        <f t="shared" ca="1" si="190"/>
        <v>-1.4968046408639915</v>
      </c>
      <c r="N398" s="304">
        <f t="shared" ca="1" si="191"/>
        <v>-85.760588677101623</v>
      </c>
      <c r="P398" s="310">
        <f t="shared" ca="1" si="192"/>
        <v>23</v>
      </c>
      <c r="Q398" s="304">
        <f t="shared" ca="1" si="193"/>
        <v>0</v>
      </c>
      <c r="R398" s="306">
        <f t="shared" ca="1" si="194"/>
        <v>0</v>
      </c>
      <c r="S398" s="307">
        <f t="shared" ca="1" si="195"/>
        <v>4.341000000000002</v>
      </c>
      <c r="T398" s="304">
        <f t="shared" ca="1" si="175"/>
        <v>42.585210000000025</v>
      </c>
      <c r="U398" s="311">
        <f t="shared" ca="1" si="176"/>
        <v>0</v>
      </c>
      <c r="V398" s="306">
        <f t="shared" ca="1" si="177"/>
        <v>1.225373478185533</v>
      </c>
      <c r="W398" s="304">
        <f t="shared" ca="1" si="178"/>
        <v>38.754131774455054</v>
      </c>
      <c r="Y398" s="314" t="str">
        <f t="shared" ca="1" si="196"/>
        <v/>
      </c>
      <c r="Z398" s="315" t="str">
        <f t="shared" ca="1" si="197"/>
        <v/>
      </c>
      <c r="AA398" s="316" t="str">
        <f t="shared" ca="1" si="198"/>
        <v/>
      </c>
      <c r="AC398" s="310" t="e">
        <f t="shared" ca="1" si="199"/>
        <v>#N/A</v>
      </c>
      <c r="AD398" s="323" t="e">
        <f t="shared" ca="1" si="200"/>
        <v>#N/A</v>
      </c>
      <c r="AE398" s="324" t="e">
        <f t="shared" ca="1" si="179"/>
        <v>#N/A</v>
      </c>
      <c r="AG398" s="306">
        <f t="shared" ca="1" si="201"/>
        <v>0.85571580651066803</v>
      </c>
      <c r="AH398" s="304">
        <f t="shared" ca="1" si="202"/>
        <v>-8.9274421652583289</v>
      </c>
    </row>
    <row r="399" spans="1:34" x14ac:dyDescent="0.2">
      <c r="A399" s="347">
        <f t="shared" ca="1" si="180"/>
        <v>1E-4</v>
      </c>
      <c r="B399" s="304">
        <f t="shared" ca="1" si="181"/>
        <v>28.601900000000136</v>
      </c>
      <c r="D399" s="306">
        <f t="shared" ca="1" si="182"/>
        <v>-0.65995572317354734</v>
      </c>
      <c r="E399" s="307">
        <f t="shared" ca="1" si="183"/>
        <v>-0.90696033313711766</v>
      </c>
      <c r="F399" s="304">
        <f t="shared" ca="1" si="184"/>
        <v>1.1216588618798995</v>
      </c>
      <c r="G399" s="306">
        <f t="shared" ca="1" si="185"/>
        <v>7.2985435677024633</v>
      </c>
      <c r="H399" s="307">
        <f t="shared" ca="1" si="186"/>
        <v>-98.460954316262317</v>
      </c>
      <c r="I399" s="304">
        <f t="shared" ca="1" si="187"/>
        <v>98.731090660838674</v>
      </c>
      <c r="J399" s="306">
        <f t="shared" ca="1" si="188"/>
        <v>678.53524446899166</v>
      </c>
      <c r="K399" s="307">
        <f t="shared" ca="1" si="189"/>
        <v>-3.0581829167555012</v>
      </c>
      <c r="L399" s="304">
        <f t="shared" ca="1" si="174"/>
        <v>678.54213610456543</v>
      </c>
      <c r="M399" s="306">
        <f t="shared" ca="1" si="190"/>
        <v>-1.4968053753806443</v>
      </c>
      <c r="N399" s="304">
        <f t="shared" ca="1" si="191"/>
        <v>-85.760630761805814</v>
      </c>
      <c r="P399" s="310">
        <f t="shared" ca="1" si="192"/>
        <v>23</v>
      </c>
      <c r="Q399" s="304">
        <f t="shared" ca="1" si="193"/>
        <v>0</v>
      </c>
      <c r="R399" s="306">
        <f t="shared" ca="1" si="194"/>
        <v>0</v>
      </c>
      <c r="S399" s="307">
        <f t="shared" ca="1" si="195"/>
        <v>4.341000000000002</v>
      </c>
      <c r="T399" s="304">
        <f t="shared" ca="1" si="175"/>
        <v>42.585210000000025</v>
      </c>
      <c r="U399" s="311">
        <f t="shared" ca="1" si="176"/>
        <v>0</v>
      </c>
      <c r="V399" s="306">
        <f t="shared" ca="1" si="177"/>
        <v>1.2253746847000202</v>
      </c>
      <c r="W399" s="304">
        <f t="shared" ca="1" si="178"/>
        <v>38.754237107923835</v>
      </c>
      <c r="Y399" s="314" t="str">
        <f t="shared" ca="1" si="196"/>
        <v/>
      </c>
      <c r="Z399" s="315" t="str">
        <f t="shared" ca="1" si="197"/>
        <v/>
      </c>
      <c r="AA399" s="316" t="str">
        <f t="shared" ca="1" si="198"/>
        <v/>
      </c>
      <c r="AC399" s="310" t="e">
        <f t="shared" ca="1" si="199"/>
        <v>#N/A</v>
      </c>
      <c r="AD399" s="323" t="e">
        <f t="shared" ca="1" si="200"/>
        <v>#N/A</v>
      </c>
      <c r="AE399" s="324" t="e">
        <f t="shared" ca="1" si="179"/>
        <v>#N/A</v>
      </c>
      <c r="AG399" s="306">
        <f t="shared" ca="1" si="201"/>
        <v>0.85569207402571656</v>
      </c>
      <c r="AH399" s="304">
        <f t="shared" ca="1" si="202"/>
        <v>-8.9274664304204183</v>
      </c>
    </row>
    <row r="400" spans="1:34" x14ac:dyDescent="0.2">
      <c r="A400" s="347">
        <f t="shared" ca="1" si="180"/>
        <v>1E-4</v>
      </c>
      <c r="B400" s="304">
        <f t="shared" ca="1" si="181"/>
        <v>28.602000000000135</v>
      </c>
      <c r="D400" s="306">
        <f t="shared" ca="1" si="182"/>
        <v>-0.65995097747990339</v>
      </c>
      <c r="E400" s="307">
        <f t="shared" ca="1" si="183"/>
        <v>-0.90693564998796461</v>
      </c>
      <c r="F400" s="304">
        <f t="shared" ca="1" si="184"/>
        <v>1.1216361111767807</v>
      </c>
      <c r="G400" s="306">
        <f t="shared" ca="1" si="185"/>
        <v>7.2984775726047149</v>
      </c>
      <c r="H400" s="307">
        <f t="shared" ca="1" si="186"/>
        <v>-98.461045009827316</v>
      </c>
      <c r="I400" s="304">
        <f t="shared" ca="1" si="187"/>
        <v>98.731176227699493</v>
      </c>
      <c r="J400" s="306">
        <f t="shared" ca="1" si="188"/>
        <v>678.53524446899166</v>
      </c>
      <c r="K400" s="307">
        <f t="shared" ca="1" si="189"/>
        <v>-3.0680290167218058</v>
      </c>
      <c r="L400" s="304">
        <f t="shared" ca="1" si="174"/>
        <v>678.54218055227909</v>
      </c>
      <c r="M400" s="306">
        <f t="shared" ca="1" si="190"/>
        <v>-1.4968061098893821</v>
      </c>
      <c r="N400" s="304">
        <f t="shared" ca="1" si="191"/>
        <v>-85.760672846056508</v>
      </c>
      <c r="P400" s="310">
        <f t="shared" ca="1" si="192"/>
        <v>23</v>
      </c>
      <c r="Q400" s="304">
        <f t="shared" ca="1" si="193"/>
        <v>0</v>
      </c>
      <c r="R400" s="306">
        <f t="shared" ca="1" si="194"/>
        <v>0</v>
      </c>
      <c r="S400" s="307">
        <f t="shared" ca="1" si="195"/>
        <v>4.341000000000002</v>
      </c>
      <c r="T400" s="304">
        <f t="shared" ca="1" si="175"/>
        <v>42.585210000000025</v>
      </c>
      <c r="U400" s="311">
        <f t="shared" ca="1" si="176"/>
        <v>0</v>
      </c>
      <c r="V400" s="306">
        <f t="shared" ca="1" si="177"/>
        <v>1.2253758912168065</v>
      </c>
      <c r="W400" s="304">
        <f t="shared" ca="1" si="178"/>
        <v>38.754342439792744</v>
      </c>
      <c r="Y400" s="314" t="str">
        <f t="shared" ca="1" si="196"/>
        <v/>
      </c>
      <c r="Z400" s="315" t="str">
        <f t="shared" ca="1" si="197"/>
        <v/>
      </c>
      <c r="AA400" s="316" t="str">
        <f t="shared" ca="1" si="198"/>
        <v/>
      </c>
      <c r="AC400" s="310" t="e">
        <f t="shared" ca="1" si="199"/>
        <v>#N/A</v>
      </c>
      <c r="AD400" s="323" t="e">
        <f t="shared" ca="1" si="200"/>
        <v>#N/A</v>
      </c>
      <c r="AE400" s="324" t="e">
        <f t="shared" ca="1" si="179"/>
        <v>#N/A</v>
      </c>
      <c r="AG400" s="306">
        <f t="shared" ca="1" si="201"/>
        <v>0.85566834189829422</v>
      </c>
      <c r="AH400" s="304">
        <f t="shared" ca="1" si="202"/>
        <v>-8.9274906952139634</v>
      </c>
    </row>
    <row r="401" spans="1:34" x14ac:dyDescent="0.2">
      <c r="A401" s="347">
        <f t="shared" ca="1" si="180"/>
        <v>1E-4</v>
      </c>
      <c r="B401" s="304">
        <f t="shared" ca="1" si="181"/>
        <v>28.602100000000135</v>
      </c>
      <c r="D401" s="306">
        <f t="shared" ca="1" si="182"/>
        <v>-0.65994623179357903</v>
      </c>
      <c r="E401" s="307">
        <f t="shared" ca="1" si="183"/>
        <v>-0.90691096721374542</v>
      </c>
      <c r="F401" s="304">
        <f t="shared" ca="1" si="184"/>
        <v>1.1216133608829362</v>
      </c>
      <c r="G401" s="306">
        <f t="shared" ca="1" si="185"/>
        <v>7.2984115779815353</v>
      </c>
      <c r="H401" s="307">
        <f t="shared" ca="1" si="186"/>
        <v>-98.461135700924032</v>
      </c>
      <c r="I401" s="304">
        <f t="shared" ca="1" si="187"/>
        <v>98.731261792187141</v>
      </c>
      <c r="J401" s="306">
        <f t="shared" ca="1" si="188"/>
        <v>678.53524446899166</v>
      </c>
      <c r="K401" s="307">
        <f t="shared" ca="1" si="189"/>
        <v>-3.0778751257573433</v>
      </c>
      <c r="L401" s="304">
        <f t="shared" ca="1" si="174"/>
        <v>678.5422251429045</v>
      </c>
      <c r="M401" s="306">
        <f t="shared" ca="1" si="190"/>
        <v>-1.4968068443902054</v>
      </c>
      <c r="N401" s="304">
        <f t="shared" ca="1" si="191"/>
        <v>-85.760714929853734</v>
      </c>
      <c r="P401" s="310">
        <f t="shared" ca="1" si="192"/>
        <v>23</v>
      </c>
      <c r="Q401" s="304">
        <f t="shared" ca="1" si="193"/>
        <v>0</v>
      </c>
      <c r="R401" s="306">
        <f t="shared" ca="1" si="194"/>
        <v>0</v>
      </c>
      <c r="S401" s="307">
        <f t="shared" ca="1" si="195"/>
        <v>4.341000000000002</v>
      </c>
      <c r="T401" s="304">
        <f t="shared" ca="1" si="175"/>
        <v>42.585210000000025</v>
      </c>
      <c r="U401" s="311">
        <f t="shared" ca="1" si="176"/>
        <v>0</v>
      </c>
      <c r="V401" s="306">
        <f t="shared" ca="1" si="177"/>
        <v>1.2253770977358924</v>
      </c>
      <c r="W401" s="304">
        <f t="shared" ca="1" si="178"/>
        <v>38.754447770061816</v>
      </c>
      <c r="Y401" s="314" t="str">
        <f t="shared" ca="1" si="196"/>
        <v/>
      </c>
      <c r="Z401" s="315" t="str">
        <f t="shared" ca="1" si="197"/>
        <v/>
      </c>
      <c r="AA401" s="316" t="str">
        <f t="shared" ca="1" si="198"/>
        <v/>
      </c>
      <c r="AC401" s="310" t="e">
        <f t="shared" ca="1" si="199"/>
        <v>#N/A</v>
      </c>
      <c r="AD401" s="323" t="e">
        <f t="shared" ca="1" si="200"/>
        <v>#N/A</v>
      </c>
      <c r="AE401" s="324" t="e">
        <f t="shared" ca="1" si="179"/>
        <v>#N/A</v>
      </c>
      <c r="AG401" s="306">
        <f t="shared" ca="1" si="201"/>
        <v>0.85564461012840098</v>
      </c>
      <c r="AH401" s="304">
        <f t="shared" ca="1" si="202"/>
        <v>-8.9275149596389607</v>
      </c>
    </row>
    <row r="402" spans="1:34" x14ac:dyDescent="0.2">
      <c r="A402" s="347">
        <f t="shared" ca="1" si="180"/>
        <v>1E-4</v>
      </c>
      <c r="B402" s="304">
        <f t="shared" ca="1" si="181"/>
        <v>28.602200000000135</v>
      </c>
      <c r="D402" s="306">
        <f t="shared" ca="1" si="182"/>
        <v>-0.65994148611457215</v>
      </c>
      <c r="E402" s="307">
        <f t="shared" ca="1" si="183"/>
        <v>-0.90688628481445122</v>
      </c>
      <c r="F402" s="304">
        <f t="shared" ca="1" si="184"/>
        <v>1.1215906109983571</v>
      </c>
      <c r="G402" s="306">
        <f t="shared" ca="1" si="185"/>
        <v>7.2983455838329236</v>
      </c>
      <c r="H402" s="307">
        <f t="shared" ca="1" si="186"/>
        <v>-98.461226389552507</v>
      </c>
      <c r="I402" s="304">
        <f t="shared" ca="1" si="187"/>
        <v>98.731347354301633</v>
      </c>
      <c r="J402" s="306">
        <f t="shared" ca="1" si="188"/>
        <v>678.53524446899166</v>
      </c>
      <c r="K402" s="307">
        <f t="shared" ca="1" si="189"/>
        <v>-3.0877212438618673</v>
      </c>
      <c r="L402" s="304">
        <f t="shared" ca="1" si="174"/>
        <v>678.54226987644188</v>
      </c>
      <c r="M402" s="306">
        <f t="shared" ca="1" si="190"/>
        <v>-1.4968075788831139</v>
      </c>
      <c r="N402" s="304">
        <f t="shared" ca="1" si="191"/>
        <v>-85.760757013197463</v>
      </c>
      <c r="P402" s="310">
        <f t="shared" ca="1" si="192"/>
        <v>23</v>
      </c>
      <c r="Q402" s="304">
        <f t="shared" ca="1" si="193"/>
        <v>0</v>
      </c>
      <c r="R402" s="306">
        <f t="shared" ca="1" si="194"/>
        <v>0</v>
      </c>
      <c r="S402" s="307">
        <f t="shared" ca="1" si="195"/>
        <v>4.341000000000002</v>
      </c>
      <c r="T402" s="304">
        <f t="shared" ca="1" si="175"/>
        <v>42.585210000000025</v>
      </c>
      <c r="U402" s="311">
        <f t="shared" ca="1" si="176"/>
        <v>0</v>
      </c>
      <c r="V402" s="306">
        <f t="shared" ca="1" si="177"/>
        <v>1.2253783042572777</v>
      </c>
      <c r="W402" s="304">
        <f t="shared" ca="1" si="178"/>
        <v>38.754553098731044</v>
      </c>
      <c r="Y402" s="314" t="str">
        <f t="shared" ca="1" si="196"/>
        <v/>
      </c>
      <c r="Z402" s="315" t="str">
        <f t="shared" ca="1" si="197"/>
        <v/>
      </c>
      <c r="AA402" s="316" t="str">
        <f t="shared" ca="1" si="198"/>
        <v/>
      </c>
      <c r="AC402" s="310" t="e">
        <f t="shared" ca="1" si="199"/>
        <v>#N/A</v>
      </c>
      <c r="AD402" s="323" t="e">
        <f t="shared" ca="1" si="200"/>
        <v>#N/A</v>
      </c>
      <c r="AE402" s="324" t="e">
        <f t="shared" ca="1" si="179"/>
        <v>#N/A</v>
      </c>
      <c r="AG402" s="306">
        <f t="shared" ca="1" si="201"/>
        <v>0.85562087871603154</v>
      </c>
      <c r="AH402" s="304">
        <f t="shared" ca="1" si="202"/>
        <v>-8.9275392236954154</v>
      </c>
    </row>
    <row r="403" spans="1:34" x14ac:dyDescent="0.2">
      <c r="A403" s="347">
        <f t="shared" ca="1" si="180"/>
        <v>1E-4</v>
      </c>
      <c r="B403" s="304">
        <f t="shared" ca="1" si="181"/>
        <v>28.602300000000135</v>
      </c>
      <c r="D403" s="306">
        <f t="shared" ca="1" si="182"/>
        <v>-0.65993674044288608</v>
      </c>
      <c r="E403" s="307">
        <f t="shared" ca="1" si="183"/>
        <v>-0.90686160279008199</v>
      </c>
      <c r="F403" s="304">
        <f t="shared" ca="1" si="184"/>
        <v>1.1215678615230456</v>
      </c>
      <c r="G403" s="306">
        <f t="shared" ca="1" si="185"/>
        <v>7.2982795901588791</v>
      </c>
      <c r="H403" s="307">
        <f t="shared" ca="1" si="186"/>
        <v>-98.461317075712785</v>
      </c>
      <c r="I403" s="304">
        <f t="shared" ca="1" si="187"/>
        <v>98.73143291404304</v>
      </c>
      <c r="J403" s="306">
        <f t="shared" ca="1" si="188"/>
        <v>678.53524446899166</v>
      </c>
      <c r="K403" s="307">
        <f t="shared" ca="1" si="189"/>
        <v>-3.0975673710351304</v>
      </c>
      <c r="L403" s="304">
        <f t="shared" ca="1" si="174"/>
        <v>678.54231475289168</v>
      </c>
      <c r="M403" s="306">
        <f t="shared" ca="1" si="190"/>
        <v>-1.496808313368108</v>
      </c>
      <c r="N403" s="304">
        <f t="shared" ca="1" si="191"/>
        <v>-85.760799096087752</v>
      </c>
      <c r="P403" s="310">
        <f t="shared" ca="1" si="192"/>
        <v>23</v>
      </c>
      <c r="Q403" s="304">
        <f t="shared" ca="1" si="193"/>
        <v>0</v>
      </c>
      <c r="R403" s="306">
        <f t="shared" ca="1" si="194"/>
        <v>0</v>
      </c>
      <c r="S403" s="307">
        <f t="shared" ca="1" si="195"/>
        <v>4.341000000000002</v>
      </c>
      <c r="T403" s="304">
        <f t="shared" ca="1" si="175"/>
        <v>42.585210000000025</v>
      </c>
      <c r="U403" s="311">
        <f t="shared" ca="1" si="176"/>
        <v>0</v>
      </c>
      <c r="V403" s="306">
        <f t="shared" ca="1" si="177"/>
        <v>1.2253795107809624</v>
      </c>
      <c r="W403" s="304">
        <f t="shared" ca="1" si="178"/>
        <v>38.754658425800514</v>
      </c>
      <c r="Y403" s="314" t="str">
        <f t="shared" ca="1" si="196"/>
        <v/>
      </c>
      <c r="Z403" s="315" t="str">
        <f t="shared" ca="1" si="197"/>
        <v/>
      </c>
      <c r="AA403" s="316" t="str">
        <f t="shared" ca="1" si="198"/>
        <v/>
      </c>
      <c r="AC403" s="310" t="e">
        <f t="shared" ca="1" si="199"/>
        <v>#N/A</v>
      </c>
      <c r="AD403" s="323" t="e">
        <f t="shared" ca="1" si="200"/>
        <v>#N/A</v>
      </c>
      <c r="AE403" s="324" t="e">
        <f t="shared" ca="1" si="179"/>
        <v>#N/A</v>
      </c>
      <c r="AG403" s="306">
        <f t="shared" ca="1" si="201"/>
        <v>0.85559714766118766</v>
      </c>
      <c r="AH403" s="304">
        <f t="shared" ca="1" si="202"/>
        <v>-8.9275634873833276</v>
      </c>
    </row>
    <row r="404" spans="1:34" x14ac:dyDescent="0.2">
      <c r="A404" s="347">
        <f t="shared" ca="1" si="180"/>
        <v>1E-4</v>
      </c>
      <c r="B404" s="304">
        <f t="shared" ca="1" si="181"/>
        <v>28.602400000000134</v>
      </c>
      <c r="D404" s="306">
        <f t="shared" ca="1" si="182"/>
        <v>-0.65993199477851971</v>
      </c>
      <c r="E404" s="307">
        <f t="shared" ca="1" si="183"/>
        <v>-0.90683692114061998</v>
      </c>
      <c r="F404" s="304">
        <f t="shared" ca="1" si="184"/>
        <v>1.1215451124569868</v>
      </c>
      <c r="G404" s="306">
        <f t="shared" ca="1" si="185"/>
        <v>7.2982135969594015</v>
      </c>
      <c r="H404" s="307">
        <f t="shared" ca="1" si="186"/>
        <v>-98.461407759404892</v>
      </c>
      <c r="I404" s="304">
        <f t="shared" ca="1" si="187"/>
        <v>98.731518471411349</v>
      </c>
      <c r="J404" s="306">
        <f t="shared" ca="1" si="188"/>
        <v>678.53524446899166</v>
      </c>
      <c r="K404" s="307">
        <f t="shared" ca="1" si="189"/>
        <v>-3.107413507276886</v>
      </c>
      <c r="L404" s="304">
        <f t="shared" ca="1" si="174"/>
        <v>678.54235977225437</v>
      </c>
      <c r="M404" s="306">
        <f t="shared" ca="1" si="190"/>
        <v>-1.4968090478451876</v>
      </c>
      <c r="N404" s="304">
        <f t="shared" ca="1" si="191"/>
        <v>-85.760841178524558</v>
      </c>
      <c r="P404" s="310">
        <f t="shared" ca="1" si="192"/>
        <v>23</v>
      </c>
      <c r="Q404" s="304">
        <f t="shared" ca="1" si="193"/>
        <v>0</v>
      </c>
      <c r="R404" s="306">
        <f t="shared" ca="1" si="194"/>
        <v>0</v>
      </c>
      <c r="S404" s="307">
        <f t="shared" ca="1" si="195"/>
        <v>4.341000000000002</v>
      </c>
      <c r="T404" s="304">
        <f t="shared" ca="1" si="175"/>
        <v>42.585210000000025</v>
      </c>
      <c r="U404" s="311">
        <f t="shared" ca="1" si="176"/>
        <v>0</v>
      </c>
      <c r="V404" s="306">
        <f t="shared" ca="1" si="177"/>
        <v>1.2253807173069466</v>
      </c>
      <c r="W404" s="304">
        <f t="shared" ca="1" si="178"/>
        <v>38.754763751270161</v>
      </c>
      <c r="Y404" s="314" t="str">
        <f t="shared" ca="1" si="196"/>
        <v/>
      </c>
      <c r="Z404" s="315" t="str">
        <f t="shared" ca="1" si="197"/>
        <v/>
      </c>
      <c r="AA404" s="316" t="str">
        <f t="shared" ca="1" si="198"/>
        <v/>
      </c>
      <c r="AC404" s="310" t="e">
        <f t="shared" ca="1" si="199"/>
        <v>#N/A</v>
      </c>
      <c r="AD404" s="323" t="e">
        <f t="shared" ca="1" si="200"/>
        <v>#N/A</v>
      </c>
      <c r="AE404" s="324" t="e">
        <f t="shared" ca="1" si="179"/>
        <v>#N/A</v>
      </c>
      <c r="AG404" s="306">
        <f t="shared" ca="1" si="201"/>
        <v>0.85557341696385159</v>
      </c>
      <c r="AH404" s="304">
        <f t="shared" ca="1" si="202"/>
        <v>-8.9275877507027168</v>
      </c>
    </row>
    <row r="405" spans="1:34" x14ac:dyDescent="0.2">
      <c r="A405" s="347">
        <f t="shared" ca="1" si="180"/>
        <v>1E-4</v>
      </c>
      <c r="B405" s="304">
        <f t="shared" ca="1" si="181"/>
        <v>28.602500000000134</v>
      </c>
      <c r="D405" s="306">
        <f t="shared" ca="1" si="182"/>
        <v>-0.65992724912147538</v>
      </c>
      <c r="E405" s="307">
        <f t="shared" ca="1" si="183"/>
        <v>-0.90681223986607762</v>
      </c>
      <c r="F405" s="304">
        <f t="shared" ca="1" si="184"/>
        <v>1.1215223638001921</v>
      </c>
      <c r="G405" s="306">
        <f t="shared" ca="1" si="185"/>
        <v>7.2981476042344893</v>
      </c>
      <c r="H405" s="307">
        <f t="shared" ca="1" si="186"/>
        <v>-98.461498440628873</v>
      </c>
      <c r="I405" s="304">
        <f t="shared" ca="1" si="187"/>
        <v>98.731604026406629</v>
      </c>
      <c r="J405" s="306">
        <f t="shared" ca="1" si="188"/>
        <v>678.53524446899166</v>
      </c>
      <c r="K405" s="307">
        <f t="shared" ca="1" si="189"/>
        <v>-3.1172596525868879</v>
      </c>
      <c r="L405" s="304">
        <f t="shared" ca="1" si="174"/>
        <v>678.54240493453017</v>
      </c>
      <c r="M405" s="306">
        <f t="shared" ca="1" si="190"/>
        <v>-1.4968097823143531</v>
      </c>
      <c r="N405" s="304">
        <f t="shared" ca="1" si="191"/>
        <v>-85.760883260507924</v>
      </c>
      <c r="P405" s="310">
        <f t="shared" ca="1" si="192"/>
        <v>23</v>
      </c>
      <c r="Q405" s="304">
        <f t="shared" ca="1" si="193"/>
        <v>0</v>
      </c>
      <c r="R405" s="306">
        <f t="shared" ca="1" si="194"/>
        <v>0</v>
      </c>
      <c r="S405" s="307">
        <f t="shared" ca="1" si="195"/>
        <v>4.341000000000002</v>
      </c>
      <c r="T405" s="304">
        <f t="shared" ca="1" si="175"/>
        <v>42.585210000000025</v>
      </c>
      <c r="U405" s="311">
        <f t="shared" ca="1" si="176"/>
        <v>0</v>
      </c>
      <c r="V405" s="306">
        <f t="shared" ca="1" si="177"/>
        <v>1.2253819238352301</v>
      </c>
      <c r="W405" s="304">
        <f t="shared" ca="1" si="178"/>
        <v>38.754869075140043</v>
      </c>
      <c r="Y405" s="314" t="str">
        <f t="shared" ca="1" si="196"/>
        <v/>
      </c>
      <c r="Z405" s="315" t="str">
        <f t="shared" ca="1" si="197"/>
        <v/>
      </c>
      <c r="AA405" s="316" t="str">
        <f t="shared" ca="1" si="198"/>
        <v/>
      </c>
      <c r="AC405" s="310" t="e">
        <f t="shared" ca="1" si="199"/>
        <v>#N/A</v>
      </c>
      <c r="AD405" s="323" t="e">
        <f t="shared" ca="1" si="200"/>
        <v>#N/A</v>
      </c>
      <c r="AE405" s="324" t="e">
        <f t="shared" ca="1" si="179"/>
        <v>#N/A</v>
      </c>
      <c r="AG405" s="306">
        <f t="shared" ca="1" si="201"/>
        <v>0.85554968662403219</v>
      </c>
      <c r="AH405" s="304">
        <f t="shared" ca="1" si="202"/>
        <v>-8.9276120136535688</v>
      </c>
    </row>
    <row r="406" spans="1:34" x14ac:dyDescent="0.2">
      <c r="A406" s="347">
        <f t="shared" ca="1" si="180"/>
        <v>1E-4</v>
      </c>
      <c r="B406" s="304">
        <f t="shared" ca="1" si="181"/>
        <v>28.602600000000134</v>
      </c>
      <c r="D406" s="306">
        <f t="shared" ca="1" si="182"/>
        <v>-0.6599225034717513</v>
      </c>
      <c r="E406" s="307">
        <f t="shared" ca="1" si="183"/>
        <v>-0.90678755896644248</v>
      </c>
      <c r="F406" s="304">
        <f t="shared" ca="1" si="184"/>
        <v>1.1214996155526507</v>
      </c>
      <c r="G406" s="306">
        <f t="shared" ca="1" si="185"/>
        <v>7.2980816119841423</v>
      </c>
      <c r="H406" s="307">
        <f t="shared" ca="1" si="186"/>
        <v>-98.461589119384769</v>
      </c>
      <c r="I406" s="304">
        <f t="shared" ca="1" si="187"/>
        <v>98.731689579028938</v>
      </c>
      <c r="J406" s="306">
        <f t="shared" ca="1" si="188"/>
        <v>678.53524446899166</v>
      </c>
      <c r="K406" s="307">
        <f t="shared" ca="1" si="189"/>
        <v>-3.1271058069648885</v>
      </c>
      <c r="L406" s="304">
        <f t="shared" ca="1" si="174"/>
        <v>678.54245023971953</v>
      </c>
      <c r="M406" s="306">
        <f t="shared" ca="1" si="190"/>
        <v>-1.4968105167756043</v>
      </c>
      <c r="N406" s="304">
        <f t="shared" ca="1" si="191"/>
        <v>-85.760925342037837</v>
      </c>
      <c r="P406" s="310">
        <f t="shared" ca="1" si="192"/>
        <v>23</v>
      </c>
      <c r="Q406" s="304">
        <f t="shared" ca="1" si="193"/>
        <v>0</v>
      </c>
      <c r="R406" s="306">
        <f t="shared" ca="1" si="194"/>
        <v>0</v>
      </c>
      <c r="S406" s="307">
        <f t="shared" ca="1" si="195"/>
        <v>4.341000000000002</v>
      </c>
      <c r="T406" s="304">
        <f t="shared" ca="1" si="175"/>
        <v>42.585210000000025</v>
      </c>
      <c r="U406" s="311">
        <f t="shared" ca="1" si="176"/>
        <v>0</v>
      </c>
      <c r="V406" s="306">
        <f t="shared" ca="1" si="177"/>
        <v>1.2253831303658129</v>
      </c>
      <c r="W406" s="304">
        <f t="shared" ca="1" si="178"/>
        <v>38.754974397410194</v>
      </c>
      <c r="Y406" s="314" t="str">
        <f t="shared" ca="1" si="196"/>
        <v/>
      </c>
      <c r="Z406" s="315" t="str">
        <f t="shared" ca="1" si="197"/>
        <v/>
      </c>
      <c r="AA406" s="316" t="str">
        <f t="shared" ca="1" si="198"/>
        <v/>
      </c>
      <c r="AC406" s="310" t="e">
        <f t="shared" ca="1" si="199"/>
        <v>#N/A</v>
      </c>
      <c r="AD406" s="323" t="e">
        <f t="shared" ca="1" si="200"/>
        <v>#N/A</v>
      </c>
      <c r="AE406" s="324" t="e">
        <f t="shared" ca="1" si="179"/>
        <v>#N/A</v>
      </c>
      <c r="AG406" s="306">
        <f t="shared" ca="1" si="201"/>
        <v>0.85552595664172415</v>
      </c>
      <c r="AH406" s="304">
        <f t="shared" ca="1" si="202"/>
        <v>-8.9276362762358961</v>
      </c>
    </row>
    <row r="407" spans="1:34" x14ac:dyDescent="0.2">
      <c r="A407" s="347">
        <f t="shared" ca="1" si="180"/>
        <v>1E-4</v>
      </c>
      <c r="B407" s="304">
        <f t="shared" ca="1" si="181"/>
        <v>28.602700000000134</v>
      </c>
      <c r="D407" s="306">
        <f t="shared" ca="1" si="182"/>
        <v>-0.6599177578293518</v>
      </c>
      <c r="E407" s="307">
        <f t="shared" ca="1" si="183"/>
        <v>-0.90676287844170744</v>
      </c>
      <c r="F407" s="304">
        <f t="shared" ca="1" si="184"/>
        <v>1.1214768677143589</v>
      </c>
      <c r="G407" s="306">
        <f t="shared" ca="1" si="185"/>
        <v>7.2980156202083597</v>
      </c>
      <c r="H407" s="307">
        <f t="shared" ca="1" si="186"/>
        <v>-98.461679795672609</v>
      </c>
      <c r="I407" s="304">
        <f t="shared" ca="1" si="187"/>
        <v>98.731775129278262</v>
      </c>
      <c r="J407" s="306">
        <f t="shared" ca="1" si="188"/>
        <v>678.53524446899166</v>
      </c>
      <c r="K407" s="307">
        <f t="shared" ca="1" si="189"/>
        <v>-3.1369519704106414</v>
      </c>
      <c r="L407" s="304">
        <f t="shared" ca="1" si="174"/>
        <v>678.54249568782268</v>
      </c>
      <c r="M407" s="306">
        <f t="shared" ca="1" si="190"/>
        <v>-1.4968112512289415</v>
      </c>
      <c r="N407" s="304">
        <f t="shared" ca="1" si="191"/>
        <v>-85.760967423114309</v>
      </c>
      <c r="P407" s="310">
        <f t="shared" ca="1" si="192"/>
        <v>23</v>
      </c>
      <c r="Q407" s="304">
        <f t="shared" ca="1" si="193"/>
        <v>0</v>
      </c>
      <c r="R407" s="306">
        <f t="shared" ca="1" si="194"/>
        <v>0</v>
      </c>
      <c r="S407" s="307">
        <f t="shared" ca="1" si="195"/>
        <v>4.341000000000002</v>
      </c>
      <c r="T407" s="304">
        <f t="shared" ca="1" si="175"/>
        <v>42.585210000000025</v>
      </c>
      <c r="U407" s="311">
        <f t="shared" ca="1" si="176"/>
        <v>0</v>
      </c>
      <c r="V407" s="306">
        <f t="shared" ca="1" si="177"/>
        <v>1.225384336898695</v>
      </c>
      <c r="W407" s="304">
        <f t="shared" ca="1" si="178"/>
        <v>38.755079718080594</v>
      </c>
      <c r="Y407" s="314" t="str">
        <f t="shared" ca="1" si="196"/>
        <v/>
      </c>
      <c r="Z407" s="315" t="str">
        <f t="shared" ca="1" si="197"/>
        <v/>
      </c>
      <c r="AA407" s="316" t="str">
        <f t="shared" ca="1" si="198"/>
        <v/>
      </c>
      <c r="AC407" s="310" t="e">
        <f t="shared" ca="1" si="199"/>
        <v>#N/A</v>
      </c>
      <c r="AD407" s="323" t="e">
        <f t="shared" ca="1" si="200"/>
        <v>#N/A</v>
      </c>
      <c r="AE407" s="324" t="e">
        <f t="shared" ca="1" si="179"/>
        <v>#N/A</v>
      </c>
      <c r="AG407" s="306">
        <f t="shared" ca="1" si="201"/>
        <v>0.85550222701691503</v>
      </c>
      <c r="AH407" s="304">
        <f t="shared" ca="1" si="202"/>
        <v>-8.9276605384497074</v>
      </c>
    </row>
    <row r="408" spans="1:34" x14ac:dyDescent="0.2">
      <c r="A408" s="347">
        <f t="shared" ca="1" si="180"/>
        <v>1E-4</v>
      </c>
      <c r="B408" s="304">
        <f t="shared" ca="1" si="181"/>
        <v>28.602800000000133</v>
      </c>
      <c r="D408" s="306">
        <f t="shared" ca="1" si="182"/>
        <v>-0.65991301219427356</v>
      </c>
      <c r="E408" s="307">
        <f t="shared" ca="1" si="183"/>
        <v>-0.90673819829187785</v>
      </c>
      <c r="F408" s="304">
        <f t="shared" ca="1" si="184"/>
        <v>1.1214541202853197</v>
      </c>
      <c r="G408" s="306">
        <f t="shared" ca="1" si="185"/>
        <v>7.2979496289071406</v>
      </c>
      <c r="H408" s="307">
        <f t="shared" ca="1" si="186"/>
        <v>-98.461770469492436</v>
      </c>
      <c r="I408" s="304">
        <f t="shared" ca="1" si="187"/>
        <v>98.731860677154657</v>
      </c>
      <c r="J408" s="306">
        <f t="shared" ca="1" si="188"/>
        <v>678.53524446899166</v>
      </c>
      <c r="K408" s="307">
        <f t="shared" ca="1" si="189"/>
        <v>-3.1467981429238998</v>
      </c>
      <c r="L408" s="304">
        <f t="shared" ca="1" si="174"/>
        <v>678.54254127884019</v>
      </c>
      <c r="M408" s="306">
        <f t="shared" ca="1" si="190"/>
        <v>-1.4968119856743649</v>
      </c>
      <c r="N408" s="304">
        <f t="shared" ca="1" si="191"/>
        <v>-85.761009503737341</v>
      </c>
      <c r="P408" s="310">
        <f t="shared" ca="1" si="192"/>
        <v>23</v>
      </c>
      <c r="Q408" s="304">
        <f t="shared" ca="1" si="193"/>
        <v>0</v>
      </c>
      <c r="R408" s="306">
        <f t="shared" ca="1" si="194"/>
        <v>0</v>
      </c>
      <c r="S408" s="307">
        <f t="shared" ca="1" si="195"/>
        <v>4.341000000000002</v>
      </c>
      <c r="T408" s="304">
        <f t="shared" ca="1" si="175"/>
        <v>42.585210000000025</v>
      </c>
      <c r="U408" s="311">
        <f t="shared" ca="1" si="176"/>
        <v>0</v>
      </c>
      <c r="V408" s="306">
        <f t="shared" ca="1" si="177"/>
        <v>1.2253855434338763</v>
      </c>
      <c r="W408" s="304">
        <f t="shared" ca="1" si="178"/>
        <v>38.755185037151264</v>
      </c>
      <c r="Y408" s="314" t="str">
        <f t="shared" ca="1" si="196"/>
        <v/>
      </c>
      <c r="Z408" s="315" t="str">
        <f t="shared" ca="1" si="197"/>
        <v/>
      </c>
      <c r="AA408" s="316" t="str">
        <f t="shared" ca="1" si="198"/>
        <v/>
      </c>
      <c r="AC408" s="310" t="e">
        <f t="shared" ca="1" si="199"/>
        <v>#N/A</v>
      </c>
      <c r="AD408" s="323" t="e">
        <f t="shared" ca="1" si="200"/>
        <v>#N/A</v>
      </c>
      <c r="AE408" s="324" t="e">
        <f t="shared" ca="1" si="179"/>
        <v>#N/A</v>
      </c>
      <c r="AG408" s="306">
        <f t="shared" ca="1" si="201"/>
        <v>0.85547849774961193</v>
      </c>
      <c r="AH408" s="304">
        <f t="shared" ca="1" si="202"/>
        <v>-8.9276848002949958</v>
      </c>
    </row>
    <row r="409" spans="1:34" x14ac:dyDescent="0.2">
      <c r="A409" s="347">
        <f t="shared" ca="1" si="180"/>
        <v>1E-4</v>
      </c>
      <c r="B409" s="304">
        <f t="shared" ca="1" si="181"/>
        <v>28.602900000000133</v>
      </c>
      <c r="D409" s="306">
        <f t="shared" ca="1" si="182"/>
        <v>-0.65990826656651846</v>
      </c>
      <c r="E409" s="307">
        <f t="shared" ca="1" si="183"/>
        <v>-0.90671351851694482</v>
      </c>
      <c r="F409" s="304">
        <f t="shared" ca="1" si="184"/>
        <v>1.1214313732655268</v>
      </c>
      <c r="G409" s="306">
        <f t="shared" ca="1" si="185"/>
        <v>7.2978836380804841</v>
      </c>
      <c r="H409" s="307">
        <f t="shared" ca="1" si="186"/>
        <v>-98.461861140844292</v>
      </c>
      <c r="I409" s="304">
        <f t="shared" ca="1" si="187"/>
        <v>98.731946222658181</v>
      </c>
      <c r="J409" s="306">
        <f t="shared" ca="1" si="188"/>
        <v>678.53524446899166</v>
      </c>
      <c r="K409" s="307">
        <f t="shared" ca="1" si="189"/>
        <v>-3.1566443245044167</v>
      </c>
      <c r="L409" s="304">
        <f t="shared" ca="1" si="174"/>
        <v>678.54258701277229</v>
      </c>
      <c r="M409" s="306">
        <f t="shared" ca="1" si="190"/>
        <v>-1.4968127201118742</v>
      </c>
      <c r="N409" s="304">
        <f t="shared" ca="1" si="191"/>
        <v>-85.761051583906948</v>
      </c>
      <c r="P409" s="310">
        <f t="shared" ca="1" si="192"/>
        <v>23</v>
      </c>
      <c r="Q409" s="304">
        <f t="shared" ca="1" si="193"/>
        <v>0</v>
      </c>
      <c r="R409" s="306">
        <f t="shared" ca="1" si="194"/>
        <v>0</v>
      </c>
      <c r="S409" s="307">
        <f t="shared" ca="1" si="195"/>
        <v>4.341000000000002</v>
      </c>
      <c r="T409" s="304">
        <f t="shared" ca="1" si="175"/>
        <v>42.585210000000025</v>
      </c>
      <c r="U409" s="311">
        <f t="shared" ca="1" si="176"/>
        <v>0</v>
      </c>
      <c r="V409" s="306">
        <f t="shared" ca="1" si="177"/>
        <v>1.2253867499713569</v>
      </c>
      <c r="W409" s="304">
        <f t="shared" ca="1" si="178"/>
        <v>38.755290354622261</v>
      </c>
      <c r="Y409" s="314" t="str">
        <f t="shared" ca="1" si="196"/>
        <v/>
      </c>
      <c r="Z409" s="315" t="str">
        <f t="shared" ca="1" si="197"/>
        <v/>
      </c>
      <c r="AA409" s="316" t="str">
        <f t="shared" ca="1" si="198"/>
        <v/>
      </c>
      <c r="AC409" s="310" t="e">
        <f t="shared" ca="1" si="199"/>
        <v>#N/A</v>
      </c>
      <c r="AD409" s="323" t="e">
        <f t="shared" ca="1" si="200"/>
        <v>#N/A</v>
      </c>
      <c r="AE409" s="324" t="e">
        <f t="shared" ca="1" si="179"/>
        <v>#N/A</v>
      </c>
      <c r="AG409" s="306">
        <f t="shared" ca="1" si="201"/>
        <v>0.85545476883980953</v>
      </c>
      <c r="AH409" s="304">
        <f t="shared" ca="1" si="202"/>
        <v>-8.9277090617717683</v>
      </c>
    </row>
    <row r="410" spans="1:34" x14ac:dyDescent="0.2">
      <c r="A410" s="347">
        <f t="shared" ca="1" si="180"/>
        <v>1E-4</v>
      </c>
      <c r="B410" s="304">
        <f t="shared" ca="1" si="181"/>
        <v>28.603000000000133</v>
      </c>
      <c r="D410" s="306">
        <f t="shared" ca="1" si="182"/>
        <v>-0.65990352094609095</v>
      </c>
      <c r="E410" s="307">
        <f t="shared" ca="1" si="183"/>
        <v>-0.90668883911689946</v>
      </c>
      <c r="F410" s="304">
        <f t="shared" ca="1" si="184"/>
        <v>1.1214086266549756</v>
      </c>
      <c r="G410" s="306">
        <f t="shared" ca="1" si="185"/>
        <v>7.2978176477283894</v>
      </c>
      <c r="H410" s="307">
        <f t="shared" ca="1" si="186"/>
        <v>-98.461951809728205</v>
      </c>
      <c r="I410" s="304">
        <f t="shared" ca="1" si="187"/>
        <v>98.732031765788832</v>
      </c>
      <c r="J410" s="306">
        <f t="shared" ca="1" si="188"/>
        <v>678.53524446899166</v>
      </c>
      <c r="K410" s="307">
        <f t="shared" ca="1" si="189"/>
        <v>-3.1664905151519451</v>
      </c>
      <c r="L410" s="304">
        <f t="shared" ca="1" si="174"/>
        <v>678.54263288961943</v>
      </c>
      <c r="M410" s="306">
        <f t="shared" ca="1" si="190"/>
        <v>-1.49681345454147</v>
      </c>
      <c r="N410" s="304">
        <f t="shared" ca="1" si="191"/>
        <v>-85.761093663623129</v>
      </c>
      <c r="P410" s="310">
        <f t="shared" ca="1" si="192"/>
        <v>23</v>
      </c>
      <c r="Q410" s="304">
        <f t="shared" ca="1" si="193"/>
        <v>0</v>
      </c>
      <c r="R410" s="306">
        <f t="shared" ca="1" si="194"/>
        <v>0</v>
      </c>
      <c r="S410" s="307">
        <f t="shared" ca="1" si="195"/>
        <v>4.341000000000002</v>
      </c>
      <c r="T410" s="304">
        <f t="shared" ca="1" si="175"/>
        <v>42.585210000000025</v>
      </c>
      <c r="U410" s="311">
        <f t="shared" ca="1" si="176"/>
        <v>0</v>
      </c>
      <c r="V410" s="306">
        <f t="shared" ca="1" si="177"/>
        <v>1.2253879565111367</v>
      </c>
      <c r="W410" s="304">
        <f t="shared" ca="1" si="178"/>
        <v>38.755395670493563</v>
      </c>
      <c r="Y410" s="314" t="str">
        <f t="shared" ca="1" si="196"/>
        <v/>
      </c>
      <c r="Z410" s="315" t="str">
        <f t="shared" ca="1" si="197"/>
        <v/>
      </c>
      <c r="AA410" s="316" t="str">
        <f t="shared" ca="1" si="198"/>
        <v/>
      </c>
      <c r="AC410" s="310" t="e">
        <f t="shared" ca="1" si="199"/>
        <v>#N/A</v>
      </c>
      <c r="AD410" s="323" t="e">
        <f t="shared" ca="1" si="200"/>
        <v>#N/A</v>
      </c>
      <c r="AE410" s="324" t="e">
        <f t="shared" ca="1" si="179"/>
        <v>#N/A</v>
      </c>
      <c r="AG410" s="306">
        <f t="shared" ca="1" si="201"/>
        <v>0.85543104028749539</v>
      </c>
      <c r="AH410" s="304">
        <f t="shared" ca="1" si="202"/>
        <v>-8.9277333228800373</v>
      </c>
    </row>
    <row r="411" spans="1:34" x14ac:dyDescent="0.2">
      <c r="A411" s="347">
        <f t="shared" ca="1" si="180"/>
        <v>1E-4</v>
      </c>
      <c r="B411" s="304">
        <f t="shared" ca="1" si="181"/>
        <v>28.603100000000133</v>
      </c>
      <c r="D411" s="306">
        <f t="shared" ca="1" si="182"/>
        <v>-0.65989877533298624</v>
      </c>
      <c r="E411" s="307">
        <f t="shared" ca="1" si="183"/>
        <v>-0.90666416009174355</v>
      </c>
      <c r="F411" s="304">
        <f t="shared" ca="1" si="184"/>
        <v>1.1213858804536652</v>
      </c>
      <c r="G411" s="306">
        <f t="shared" ca="1" si="185"/>
        <v>7.2977516578508563</v>
      </c>
      <c r="H411" s="307">
        <f t="shared" ca="1" si="186"/>
        <v>-98.462042476144219</v>
      </c>
      <c r="I411" s="304">
        <f t="shared" ca="1" si="187"/>
        <v>98.732117306546684</v>
      </c>
      <c r="J411" s="306">
        <f t="shared" ca="1" si="188"/>
        <v>678.53524446899166</v>
      </c>
      <c r="K411" s="307">
        <f t="shared" ca="1" si="189"/>
        <v>-3.1763367148662387</v>
      </c>
      <c r="L411" s="304">
        <f t="shared" ca="1" si="174"/>
        <v>678.54267890938183</v>
      </c>
      <c r="M411" s="306">
        <f t="shared" ca="1" si="190"/>
        <v>-1.4968141889631521</v>
      </c>
      <c r="N411" s="304">
        <f t="shared" ca="1" si="191"/>
        <v>-85.761135742885898</v>
      </c>
      <c r="P411" s="310">
        <f t="shared" ca="1" si="192"/>
        <v>23</v>
      </c>
      <c r="Q411" s="304">
        <f t="shared" ca="1" si="193"/>
        <v>0</v>
      </c>
      <c r="R411" s="306">
        <f t="shared" ca="1" si="194"/>
        <v>0</v>
      </c>
      <c r="S411" s="307">
        <f t="shared" ca="1" si="195"/>
        <v>4.341000000000002</v>
      </c>
      <c r="T411" s="304">
        <f t="shared" ca="1" si="175"/>
        <v>42.585210000000025</v>
      </c>
      <c r="U411" s="311">
        <f t="shared" ca="1" si="176"/>
        <v>0</v>
      </c>
      <c r="V411" s="306">
        <f t="shared" ca="1" si="177"/>
        <v>1.2253891630532159</v>
      </c>
      <c r="W411" s="304">
        <f t="shared" ca="1" si="178"/>
        <v>38.755500984765227</v>
      </c>
      <c r="Y411" s="314" t="str">
        <f t="shared" ca="1" si="196"/>
        <v/>
      </c>
      <c r="Z411" s="315" t="str">
        <f t="shared" ca="1" si="197"/>
        <v/>
      </c>
      <c r="AA411" s="316" t="str">
        <f t="shared" ca="1" si="198"/>
        <v/>
      </c>
      <c r="AC411" s="310" t="e">
        <f t="shared" ca="1" si="199"/>
        <v>#N/A</v>
      </c>
      <c r="AD411" s="323" t="e">
        <f t="shared" ca="1" si="200"/>
        <v>#N/A</v>
      </c>
      <c r="AE411" s="324" t="e">
        <f t="shared" ca="1" si="179"/>
        <v>#N/A</v>
      </c>
      <c r="AG411" s="306">
        <f t="shared" ca="1" si="201"/>
        <v>0.85540731209267129</v>
      </c>
      <c r="AH411" s="304">
        <f t="shared" ca="1" si="202"/>
        <v>-8.9277575836197993</v>
      </c>
    </row>
    <row r="412" spans="1:34" x14ac:dyDescent="0.2">
      <c r="A412" s="347">
        <f t="shared" ca="1" si="180"/>
        <v>1E-4</v>
      </c>
      <c r="B412" s="304">
        <f t="shared" ca="1" si="181"/>
        <v>28.603200000000133</v>
      </c>
      <c r="D412" s="306">
        <f t="shared" ca="1" si="182"/>
        <v>-0.65989402972720823</v>
      </c>
      <c r="E412" s="307">
        <f t="shared" ca="1" si="183"/>
        <v>-0.90663948144146644</v>
      </c>
      <c r="F412" s="304">
        <f t="shared" ca="1" si="184"/>
        <v>1.1213631346615889</v>
      </c>
      <c r="G412" s="306">
        <f t="shared" ca="1" si="185"/>
        <v>7.2976856684478832</v>
      </c>
      <c r="H412" s="307">
        <f t="shared" ca="1" si="186"/>
        <v>-98.462133140092362</v>
      </c>
      <c r="I412" s="304">
        <f t="shared" ca="1" si="187"/>
        <v>98.73220284493172</v>
      </c>
      <c r="J412" s="306">
        <f t="shared" ca="1" si="188"/>
        <v>678.53524446899166</v>
      </c>
      <c r="K412" s="307">
        <f t="shared" ca="1" si="189"/>
        <v>-3.1861829236470505</v>
      </c>
      <c r="L412" s="304">
        <f t="shared" ca="1" si="174"/>
        <v>678.54272507205997</v>
      </c>
      <c r="M412" s="306">
        <f t="shared" ca="1" si="190"/>
        <v>-1.4968149233769206</v>
      </c>
      <c r="N412" s="304">
        <f t="shared" ca="1" si="191"/>
        <v>-85.761177821695256</v>
      </c>
      <c r="P412" s="310">
        <f t="shared" ca="1" si="192"/>
        <v>23</v>
      </c>
      <c r="Q412" s="304">
        <f t="shared" ca="1" si="193"/>
        <v>0</v>
      </c>
      <c r="R412" s="306">
        <f t="shared" ca="1" si="194"/>
        <v>0</v>
      </c>
      <c r="S412" s="307">
        <f t="shared" ca="1" si="195"/>
        <v>4.341000000000002</v>
      </c>
      <c r="T412" s="304">
        <f t="shared" ca="1" si="175"/>
        <v>42.585210000000025</v>
      </c>
      <c r="U412" s="311">
        <f t="shared" ca="1" si="176"/>
        <v>0</v>
      </c>
      <c r="V412" s="306">
        <f t="shared" ca="1" si="177"/>
        <v>1.2253903695975943</v>
      </c>
      <c r="W412" s="304">
        <f t="shared" ca="1" si="178"/>
        <v>38.755606297437211</v>
      </c>
      <c r="Y412" s="314" t="str">
        <f t="shared" ca="1" si="196"/>
        <v/>
      </c>
      <c r="Z412" s="315" t="str">
        <f t="shared" ca="1" si="197"/>
        <v/>
      </c>
      <c r="AA412" s="316" t="str">
        <f t="shared" ca="1" si="198"/>
        <v/>
      </c>
      <c r="AC412" s="310" t="e">
        <f t="shared" ca="1" si="199"/>
        <v>#N/A</v>
      </c>
      <c r="AD412" s="323" t="e">
        <f t="shared" ca="1" si="200"/>
        <v>#N/A</v>
      </c>
      <c r="AE412" s="324" t="e">
        <f t="shared" ca="1" si="179"/>
        <v>#N/A</v>
      </c>
      <c r="AG412" s="306">
        <f t="shared" ca="1" si="201"/>
        <v>0.85538358425532834</v>
      </c>
      <c r="AH412" s="304">
        <f t="shared" ca="1" si="202"/>
        <v>-8.927781843991065</v>
      </c>
    </row>
    <row r="413" spans="1:34" x14ac:dyDescent="0.2">
      <c r="A413" s="347">
        <f t="shared" ca="1" si="180"/>
        <v>1E-4</v>
      </c>
      <c r="B413" s="304">
        <f t="shared" ca="1" si="181"/>
        <v>28.603300000000132</v>
      </c>
      <c r="D413" s="306">
        <f t="shared" ca="1" si="182"/>
        <v>-0.65988928412875814</v>
      </c>
      <c r="E413" s="307">
        <f t="shared" ca="1" si="183"/>
        <v>-0.90661480316607701</v>
      </c>
      <c r="F413" s="304">
        <f t="shared" ca="1" si="184"/>
        <v>1.1213403892787548</v>
      </c>
      <c r="G413" s="306">
        <f t="shared" ca="1" si="185"/>
        <v>7.2976196795194701</v>
      </c>
      <c r="H413" s="307">
        <f t="shared" ca="1" si="186"/>
        <v>-98.462223801572677</v>
      </c>
      <c r="I413" s="304">
        <f t="shared" ca="1" si="187"/>
        <v>98.732288380944027</v>
      </c>
      <c r="J413" s="306">
        <f t="shared" ca="1" si="188"/>
        <v>678.53524446899166</v>
      </c>
      <c r="K413" s="307">
        <f t="shared" ca="1" si="189"/>
        <v>-3.1960291414941335</v>
      </c>
      <c r="L413" s="304">
        <f t="shared" ca="1" si="174"/>
        <v>678.54277137765428</v>
      </c>
      <c r="M413" s="306">
        <f t="shared" ca="1" si="190"/>
        <v>-1.4968156577827758</v>
      </c>
      <c r="N413" s="304">
        <f t="shared" ca="1" si="191"/>
        <v>-85.761219900051202</v>
      </c>
      <c r="P413" s="310">
        <f t="shared" ca="1" si="192"/>
        <v>23</v>
      </c>
      <c r="Q413" s="304">
        <f t="shared" ca="1" si="193"/>
        <v>0</v>
      </c>
      <c r="R413" s="306">
        <f t="shared" ca="1" si="194"/>
        <v>0</v>
      </c>
      <c r="S413" s="307">
        <f t="shared" ca="1" si="195"/>
        <v>4.341000000000002</v>
      </c>
      <c r="T413" s="304">
        <f t="shared" ca="1" si="175"/>
        <v>42.585210000000025</v>
      </c>
      <c r="U413" s="311">
        <f t="shared" ca="1" si="176"/>
        <v>0</v>
      </c>
      <c r="V413" s="306">
        <f t="shared" ca="1" si="177"/>
        <v>1.2253915761442715</v>
      </c>
      <c r="W413" s="304">
        <f t="shared" ca="1" si="178"/>
        <v>38.755711608509579</v>
      </c>
      <c r="Y413" s="314" t="str">
        <f t="shared" ca="1" si="196"/>
        <v/>
      </c>
      <c r="Z413" s="315" t="str">
        <f t="shared" ca="1" si="197"/>
        <v/>
      </c>
      <c r="AA413" s="316" t="str">
        <f t="shared" ca="1" si="198"/>
        <v/>
      </c>
      <c r="AC413" s="310" t="e">
        <f t="shared" ca="1" si="199"/>
        <v>#N/A</v>
      </c>
      <c r="AD413" s="323" t="e">
        <f t="shared" ca="1" si="200"/>
        <v>#N/A</v>
      </c>
      <c r="AE413" s="324" t="e">
        <f t="shared" ca="1" si="179"/>
        <v>#N/A</v>
      </c>
      <c r="AG413" s="306">
        <f t="shared" ca="1" si="201"/>
        <v>0.85535985677547721</v>
      </c>
      <c r="AH413" s="304">
        <f t="shared" ca="1" si="202"/>
        <v>-8.9278061039938255</v>
      </c>
    </row>
    <row r="414" spans="1:34" x14ac:dyDescent="0.2">
      <c r="A414" s="347">
        <f t="shared" ca="1" si="180"/>
        <v>1E-4</v>
      </c>
      <c r="B414" s="304">
        <f t="shared" ca="1" si="181"/>
        <v>28.603400000000132</v>
      </c>
      <c r="D414" s="306">
        <f t="shared" ca="1" si="182"/>
        <v>-0.65988453853763407</v>
      </c>
      <c r="E414" s="307">
        <f t="shared" ca="1" si="183"/>
        <v>-0.90659012526556104</v>
      </c>
      <c r="F414" s="304">
        <f t="shared" ca="1" si="184"/>
        <v>1.1213176443051505</v>
      </c>
      <c r="G414" s="306">
        <f t="shared" ca="1" si="185"/>
        <v>7.297553691065616</v>
      </c>
      <c r="H414" s="307">
        <f t="shared" ca="1" si="186"/>
        <v>-98.462314460585205</v>
      </c>
      <c r="I414" s="304">
        <f t="shared" ca="1" si="187"/>
        <v>98.732373914583619</v>
      </c>
      <c r="J414" s="306">
        <f t="shared" ca="1" si="188"/>
        <v>678.53524446899166</v>
      </c>
      <c r="K414" s="307">
        <f t="shared" ca="1" si="189"/>
        <v>-3.2058753684072414</v>
      </c>
      <c r="L414" s="304">
        <f t="shared" ca="1" si="174"/>
        <v>678.54281782616499</v>
      </c>
      <c r="M414" s="306">
        <f t="shared" ca="1" si="190"/>
        <v>-1.4968163921807176</v>
      </c>
      <c r="N414" s="304">
        <f t="shared" ca="1" si="191"/>
        <v>-85.761261977953751</v>
      </c>
      <c r="P414" s="310">
        <f t="shared" ca="1" si="192"/>
        <v>23</v>
      </c>
      <c r="Q414" s="304">
        <f t="shared" ca="1" si="193"/>
        <v>0</v>
      </c>
      <c r="R414" s="306">
        <f t="shared" ca="1" si="194"/>
        <v>0</v>
      </c>
      <c r="S414" s="307">
        <f t="shared" ca="1" si="195"/>
        <v>4.341000000000002</v>
      </c>
      <c r="T414" s="304">
        <f t="shared" ca="1" si="175"/>
        <v>42.585210000000025</v>
      </c>
      <c r="U414" s="311">
        <f t="shared" ca="1" si="176"/>
        <v>0</v>
      </c>
      <c r="V414" s="306">
        <f t="shared" ca="1" si="177"/>
        <v>1.2253927826932478</v>
      </c>
      <c r="W414" s="304">
        <f t="shared" ca="1" si="178"/>
        <v>38.755816917982315</v>
      </c>
      <c r="Y414" s="314" t="str">
        <f t="shared" ca="1" si="196"/>
        <v/>
      </c>
      <c r="Z414" s="315" t="str">
        <f t="shared" ca="1" si="197"/>
        <v/>
      </c>
      <c r="AA414" s="316" t="str">
        <f t="shared" ca="1" si="198"/>
        <v/>
      </c>
      <c r="AC414" s="310" t="e">
        <f t="shared" ca="1" si="199"/>
        <v>#N/A</v>
      </c>
      <c r="AD414" s="323" t="e">
        <f t="shared" ca="1" si="200"/>
        <v>#N/A</v>
      </c>
      <c r="AE414" s="324" t="e">
        <f t="shared" ca="1" si="179"/>
        <v>#N/A</v>
      </c>
      <c r="AG414" s="306">
        <f t="shared" ca="1" si="201"/>
        <v>0.85533612965310191</v>
      </c>
      <c r="AH414" s="304">
        <f t="shared" ca="1" si="202"/>
        <v>-8.9278303636280949</v>
      </c>
    </row>
    <row r="415" spans="1:34" x14ac:dyDescent="0.2">
      <c r="A415" s="347">
        <f t="shared" ca="1" si="180"/>
        <v>1E-4</v>
      </c>
      <c r="B415" s="304">
        <f t="shared" ca="1" si="181"/>
        <v>28.603500000000132</v>
      </c>
      <c r="D415" s="306">
        <f t="shared" ca="1" si="182"/>
        <v>-0.65987979295383936</v>
      </c>
      <c r="E415" s="307">
        <f t="shared" ca="1" si="183"/>
        <v>-0.90656544773991854</v>
      </c>
      <c r="F415" s="304">
        <f t="shared" ca="1" si="184"/>
        <v>1.1212948997407777</v>
      </c>
      <c r="G415" s="306">
        <f t="shared" ca="1" si="185"/>
        <v>7.297487703086321</v>
      </c>
      <c r="H415" s="307">
        <f t="shared" ca="1" si="186"/>
        <v>-98.462405117129975</v>
      </c>
      <c r="I415" s="304">
        <f t="shared" ca="1" si="187"/>
        <v>98.732459445850523</v>
      </c>
      <c r="J415" s="306">
        <f t="shared" ca="1" si="188"/>
        <v>678.53524446899166</v>
      </c>
      <c r="K415" s="307">
        <f t="shared" ca="1" si="189"/>
        <v>-3.2157216043861272</v>
      </c>
      <c r="L415" s="304">
        <f t="shared" ca="1" si="174"/>
        <v>678.54286441759245</v>
      </c>
      <c r="M415" s="306">
        <f t="shared" ca="1" si="190"/>
        <v>-1.4968171265707464</v>
      </c>
      <c r="N415" s="304">
        <f t="shared" ca="1" si="191"/>
        <v>-85.761304055402917</v>
      </c>
      <c r="P415" s="310">
        <f t="shared" ca="1" si="192"/>
        <v>23</v>
      </c>
      <c r="Q415" s="304">
        <f t="shared" ca="1" si="193"/>
        <v>0</v>
      </c>
      <c r="R415" s="306">
        <f t="shared" ca="1" si="194"/>
        <v>0</v>
      </c>
      <c r="S415" s="307">
        <f t="shared" ca="1" si="195"/>
        <v>4.341000000000002</v>
      </c>
      <c r="T415" s="304">
        <f t="shared" ca="1" si="175"/>
        <v>42.585210000000025</v>
      </c>
      <c r="U415" s="311">
        <f t="shared" ca="1" si="176"/>
        <v>0</v>
      </c>
      <c r="V415" s="306">
        <f t="shared" ca="1" si="177"/>
        <v>1.2253939892445236</v>
      </c>
      <c r="W415" s="304">
        <f t="shared" ca="1" si="178"/>
        <v>38.755922225855478</v>
      </c>
      <c r="Y415" s="314" t="str">
        <f t="shared" ca="1" si="196"/>
        <v/>
      </c>
      <c r="Z415" s="315" t="str">
        <f t="shared" ca="1" si="197"/>
        <v/>
      </c>
      <c r="AA415" s="316" t="str">
        <f t="shared" ca="1" si="198"/>
        <v/>
      </c>
      <c r="AC415" s="310" t="e">
        <f t="shared" ca="1" si="199"/>
        <v>#N/A</v>
      </c>
      <c r="AD415" s="323" t="e">
        <f t="shared" ca="1" si="200"/>
        <v>#N/A</v>
      </c>
      <c r="AE415" s="324" t="e">
        <f t="shared" ca="1" si="179"/>
        <v>#N/A</v>
      </c>
      <c r="AG415" s="306">
        <f t="shared" ca="1" si="201"/>
        <v>0.85531240288820598</v>
      </c>
      <c r="AH415" s="304">
        <f t="shared" ca="1" si="202"/>
        <v>-8.9278546228938716</v>
      </c>
    </row>
    <row r="416" spans="1:34" x14ac:dyDescent="0.2">
      <c r="A416" s="347">
        <f t="shared" ca="1" si="180"/>
        <v>1E-4</v>
      </c>
      <c r="B416" s="304">
        <f t="shared" ca="1" si="181"/>
        <v>28.603600000000132</v>
      </c>
      <c r="D416" s="306">
        <f t="shared" ca="1" si="182"/>
        <v>-0.65987504737737235</v>
      </c>
      <c r="E416" s="307">
        <f t="shared" ca="1" si="183"/>
        <v>-0.90654077058914062</v>
      </c>
      <c r="F416" s="304">
        <f t="shared" ca="1" si="184"/>
        <v>1.1212721555856286</v>
      </c>
      <c r="G416" s="306">
        <f t="shared" ca="1" si="185"/>
        <v>7.2974217155815833</v>
      </c>
      <c r="H416" s="307">
        <f t="shared" ca="1" si="186"/>
        <v>-98.462495771207031</v>
      </c>
      <c r="I416" s="304">
        <f t="shared" ca="1" si="187"/>
        <v>98.732544974744798</v>
      </c>
      <c r="J416" s="306">
        <f t="shared" ca="1" si="188"/>
        <v>678.53524446899166</v>
      </c>
      <c r="K416" s="307">
        <f t="shared" ca="1" si="189"/>
        <v>-3.225567849430544</v>
      </c>
      <c r="L416" s="304">
        <f t="shared" ca="1" si="174"/>
        <v>678.54291115193712</v>
      </c>
      <c r="M416" s="306">
        <f t="shared" ca="1" si="190"/>
        <v>-1.496817860952862</v>
      </c>
      <c r="N416" s="304">
        <f t="shared" ca="1" si="191"/>
        <v>-85.7613461323987</v>
      </c>
      <c r="P416" s="310">
        <f t="shared" ca="1" si="192"/>
        <v>23</v>
      </c>
      <c r="Q416" s="304">
        <f t="shared" ca="1" si="193"/>
        <v>0</v>
      </c>
      <c r="R416" s="306">
        <f t="shared" ca="1" si="194"/>
        <v>0</v>
      </c>
      <c r="S416" s="307">
        <f t="shared" ca="1" si="195"/>
        <v>4.341000000000002</v>
      </c>
      <c r="T416" s="304">
        <f t="shared" ca="1" si="175"/>
        <v>42.585210000000025</v>
      </c>
      <c r="U416" s="311">
        <f t="shared" ca="1" si="176"/>
        <v>0</v>
      </c>
      <c r="V416" s="306">
        <f t="shared" ca="1" si="177"/>
        <v>1.2253951957980982</v>
      </c>
      <c r="W416" s="304">
        <f t="shared" ca="1" si="178"/>
        <v>38.75602753212906</v>
      </c>
      <c r="Y416" s="314" t="str">
        <f t="shared" ca="1" si="196"/>
        <v/>
      </c>
      <c r="Z416" s="315" t="str">
        <f t="shared" ca="1" si="197"/>
        <v/>
      </c>
      <c r="AA416" s="316" t="str">
        <f t="shared" ca="1" si="198"/>
        <v/>
      </c>
      <c r="AC416" s="310" t="e">
        <f t="shared" ca="1" si="199"/>
        <v>#N/A</v>
      </c>
      <c r="AD416" s="323" t="e">
        <f t="shared" ca="1" si="200"/>
        <v>#N/A</v>
      </c>
      <c r="AE416" s="324" t="e">
        <f t="shared" ca="1" si="179"/>
        <v>#N/A</v>
      </c>
      <c r="AG416" s="306">
        <f t="shared" ca="1" si="201"/>
        <v>0.85528867648077522</v>
      </c>
      <c r="AH416" s="304">
        <f t="shared" ca="1" si="202"/>
        <v>-8.9278788817911678</v>
      </c>
    </row>
    <row r="417" spans="1:34" x14ac:dyDescent="0.2">
      <c r="A417" s="347">
        <f t="shared" ca="1" si="180"/>
        <v>1E-4</v>
      </c>
      <c r="B417" s="304">
        <f t="shared" ca="1" si="181"/>
        <v>28.603700000000131</v>
      </c>
      <c r="D417" s="306">
        <f t="shared" ca="1" si="182"/>
        <v>-0.65987030180823636</v>
      </c>
      <c r="E417" s="307">
        <f t="shared" ca="1" si="183"/>
        <v>-0.90651609381322551</v>
      </c>
      <c r="F417" s="304">
        <f t="shared" ca="1" si="184"/>
        <v>1.1212494118397038</v>
      </c>
      <c r="G417" s="306">
        <f t="shared" ca="1" si="185"/>
        <v>7.2973557285514028</v>
      </c>
      <c r="H417" s="307">
        <f t="shared" ca="1" si="186"/>
        <v>-98.462586422816415</v>
      </c>
      <c r="I417" s="304">
        <f t="shared" ca="1" si="187"/>
        <v>98.73263050126647</v>
      </c>
      <c r="J417" s="306">
        <f t="shared" ca="1" si="188"/>
        <v>678.53524446899166</v>
      </c>
      <c r="K417" s="307">
        <f t="shared" ca="1" si="189"/>
        <v>-3.2354141035402453</v>
      </c>
      <c r="L417" s="304">
        <f t="shared" ca="1" si="174"/>
        <v>678.54295802919921</v>
      </c>
      <c r="M417" s="306">
        <f t="shared" ca="1" si="190"/>
        <v>-1.4968185953270647</v>
      </c>
      <c r="N417" s="304">
        <f t="shared" ca="1" si="191"/>
        <v>-85.761388208941099</v>
      </c>
      <c r="P417" s="310">
        <f t="shared" ca="1" si="192"/>
        <v>23</v>
      </c>
      <c r="Q417" s="304">
        <f t="shared" ca="1" si="193"/>
        <v>0</v>
      </c>
      <c r="R417" s="306">
        <f t="shared" ca="1" si="194"/>
        <v>0</v>
      </c>
      <c r="S417" s="307">
        <f t="shared" ca="1" si="195"/>
        <v>4.341000000000002</v>
      </c>
      <c r="T417" s="304">
        <f t="shared" ca="1" si="175"/>
        <v>42.585210000000025</v>
      </c>
      <c r="U417" s="311">
        <f t="shared" ca="1" si="176"/>
        <v>0</v>
      </c>
      <c r="V417" s="306">
        <f t="shared" ca="1" si="177"/>
        <v>1.2253964023539721</v>
      </c>
      <c r="W417" s="304">
        <f t="shared" ca="1" si="178"/>
        <v>38.756132836803083</v>
      </c>
      <c r="Y417" s="314" t="str">
        <f t="shared" ca="1" si="196"/>
        <v/>
      </c>
      <c r="Z417" s="315" t="str">
        <f t="shared" ca="1" si="197"/>
        <v/>
      </c>
      <c r="AA417" s="316" t="str">
        <f t="shared" ca="1" si="198"/>
        <v/>
      </c>
      <c r="AC417" s="310" t="e">
        <f t="shared" ca="1" si="199"/>
        <v>#N/A</v>
      </c>
      <c r="AD417" s="323" t="e">
        <f t="shared" ca="1" si="200"/>
        <v>#N/A</v>
      </c>
      <c r="AE417" s="324" t="e">
        <f t="shared" ca="1" si="179"/>
        <v>#N/A</v>
      </c>
      <c r="AG417" s="306">
        <f t="shared" ca="1" si="201"/>
        <v>0.85526495043081319</v>
      </c>
      <c r="AH417" s="304">
        <f t="shared" ca="1" si="202"/>
        <v>-8.927903140319982</v>
      </c>
    </row>
    <row r="418" spans="1:34" x14ac:dyDescent="0.2">
      <c r="A418" s="347">
        <f t="shared" ca="1" si="180"/>
        <v>1E-4</v>
      </c>
      <c r="B418" s="304">
        <f t="shared" ca="1" si="181"/>
        <v>28.603800000000131</v>
      </c>
      <c r="D418" s="306">
        <f t="shared" ca="1" si="182"/>
        <v>-0.65986555624642906</v>
      </c>
      <c r="E418" s="307">
        <f t="shared" ca="1" si="183"/>
        <v>-0.90649141741216965</v>
      </c>
      <c r="F418" s="304">
        <f t="shared" ca="1" si="184"/>
        <v>1.1212266685029988</v>
      </c>
      <c r="G418" s="306">
        <f t="shared" ca="1" si="185"/>
        <v>7.2972897419957778</v>
      </c>
      <c r="H418" s="307">
        <f t="shared" ca="1" si="186"/>
        <v>-98.462677071958154</v>
      </c>
      <c r="I418" s="304">
        <f t="shared" ca="1" si="187"/>
        <v>98.73271602541557</v>
      </c>
      <c r="J418" s="306">
        <f t="shared" ca="1" si="188"/>
        <v>678.53524446899166</v>
      </c>
      <c r="K418" s="307">
        <f t="shared" ca="1" si="189"/>
        <v>-3.2452603667149842</v>
      </c>
      <c r="L418" s="304">
        <f t="shared" ca="1" si="174"/>
        <v>678.54300504937942</v>
      </c>
      <c r="M418" s="306">
        <f t="shared" ca="1" si="190"/>
        <v>-1.4968193296933545</v>
      </c>
      <c r="N418" s="304">
        <f t="shared" ca="1" si="191"/>
        <v>-85.761430285030116</v>
      </c>
      <c r="P418" s="310">
        <f t="shared" ca="1" si="192"/>
        <v>23</v>
      </c>
      <c r="Q418" s="304">
        <f t="shared" ca="1" si="193"/>
        <v>0</v>
      </c>
      <c r="R418" s="306">
        <f t="shared" ca="1" si="194"/>
        <v>0</v>
      </c>
      <c r="S418" s="307">
        <f t="shared" ca="1" si="195"/>
        <v>4.341000000000002</v>
      </c>
      <c r="T418" s="304">
        <f t="shared" ca="1" si="175"/>
        <v>42.585210000000025</v>
      </c>
      <c r="U418" s="311">
        <f t="shared" ca="1" si="176"/>
        <v>0</v>
      </c>
      <c r="V418" s="306">
        <f t="shared" ca="1" si="177"/>
        <v>1.225397608912145</v>
      </c>
      <c r="W418" s="304">
        <f t="shared" ca="1" si="178"/>
        <v>38.756238139877567</v>
      </c>
      <c r="Y418" s="314" t="str">
        <f t="shared" ca="1" si="196"/>
        <v/>
      </c>
      <c r="Z418" s="315" t="str">
        <f t="shared" ca="1" si="197"/>
        <v/>
      </c>
      <c r="AA418" s="316" t="str">
        <f t="shared" ca="1" si="198"/>
        <v/>
      </c>
      <c r="AC418" s="310" t="e">
        <f t="shared" ca="1" si="199"/>
        <v>#N/A</v>
      </c>
      <c r="AD418" s="323" t="e">
        <f t="shared" ca="1" si="200"/>
        <v>#N/A</v>
      </c>
      <c r="AE418" s="324" t="e">
        <f t="shared" ca="1" si="179"/>
        <v>#N/A</v>
      </c>
      <c r="AG418" s="306">
        <f t="shared" ca="1" si="201"/>
        <v>0.85524122473831454</v>
      </c>
      <c r="AH418" s="304">
        <f t="shared" ca="1" si="202"/>
        <v>-8.9279273984803194</v>
      </c>
    </row>
    <row r="419" spans="1:34" x14ac:dyDescent="0.2">
      <c r="A419" s="347">
        <f t="shared" ca="1" si="180"/>
        <v>1E-4</v>
      </c>
      <c r="B419" s="304">
        <f t="shared" ca="1" si="181"/>
        <v>28.603900000000131</v>
      </c>
      <c r="D419" s="306">
        <f t="shared" ca="1" si="182"/>
        <v>-0.65986081069195446</v>
      </c>
      <c r="E419" s="307">
        <f t="shared" ca="1" si="183"/>
        <v>-0.9064667413859695</v>
      </c>
      <c r="F419" s="304">
        <f t="shared" ca="1" si="184"/>
        <v>1.1212039255755135</v>
      </c>
      <c r="G419" s="306">
        <f t="shared" ca="1" si="185"/>
        <v>7.2972237559147084</v>
      </c>
      <c r="H419" s="307">
        <f t="shared" ca="1" si="186"/>
        <v>-98.462767718632293</v>
      </c>
      <c r="I419" s="304">
        <f t="shared" ca="1" si="187"/>
        <v>98.732801547192125</v>
      </c>
      <c r="J419" s="306">
        <f t="shared" ca="1" si="188"/>
        <v>678.53524446899166</v>
      </c>
      <c r="K419" s="307">
        <f t="shared" ca="1" si="189"/>
        <v>-3.2551066389545138</v>
      </c>
      <c r="L419" s="304">
        <f t="shared" ca="1" si="174"/>
        <v>678.54305221247773</v>
      </c>
      <c r="M419" s="306">
        <f t="shared" ca="1" si="190"/>
        <v>-1.4968200640517315</v>
      </c>
      <c r="N419" s="304">
        <f t="shared" ca="1" si="191"/>
        <v>-85.761472360665763</v>
      </c>
      <c r="P419" s="310">
        <f t="shared" ca="1" si="192"/>
        <v>23</v>
      </c>
      <c r="Q419" s="304">
        <f t="shared" ca="1" si="193"/>
        <v>0</v>
      </c>
      <c r="R419" s="306">
        <f t="shared" ca="1" si="194"/>
        <v>0</v>
      </c>
      <c r="S419" s="307">
        <f t="shared" ca="1" si="195"/>
        <v>4.341000000000002</v>
      </c>
      <c r="T419" s="304">
        <f t="shared" ca="1" si="175"/>
        <v>42.585210000000025</v>
      </c>
      <c r="U419" s="311">
        <f t="shared" ca="1" si="176"/>
        <v>0</v>
      </c>
      <c r="V419" s="306">
        <f t="shared" ca="1" si="177"/>
        <v>1.2253988154726165</v>
      </c>
      <c r="W419" s="304">
        <f t="shared" ca="1" si="178"/>
        <v>38.756343441352506</v>
      </c>
      <c r="Y419" s="314" t="str">
        <f t="shared" ca="1" si="196"/>
        <v/>
      </c>
      <c r="Z419" s="315" t="str">
        <f t="shared" ca="1" si="197"/>
        <v/>
      </c>
      <c r="AA419" s="316" t="str">
        <f t="shared" ca="1" si="198"/>
        <v/>
      </c>
      <c r="AC419" s="310" t="e">
        <f t="shared" ca="1" si="199"/>
        <v>#N/A</v>
      </c>
      <c r="AD419" s="323" t="e">
        <f t="shared" ca="1" si="200"/>
        <v>#N/A</v>
      </c>
      <c r="AE419" s="324" t="e">
        <f t="shared" ca="1" si="179"/>
        <v>#N/A</v>
      </c>
      <c r="AG419" s="306">
        <f t="shared" ca="1" si="201"/>
        <v>0.85521749940327574</v>
      </c>
      <c r="AH419" s="304">
        <f t="shared" ca="1" si="202"/>
        <v>-8.9279516562721835</v>
      </c>
    </row>
    <row r="420" spans="1:34" x14ac:dyDescent="0.2">
      <c r="A420" s="347">
        <f t="shared" ca="1" si="180"/>
        <v>1E-4</v>
      </c>
      <c r="B420" s="304">
        <f t="shared" ca="1" si="181"/>
        <v>28.604000000000131</v>
      </c>
      <c r="D420" s="306">
        <f t="shared" ca="1" si="182"/>
        <v>-0.65985606514481154</v>
      </c>
      <c r="E420" s="307">
        <f t="shared" ca="1" si="183"/>
        <v>-0.90644206573462505</v>
      </c>
      <c r="F420" s="304">
        <f t="shared" ca="1" si="184"/>
        <v>1.1211811830572471</v>
      </c>
      <c r="G420" s="306">
        <f t="shared" ca="1" si="185"/>
        <v>7.2971577703081936</v>
      </c>
      <c r="H420" s="307">
        <f t="shared" ca="1" si="186"/>
        <v>-98.462858362838872</v>
      </c>
      <c r="I420" s="304">
        <f t="shared" ca="1" si="187"/>
        <v>98.732887066596192</v>
      </c>
      <c r="J420" s="306">
        <f t="shared" ca="1" si="188"/>
        <v>678.53524446899166</v>
      </c>
      <c r="K420" s="307">
        <f t="shared" ca="1" si="189"/>
        <v>-3.2649529202585872</v>
      </c>
      <c r="L420" s="304">
        <f t="shared" ca="1" si="174"/>
        <v>678.54309951849473</v>
      </c>
      <c r="M420" s="306">
        <f t="shared" ca="1" si="190"/>
        <v>-1.496820798402196</v>
      </c>
      <c r="N420" s="304">
        <f t="shared" ca="1" si="191"/>
        <v>-85.761514435848071</v>
      </c>
      <c r="P420" s="310">
        <f t="shared" ca="1" si="192"/>
        <v>23</v>
      </c>
      <c r="Q420" s="304">
        <f t="shared" ca="1" si="193"/>
        <v>0</v>
      </c>
      <c r="R420" s="306">
        <f t="shared" ca="1" si="194"/>
        <v>0</v>
      </c>
      <c r="S420" s="307">
        <f t="shared" ca="1" si="195"/>
        <v>4.341000000000002</v>
      </c>
      <c r="T420" s="304">
        <f t="shared" ca="1" si="175"/>
        <v>42.585210000000025</v>
      </c>
      <c r="U420" s="311">
        <f t="shared" ca="1" si="176"/>
        <v>0</v>
      </c>
      <c r="V420" s="306">
        <f t="shared" ca="1" si="177"/>
        <v>1.2254000220353871</v>
      </c>
      <c r="W420" s="304">
        <f t="shared" ca="1" si="178"/>
        <v>38.756448741227949</v>
      </c>
      <c r="Y420" s="314" t="str">
        <f t="shared" ca="1" si="196"/>
        <v/>
      </c>
      <c r="Z420" s="315" t="str">
        <f t="shared" ca="1" si="197"/>
        <v/>
      </c>
      <c r="AA420" s="316" t="str">
        <f t="shared" ca="1" si="198"/>
        <v/>
      </c>
      <c r="AC420" s="310" t="e">
        <f t="shared" ca="1" si="199"/>
        <v>#N/A</v>
      </c>
      <c r="AD420" s="323" t="e">
        <f t="shared" ca="1" si="200"/>
        <v>#N/A</v>
      </c>
      <c r="AE420" s="324" t="e">
        <f t="shared" ca="1" si="179"/>
        <v>#N/A</v>
      </c>
      <c r="AG420" s="306">
        <f t="shared" ca="1" si="201"/>
        <v>0.85519377442569677</v>
      </c>
      <c r="AH420" s="304">
        <f t="shared" ca="1" si="202"/>
        <v>-8.9279759136955743</v>
      </c>
    </row>
    <row r="421" spans="1:34" x14ac:dyDescent="0.2">
      <c r="A421" s="347">
        <f t="shared" ca="1" si="180"/>
        <v>1E-4</v>
      </c>
      <c r="B421" s="304">
        <f t="shared" ca="1" si="181"/>
        <v>28.60410000000013</v>
      </c>
      <c r="D421" s="306">
        <f t="shared" ca="1" si="182"/>
        <v>-0.65985131960500065</v>
      </c>
      <c r="E421" s="307">
        <f t="shared" ca="1" si="183"/>
        <v>-0.90641739045812209</v>
      </c>
      <c r="F421" s="304">
        <f t="shared" ca="1" si="184"/>
        <v>1.1211584409481885</v>
      </c>
      <c r="G421" s="306">
        <f t="shared" ca="1" si="185"/>
        <v>7.2970917851762334</v>
      </c>
      <c r="H421" s="307">
        <f t="shared" ca="1" si="186"/>
        <v>-98.462949004577922</v>
      </c>
      <c r="I421" s="304">
        <f t="shared" ca="1" si="187"/>
        <v>98.732972583627799</v>
      </c>
      <c r="J421" s="306">
        <f t="shared" ca="1" si="188"/>
        <v>678.53524446899166</v>
      </c>
      <c r="K421" s="307">
        <f t="shared" ca="1" si="189"/>
        <v>-3.2747992106269579</v>
      </c>
      <c r="L421" s="304">
        <f t="shared" ca="1" si="174"/>
        <v>678.54314696743063</v>
      </c>
      <c r="M421" s="306">
        <f t="shared" ca="1" si="190"/>
        <v>-1.4968215327447481</v>
      </c>
      <c r="N421" s="304">
        <f t="shared" ca="1" si="191"/>
        <v>-85.761556510577023</v>
      </c>
      <c r="P421" s="310">
        <f t="shared" ca="1" si="192"/>
        <v>23</v>
      </c>
      <c r="Q421" s="304">
        <f t="shared" ca="1" si="193"/>
        <v>0</v>
      </c>
      <c r="R421" s="306">
        <f t="shared" ca="1" si="194"/>
        <v>0</v>
      </c>
      <c r="S421" s="307">
        <f t="shared" ca="1" si="195"/>
        <v>4.341000000000002</v>
      </c>
      <c r="T421" s="304">
        <f t="shared" ca="1" si="175"/>
        <v>42.585210000000025</v>
      </c>
      <c r="U421" s="311">
        <f t="shared" ca="1" si="176"/>
        <v>0</v>
      </c>
      <c r="V421" s="306">
        <f t="shared" ca="1" si="177"/>
        <v>1.225401228600457</v>
      </c>
      <c r="W421" s="304">
        <f t="shared" ca="1" si="178"/>
        <v>38.756554039503918</v>
      </c>
      <c r="Y421" s="314" t="str">
        <f t="shared" ca="1" si="196"/>
        <v/>
      </c>
      <c r="Z421" s="315" t="str">
        <f t="shared" ca="1" si="197"/>
        <v/>
      </c>
      <c r="AA421" s="316" t="str">
        <f t="shared" ca="1" si="198"/>
        <v/>
      </c>
      <c r="AC421" s="310" t="e">
        <f t="shared" ca="1" si="199"/>
        <v>#N/A</v>
      </c>
      <c r="AD421" s="323" t="e">
        <f t="shared" ca="1" si="200"/>
        <v>#N/A</v>
      </c>
      <c r="AE421" s="324" t="e">
        <f t="shared" ca="1" si="179"/>
        <v>#N/A</v>
      </c>
      <c r="AG421" s="306">
        <f t="shared" ca="1" si="201"/>
        <v>0.85517004980556877</v>
      </c>
      <c r="AH421" s="304">
        <f t="shared" ca="1" si="202"/>
        <v>-8.9280001707505026</v>
      </c>
    </row>
    <row r="422" spans="1:34" x14ac:dyDescent="0.2">
      <c r="A422" s="347">
        <f t="shared" ca="1" si="180"/>
        <v>1E-4</v>
      </c>
      <c r="B422" s="304">
        <f t="shared" ca="1" si="181"/>
        <v>28.60420000000013</v>
      </c>
      <c r="D422" s="306">
        <f t="shared" ca="1" si="182"/>
        <v>-0.65984657407252167</v>
      </c>
      <c r="E422" s="307">
        <f t="shared" ca="1" si="183"/>
        <v>-0.90639271555646239</v>
      </c>
      <c r="F422" s="304">
        <f t="shared" ca="1" si="184"/>
        <v>1.121135699248339</v>
      </c>
      <c r="G422" s="306">
        <f t="shared" ca="1" si="185"/>
        <v>7.297025800518826</v>
      </c>
      <c r="H422" s="307">
        <f t="shared" ca="1" si="186"/>
        <v>-98.463039643849484</v>
      </c>
      <c r="I422" s="304">
        <f t="shared" ca="1" si="187"/>
        <v>98.733058098286989</v>
      </c>
      <c r="J422" s="306">
        <f t="shared" ca="1" si="188"/>
        <v>678.53524446899166</v>
      </c>
      <c r="K422" s="307">
        <f t="shared" ca="1" si="189"/>
        <v>-3.2846455100593794</v>
      </c>
      <c r="L422" s="304">
        <f t="shared" ca="1" si="174"/>
        <v>678.54319455928601</v>
      </c>
      <c r="M422" s="306">
        <f t="shared" ca="1" si="190"/>
        <v>-1.4968222670793876</v>
      </c>
      <c r="N422" s="304">
        <f t="shared" ca="1" si="191"/>
        <v>-85.761598584852607</v>
      </c>
      <c r="P422" s="310">
        <f t="shared" ca="1" si="192"/>
        <v>23</v>
      </c>
      <c r="Q422" s="304">
        <f t="shared" ca="1" si="193"/>
        <v>0</v>
      </c>
      <c r="R422" s="306">
        <f t="shared" ca="1" si="194"/>
        <v>0</v>
      </c>
      <c r="S422" s="307">
        <f t="shared" ca="1" si="195"/>
        <v>4.341000000000002</v>
      </c>
      <c r="T422" s="304">
        <f t="shared" ca="1" si="175"/>
        <v>42.585210000000025</v>
      </c>
      <c r="U422" s="311">
        <f t="shared" ca="1" si="176"/>
        <v>0</v>
      </c>
      <c r="V422" s="306">
        <f t="shared" ca="1" si="177"/>
        <v>1.2254024351678257</v>
      </c>
      <c r="W422" s="304">
        <f t="shared" ca="1" si="178"/>
        <v>38.756659336180405</v>
      </c>
      <c r="Y422" s="314" t="str">
        <f t="shared" ca="1" si="196"/>
        <v/>
      </c>
      <c r="Z422" s="315" t="str">
        <f t="shared" ca="1" si="197"/>
        <v/>
      </c>
      <c r="AA422" s="316" t="str">
        <f t="shared" ca="1" si="198"/>
        <v/>
      </c>
      <c r="AC422" s="310" t="e">
        <f t="shared" ca="1" si="199"/>
        <v>#N/A</v>
      </c>
      <c r="AD422" s="323" t="e">
        <f t="shared" ca="1" si="200"/>
        <v>#N/A</v>
      </c>
      <c r="AE422" s="324" t="e">
        <f t="shared" ca="1" si="179"/>
        <v>#N/A</v>
      </c>
      <c r="AG422" s="306">
        <f t="shared" ca="1" si="201"/>
        <v>0.85514632554288283</v>
      </c>
      <c r="AH422" s="304">
        <f t="shared" ca="1" si="202"/>
        <v>-8.9280244274369736</v>
      </c>
    </row>
    <row r="423" spans="1:34" x14ac:dyDescent="0.2">
      <c r="A423" s="347">
        <f t="shared" ca="1" si="180"/>
        <v>1E-4</v>
      </c>
      <c r="B423" s="304">
        <f t="shared" ca="1" si="181"/>
        <v>28.60430000000013</v>
      </c>
      <c r="D423" s="306">
        <f t="shared" ca="1" si="182"/>
        <v>-0.65984182854737772</v>
      </c>
      <c r="E423" s="307">
        <f t="shared" ca="1" si="183"/>
        <v>-0.90636804102964241</v>
      </c>
      <c r="F423" s="304">
        <f t="shared" ca="1" si="184"/>
        <v>1.1211129579576977</v>
      </c>
      <c r="G423" s="306">
        <f t="shared" ca="1" si="185"/>
        <v>7.2969598163359715</v>
      </c>
      <c r="H423" s="307">
        <f t="shared" ca="1" si="186"/>
        <v>-98.463130280653587</v>
      </c>
      <c r="I423" s="304">
        <f t="shared" ca="1" si="187"/>
        <v>98.733143610573762</v>
      </c>
      <c r="J423" s="306">
        <f t="shared" ca="1" si="188"/>
        <v>678.53524446899166</v>
      </c>
      <c r="K423" s="307">
        <f t="shared" ca="1" si="189"/>
        <v>-3.2944918185556045</v>
      </c>
      <c r="L423" s="304">
        <f t="shared" ca="1" si="174"/>
        <v>678.54324229406097</v>
      </c>
      <c r="M423" s="306">
        <f t="shared" ca="1" si="190"/>
        <v>-1.4968230014061148</v>
      </c>
      <c r="N423" s="304">
        <f t="shared" ca="1" si="191"/>
        <v>-85.761640658674864</v>
      </c>
      <c r="P423" s="310">
        <f t="shared" ca="1" si="192"/>
        <v>23</v>
      </c>
      <c r="Q423" s="304">
        <f t="shared" ca="1" si="193"/>
        <v>0</v>
      </c>
      <c r="R423" s="306">
        <f t="shared" ca="1" si="194"/>
        <v>0</v>
      </c>
      <c r="S423" s="307">
        <f t="shared" ca="1" si="195"/>
        <v>4.341000000000002</v>
      </c>
      <c r="T423" s="304">
        <f t="shared" ca="1" si="175"/>
        <v>42.585210000000025</v>
      </c>
      <c r="U423" s="311">
        <f t="shared" ca="1" si="176"/>
        <v>0</v>
      </c>
      <c r="V423" s="306">
        <f t="shared" ca="1" si="177"/>
        <v>1.2254036417374934</v>
      </c>
      <c r="W423" s="304">
        <f t="shared" ca="1" si="178"/>
        <v>38.756764631257447</v>
      </c>
      <c r="Y423" s="314" t="str">
        <f t="shared" ca="1" si="196"/>
        <v/>
      </c>
      <c r="Z423" s="315" t="str">
        <f t="shared" ca="1" si="197"/>
        <v/>
      </c>
      <c r="AA423" s="316" t="str">
        <f t="shared" ca="1" si="198"/>
        <v/>
      </c>
      <c r="AC423" s="310" t="e">
        <f t="shared" ca="1" si="199"/>
        <v>#N/A</v>
      </c>
      <c r="AD423" s="323" t="e">
        <f t="shared" ca="1" si="200"/>
        <v>#N/A</v>
      </c>
      <c r="AE423" s="324" t="e">
        <f t="shared" ca="1" si="179"/>
        <v>#N/A</v>
      </c>
      <c r="AG423" s="306">
        <f t="shared" ca="1" si="201"/>
        <v>0.85512260163764786</v>
      </c>
      <c r="AH423" s="304">
        <f t="shared" ca="1" si="202"/>
        <v>-8.9280486837549837</v>
      </c>
    </row>
    <row r="424" spans="1:34" x14ac:dyDescent="0.2">
      <c r="A424" s="347">
        <f t="shared" ca="1" si="180"/>
        <v>1E-4</v>
      </c>
      <c r="B424" s="304">
        <f t="shared" ca="1" si="181"/>
        <v>28.60440000000013</v>
      </c>
      <c r="D424" s="306">
        <f t="shared" ca="1" si="182"/>
        <v>-0.65983708302956912</v>
      </c>
      <c r="E424" s="307">
        <f t="shared" ca="1" si="183"/>
        <v>-0.90634336687765149</v>
      </c>
      <c r="F424" s="304">
        <f t="shared" ca="1" si="184"/>
        <v>1.1210902170762564</v>
      </c>
      <c r="G424" s="306">
        <f t="shared" ca="1" si="185"/>
        <v>7.2968938326276689</v>
      </c>
      <c r="H424" s="307">
        <f t="shared" ca="1" si="186"/>
        <v>-98.463220914990274</v>
      </c>
      <c r="I424" s="304">
        <f t="shared" ca="1" si="187"/>
        <v>98.73322912048819</v>
      </c>
      <c r="J424" s="306">
        <f t="shared" ca="1" si="188"/>
        <v>678.53524446899166</v>
      </c>
      <c r="K424" s="307">
        <f t="shared" ca="1" si="189"/>
        <v>-3.3043381361153865</v>
      </c>
      <c r="L424" s="304">
        <f t="shared" ca="1" si="174"/>
        <v>678.5432901717561</v>
      </c>
      <c r="M424" s="306">
        <f t="shared" ca="1" si="190"/>
        <v>-1.4968237357249297</v>
      </c>
      <c r="N424" s="304">
        <f t="shared" ca="1" si="191"/>
        <v>-85.761682732043781</v>
      </c>
      <c r="P424" s="310">
        <f t="shared" ca="1" si="192"/>
        <v>23</v>
      </c>
      <c r="Q424" s="304">
        <f t="shared" ca="1" si="193"/>
        <v>0</v>
      </c>
      <c r="R424" s="306">
        <f t="shared" ca="1" si="194"/>
        <v>0</v>
      </c>
      <c r="S424" s="307">
        <f t="shared" ca="1" si="195"/>
        <v>4.341000000000002</v>
      </c>
      <c r="T424" s="304">
        <f t="shared" ca="1" si="175"/>
        <v>42.585210000000025</v>
      </c>
      <c r="U424" s="311">
        <f t="shared" ca="1" si="176"/>
        <v>0</v>
      </c>
      <c r="V424" s="306">
        <f t="shared" ca="1" si="177"/>
        <v>1.2254048483094597</v>
      </c>
      <c r="W424" s="304">
        <f t="shared" ca="1" si="178"/>
        <v>38.756869924735028</v>
      </c>
      <c r="Y424" s="314" t="str">
        <f t="shared" ca="1" si="196"/>
        <v/>
      </c>
      <c r="Z424" s="315" t="str">
        <f t="shared" ca="1" si="197"/>
        <v/>
      </c>
      <c r="AA424" s="316" t="str">
        <f t="shared" ca="1" si="198"/>
        <v/>
      </c>
      <c r="AC424" s="310" t="e">
        <f t="shared" ca="1" si="199"/>
        <v>#N/A</v>
      </c>
      <c r="AD424" s="323" t="e">
        <f t="shared" ca="1" si="200"/>
        <v>#N/A</v>
      </c>
      <c r="AE424" s="324" t="e">
        <f t="shared" ca="1" si="179"/>
        <v>#N/A</v>
      </c>
      <c r="AG424" s="306">
        <f t="shared" ca="1" si="201"/>
        <v>0.85509887808984786</v>
      </c>
      <c r="AH424" s="304">
        <f t="shared" ca="1" si="202"/>
        <v>-8.9280729397045455</v>
      </c>
    </row>
    <row r="425" spans="1:34" x14ac:dyDescent="0.2">
      <c r="A425" s="347">
        <f t="shared" ca="1" si="180"/>
        <v>1E-4</v>
      </c>
      <c r="B425" s="304">
        <f t="shared" ca="1" si="181"/>
        <v>28.604500000000129</v>
      </c>
      <c r="D425" s="306">
        <f t="shared" ca="1" si="182"/>
        <v>-0.65983233751909676</v>
      </c>
      <c r="E425" s="307">
        <f t="shared" ca="1" si="183"/>
        <v>-0.90631869310050028</v>
      </c>
      <c r="F425" s="304">
        <f t="shared" ca="1" si="184"/>
        <v>1.1210674766040241</v>
      </c>
      <c r="G425" s="306">
        <f t="shared" ca="1" si="185"/>
        <v>7.2968278493939174</v>
      </c>
      <c r="H425" s="307">
        <f t="shared" ca="1" si="186"/>
        <v>-98.463311546859586</v>
      </c>
      <c r="I425" s="304">
        <f t="shared" ca="1" si="187"/>
        <v>98.7333146280303</v>
      </c>
      <c r="J425" s="306">
        <f t="shared" ca="1" si="188"/>
        <v>678.53524446899166</v>
      </c>
      <c r="K425" s="307">
        <f t="shared" ca="1" si="189"/>
        <v>-3.3141844627384791</v>
      </c>
      <c r="L425" s="304">
        <f t="shared" ca="1" si="174"/>
        <v>678.54333819237172</v>
      </c>
      <c r="M425" s="306">
        <f t="shared" ca="1" si="190"/>
        <v>-1.4968244700358326</v>
      </c>
      <c r="N425" s="304">
        <f t="shared" ca="1" si="191"/>
        <v>-85.761724804959371</v>
      </c>
      <c r="P425" s="310">
        <f t="shared" ca="1" si="192"/>
        <v>23</v>
      </c>
      <c r="Q425" s="304">
        <f t="shared" ca="1" si="193"/>
        <v>0</v>
      </c>
      <c r="R425" s="306">
        <f t="shared" ca="1" si="194"/>
        <v>0</v>
      </c>
      <c r="S425" s="307">
        <f t="shared" ca="1" si="195"/>
        <v>4.341000000000002</v>
      </c>
      <c r="T425" s="304">
        <f t="shared" ca="1" si="175"/>
        <v>42.585210000000025</v>
      </c>
      <c r="U425" s="311">
        <f t="shared" ca="1" si="176"/>
        <v>0</v>
      </c>
      <c r="V425" s="306">
        <f t="shared" ca="1" si="177"/>
        <v>1.2254060548837249</v>
      </c>
      <c r="W425" s="304">
        <f t="shared" ca="1" si="178"/>
        <v>38.756975216613199</v>
      </c>
      <c r="Y425" s="314" t="str">
        <f t="shared" ca="1" si="196"/>
        <v/>
      </c>
      <c r="Z425" s="315" t="str">
        <f t="shared" ca="1" si="197"/>
        <v/>
      </c>
      <c r="AA425" s="316" t="str">
        <f t="shared" ca="1" si="198"/>
        <v/>
      </c>
      <c r="AC425" s="310" t="e">
        <f t="shared" ca="1" si="199"/>
        <v>#N/A</v>
      </c>
      <c r="AD425" s="323" t="e">
        <f t="shared" ca="1" si="200"/>
        <v>#N/A</v>
      </c>
      <c r="AE425" s="324" t="e">
        <f t="shared" ca="1" si="179"/>
        <v>#N/A</v>
      </c>
      <c r="AG425" s="306">
        <f t="shared" ca="1" si="201"/>
        <v>0.85507515489949348</v>
      </c>
      <c r="AH425" s="304">
        <f t="shared" ca="1" si="202"/>
        <v>-8.92809719528565</v>
      </c>
    </row>
    <row r="426" spans="1:34" x14ac:dyDescent="0.2">
      <c r="A426" s="347">
        <f t="shared" ca="1" si="180"/>
        <v>1E-4</v>
      </c>
      <c r="B426" s="304">
        <f t="shared" ca="1" si="181"/>
        <v>28.604600000000129</v>
      </c>
      <c r="D426" s="306">
        <f t="shared" ca="1" si="182"/>
        <v>-0.65982759201595886</v>
      </c>
      <c r="E426" s="307">
        <f t="shared" ca="1" si="183"/>
        <v>-0.9062940196981728</v>
      </c>
      <c r="F426" s="304">
        <f t="shared" ca="1" si="184"/>
        <v>1.1210447365409868</v>
      </c>
      <c r="G426" s="306">
        <f t="shared" ca="1" si="185"/>
        <v>7.296761866634716</v>
      </c>
      <c r="H426" s="307">
        <f t="shared" ca="1" si="186"/>
        <v>-98.463402176261553</v>
      </c>
      <c r="I426" s="304">
        <f t="shared" ca="1" si="187"/>
        <v>98.733400133200121</v>
      </c>
      <c r="J426" s="306">
        <f t="shared" ca="1" si="188"/>
        <v>678.53524446899166</v>
      </c>
      <c r="K426" s="307">
        <f t="shared" ca="1" si="189"/>
        <v>-3.3240307984246353</v>
      </c>
      <c r="L426" s="304">
        <f t="shared" ca="1" si="174"/>
        <v>678.54338635590807</v>
      </c>
      <c r="M426" s="306">
        <f t="shared" ca="1" si="190"/>
        <v>-1.4968252043388235</v>
      </c>
      <c r="N426" s="304">
        <f t="shared" ca="1" si="191"/>
        <v>-85.761766877421621</v>
      </c>
      <c r="P426" s="310">
        <f t="shared" ca="1" si="192"/>
        <v>23</v>
      </c>
      <c r="Q426" s="304">
        <f t="shared" ca="1" si="193"/>
        <v>0</v>
      </c>
      <c r="R426" s="306">
        <f t="shared" ca="1" si="194"/>
        <v>0</v>
      </c>
      <c r="S426" s="307">
        <f t="shared" ca="1" si="195"/>
        <v>4.341000000000002</v>
      </c>
      <c r="T426" s="304">
        <f t="shared" ca="1" si="175"/>
        <v>42.585210000000025</v>
      </c>
      <c r="U426" s="311">
        <f t="shared" ca="1" si="176"/>
        <v>0</v>
      </c>
      <c r="V426" s="306">
        <f t="shared" ca="1" si="177"/>
        <v>1.2254072614602887</v>
      </c>
      <c r="W426" s="304">
        <f t="shared" ca="1" si="178"/>
        <v>38.757080506891946</v>
      </c>
      <c r="Y426" s="314" t="str">
        <f t="shared" ca="1" si="196"/>
        <v/>
      </c>
      <c r="Z426" s="315" t="str">
        <f t="shared" ca="1" si="197"/>
        <v/>
      </c>
      <c r="AA426" s="316" t="str">
        <f t="shared" ca="1" si="198"/>
        <v/>
      </c>
      <c r="AC426" s="310" t="e">
        <f t="shared" ca="1" si="199"/>
        <v>#N/A</v>
      </c>
      <c r="AD426" s="323" t="e">
        <f t="shared" ca="1" si="200"/>
        <v>#N/A</v>
      </c>
      <c r="AE426" s="324" t="e">
        <f t="shared" ca="1" si="179"/>
        <v>#N/A</v>
      </c>
      <c r="AG426" s="306">
        <f t="shared" ca="1" si="201"/>
        <v>0.85505143206656875</v>
      </c>
      <c r="AH426" s="304">
        <f t="shared" ca="1" si="202"/>
        <v>-8.9281214504983133</v>
      </c>
    </row>
    <row r="427" spans="1:34" x14ac:dyDescent="0.2">
      <c r="A427" s="347">
        <f t="shared" ca="1" si="180"/>
        <v>1E-4</v>
      </c>
      <c r="B427" s="304">
        <f t="shared" ca="1" si="181"/>
        <v>28.604700000000129</v>
      </c>
      <c r="D427" s="306">
        <f t="shared" ca="1" si="182"/>
        <v>-0.65982284652015888</v>
      </c>
      <c r="E427" s="307">
        <f t="shared" ca="1" si="183"/>
        <v>-0.90626934667067083</v>
      </c>
      <c r="F427" s="304">
        <f t="shared" ca="1" si="184"/>
        <v>1.1210219968871484</v>
      </c>
      <c r="G427" s="306">
        <f t="shared" ca="1" si="185"/>
        <v>7.296695884350064</v>
      </c>
      <c r="H427" s="307">
        <f t="shared" ca="1" si="186"/>
        <v>-98.463492803196218</v>
      </c>
      <c r="I427" s="304">
        <f t="shared" ca="1" si="187"/>
        <v>98.733485635997695</v>
      </c>
      <c r="J427" s="306">
        <f t="shared" ca="1" si="188"/>
        <v>678.53524446899166</v>
      </c>
      <c r="K427" s="307">
        <f t="shared" ca="1" si="189"/>
        <v>-3.3338771431736083</v>
      </c>
      <c r="L427" s="304">
        <f t="shared" ca="1" si="174"/>
        <v>678.5434346623656</v>
      </c>
      <c r="M427" s="306">
        <f t="shared" ca="1" si="190"/>
        <v>-1.4968259386339027</v>
      </c>
      <c r="N427" s="304">
        <f t="shared" ca="1" si="191"/>
        <v>-85.761808949430574</v>
      </c>
      <c r="P427" s="310">
        <f t="shared" ca="1" si="192"/>
        <v>23</v>
      </c>
      <c r="Q427" s="304">
        <f t="shared" ca="1" si="193"/>
        <v>0</v>
      </c>
      <c r="R427" s="306">
        <f t="shared" ca="1" si="194"/>
        <v>0</v>
      </c>
      <c r="S427" s="307">
        <f t="shared" ca="1" si="195"/>
        <v>4.341000000000002</v>
      </c>
      <c r="T427" s="304">
        <f t="shared" ca="1" si="175"/>
        <v>42.585210000000025</v>
      </c>
      <c r="U427" s="311">
        <f t="shared" ca="1" si="176"/>
        <v>0</v>
      </c>
      <c r="V427" s="306">
        <f t="shared" ca="1" si="177"/>
        <v>1.2254084680391517</v>
      </c>
      <c r="W427" s="304">
        <f t="shared" ca="1" si="178"/>
        <v>38.757185795571338</v>
      </c>
      <c r="Y427" s="314" t="str">
        <f t="shared" ca="1" si="196"/>
        <v/>
      </c>
      <c r="Z427" s="315" t="str">
        <f t="shared" ca="1" si="197"/>
        <v/>
      </c>
      <c r="AA427" s="316" t="str">
        <f t="shared" ca="1" si="198"/>
        <v/>
      </c>
      <c r="AC427" s="310" t="e">
        <f t="shared" ca="1" si="199"/>
        <v>#N/A</v>
      </c>
      <c r="AD427" s="323" t="e">
        <f t="shared" ca="1" si="200"/>
        <v>#N/A</v>
      </c>
      <c r="AE427" s="324" t="e">
        <f t="shared" ca="1" si="179"/>
        <v>#N/A</v>
      </c>
      <c r="AG427" s="306">
        <f t="shared" ca="1" si="201"/>
        <v>0.85502770959107721</v>
      </c>
      <c r="AH427" s="304">
        <f t="shared" ca="1" si="202"/>
        <v>-8.9281457053425317</v>
      </c>
    </row>
    <row r="428" spans="1:34" x14ac:dyDescent="0.2">
      <c r="A428" s="347">
        <f t="shared" ca="1" si="180"/>
        <v>1E-4</v>
      </c>
      <c r="B428" s="304">
        <f t="shared" ca="1" si="181"/>
        <v>28.604800000000129</v>
      </c>
      <c r="D428" s="306">
        <f t="shared" ca="1" si="182"/>
        <v>-0.65981810103169503</v>
      </c>
      <c r="E428" s="307">
        <f t="shared" ca="1" si="183"/>
        <v>-0.90624467401798192</v>
      </c>
      <c r="F428" s="304">
        <f t="shared" ca="1" si="184"/>
        <v>1.1209992576424974</v>
      </c>
      <c r="G428" s="306">
        <f t="shared" ca="1" si="185"/>
        <v>7.2966299025399612</v>
      </c>
      <c r="H428" s="307">
        <f t="shared" ca="1" si="186"/>
        <v>-98.463583427663622</v>
      </c>
      <c r="I428" s="304">
        <f t="shared" ca="1" si="187"/>
        <v>98.733571136423066</v>
      </c>
      <c r="J428" s="306">
        <f t="shared" ca="1" si="188"/>
        <v>678.53524446899166</v>
      </c>
      <c r="K428" s="307">
        <f t="shared" ca="1" si="189"/>
        <v>-3.3437234969851515</v>
      </c>
      <c r="L428" s="304">
        <f t="shared" ca="1" si="174"/>
        <v>678.54348311174476</v>
      </c>
      <c r="M428" s="306">
        <f t="shared" ca="1" si="190"/>
        <v>-1.49682667292107</v>
      </c>
      <c r="N428" s="304">
        <f t="shared" ca="1" si="191"/>
        <v>-85.761851020986214</v>
      </c>
      <c r="P428" s="310">
        <f t="shared" ca="1" si="192"/>
        <v>23</v>
      </c>
      <c r="Q428" s="304">
        <f t="shared" ca="1" si="193"/>
        <v>0</v>
      </c>
      <c r="R428" s="306">
        <f t="shared" ca="1" si="194"/>
        <v>0</v>
      </c>
      <c r="S428" s="307">
        <f t="shared" ca="1" si="195"/>
        <v>4.341000000000002</v>
      </c>
      <c r="T428" s="304">
        <f t="shared" ca="1" si="175"/>
        <v>42.585210000000025</v>
      </c>
      <c r="U428" s="311">
        <f t="shared" ca="1" si="176"/>
        <v>0</v>
      </c>
      <c r="V428" s="306">
        <f t="shared" ca="1" si="177"/>
        <v>1.2254096746203136</v>
      </c>
      <c r="W428" s="304">
        <f t="shared" ca="1" si="178"/>
        <v>38.757291082651371</v>
      </c>
      <c r="Y428" s="314" t="str">
        <f t="shared" ca="1" si="196"/>
        <v/>
      </c>
      <c r="Z428" s="315" t="str">
        <f t="shared" ca="1" si="197"/>
        <v/>
      </c>
      <c r="AA428" s="316" t="str">
        <f t="shared" ca="1" si="198"/>
        <v/>
      </c>
      <c r="AC428" s="310" t="e">
        <f t="shared" ca="1" si="199"/>
        <v>#N/A</v>
      </c>
      <c r="AD428" s="323" t="e">
        <f t="shared" ca="1" si="200"/>
        <v>#N/A</v>
      </c>
      <c r="AE428" s="324" t="e">
        <f t="shared" ca="1" si="179"/>
        <v>#N/A</v>
      </c>
      <c r="AG428" s="306">
        <f t="shared" ca="1" si="201"/>
        <v>0.85500398747300643</v>
      </c>
      <c r="AH428" s="304">
        <f t="shared" ca="1" si="202"/>
        <v>-8.9281699598183177</v>
      </c>
    </row>
    <row r="429" spans="1:34" x14ac:dyDescent="0.2">
      <c r="A429" s="347">
        <f t="shared" ca="1" si="180"/>
        <v>1E-4</v>
      </c>
      <c r="B429" s="304">
        <f t="shared" ca="1" si="181"/>
        <v>28.604900000000129</v>
      </c>
      <c r="D429" s="306">
        <f t="shared" ca="1" si="182"/>
        <v>-0.65981335555057097</v>
      </c>
      <c r="E429" s="307">
        <f t="shared" ca="1" si="183"/>
        <v>-0.90622000174010431</v>
      </c>
      <c r="F429" s="304">
        <f t="shared" ca="1" si="184"/>
        <v>1.1209765188070349</v>
      </c>
      <c r="G429" s="306">
        <f t="shared" ca="1" si="185"/>
        <v>7.296563921204406</v>
      </c>
      <c r="H429" s="307">
        <f t="shared" ca="1" si="186"/>
        <v>-98.463674049663794</v>
      </c>
      <c r="I429" s="304">
        <f t="shared" ca="1" si="187"/>
        <v>98.733656634476247</v>
      </c>
      <c r="J429" s="306">
        <f t="shared" ca="1" si="188"/>
        <v>678.53524446899166</v>
      </c>
      <c r="K429" s="307">
        <f t="shared" ca="1" si="189"/>
        <v>-3.353569859859018</v>
      </c>
      <c r="L429" s="304">
        <f t="shared" ca="1" si="174"/>
        <v>678.54353170404568</v>
      </c>
      <c r="M429" s="306">
        <f t="shared" ca="1" si="190"/>
        <v>-1.4968274072003256</v>
      </c>
      <c r="N429" s="304">
        <f t="shared" ca="1" si="191"/>
        <v>-85.761893092088542</v>
      </c>
      <c r="P429" s="310">
        <f t="shared" ca="1" si="192"/>
        <v>23</v>
      </c>
      <c r="Q429" s="304">
        <f t="shared" ca="1" si="193"/>
        <v>0</v>
      </c>
      <c r="R429" s="306">
        <f t="shared" ca="1" si="194"/>
        <v>0</v>
      </c>
      <c r="S429" s="307">
        <f t="shared" ca="1" si="195"/>
        <v>4.341000000000002</v>
      </c>
      <c r="T429" s="304">
        <f t="shared" ca="1" si="175"/>
        <v>42.585210000000025</v>
      </c>
      <c r="U429" s="311">
        <f t="shared" ca="1" si="176"/>
        <v>0</v>
      </c>
      <c r="V429" s="306">
        <f t="shared" ca="1" si="177"/>
        <v>1.2254108812037741</v>
      </c>
      <c r="W429" s="304">
        <f t="shared" ca="1" si="178"/>
        <v>38.757396368132035</v>
      </c>
      <c r="Y429" s="314" t="str">
        <f t="shared" ca="1" si="196"/>
        <v/>
      </c>
      <c r="Z429" s="315" t="str">
        <f t="shared" ca="1" si="197"/>
        <v/>
      </c>
      <c r="AA429" s="316" t="str">
        <f t="shared" ca="1" si="198"/>
        <v/>
      </c>
      <c r="AC429" s="310" t="e">
        <f t="shared" ca="1" si="199"/>
        <v>#N/A</v>
      </c>
      <c r="AD429" s="323" t="e">
        <f t="shared" ca="1" si="200"/>
        <v>#N/A</v>
      </c>
      <c r="AE429" s="324" t="e">
        <f t="shared" ca="1" si="179"/>
        <v>#N/A</v>
      </c>
      <c r="AG429" s="306">
        <f t="shared" ca="1" si="201"/>
        <v>0.85498026571235641</v>
      </c>
      <c r="AH429" s="304">
        <f t="shared" ca="1" si="202"/>
        <v>-8.9281942139256749</v>
      </c>
    </row>
    <row r="430" spans="1:34" x14ac:dyDescent="0.2">
      <c r="A430" s="347">
        <f t="shared" ca="1" si="180"/>
        <v>1E-4</v>
      </c>
      <c r="B430" s="304">
        <f t="shared" ca="1" si="181"/>
        <v>28.605000000000128</v>
      </c>
      <c r="D430" s="306">
        <f t="shared" ca="1" si="182"/>
        <v>-0.65980861007678571</v>
      </c>
      <c r="E430" s="307">
        <f t="shared" ca="1" si="183"/>
        <v>-0.90619532983704154</v>
      </c>
      <c r="F430" s="304">
        <f t="shared" ca="1" si="184"/>
        <v>1.1209537803807632</v>
      </c>
      <c r="G430" s="306">
        <f t="shared" ca="1" si="185"/>
        <v>7.2964979403433983</v>
      </c>
      <c r="H430" s="307">
        <f t="shared" ca="1" si="186"/>
        <v>-98.463764669196777</v>
      </c>
      <c r="I430" s="304">
        <f t="shared" ca="1" si="187"/>
        <v>98.733742130157296</v>
      </c>
      <c r="J430" s="306">
        <f t="shared" ca="1" si="188"/>
        <v>678.53524446899166</v>
      </c>
      <c r="K430" s="307">
        <f t="shared" ca="1" si="189"/>
        <v>-3.363416231794961</v>
      </c>
      <c r="L430" s="304">
        <f t="shared" ca="1" si="174"/>
        <v>678.54358043926891</v>
      </c>
      <c r="M430" s="306">
        <f t="shared" ca="1" si="190"/>
        <v>-1.4968281414716698</v>
      </c>
      <c r="N430" s="304">
        <f t="shared" ca="1" si="191"/>
        <v>-85.761935162737586</v>
      </c>
      <c r="P430" s="310">
        <f t="shared" ca="1" si="192"/>
        <v>23</v>
      </c>
      <c r="Q430" s="304">
        <f t="shared" ca="1" si="193"/>
        <v>0</v>
      </c>
      <c r="R430" s="306">
        <f t="shared" ca="1" si="194"/>
        <v>0</v>
      </c>
      <c r="S430" s="307">
        <f t="shared" ca="1" si="195"/>
        <v>4.341000000000002</v>
      </c>
      <c r="T430" s="304">
        <f t="shared" ca="1" si="175"/>
        <v>42.585210000000025</v>
      </c>
      <c r="U430" s="311">
        <f t="shared" ca="1" si="176"/>
        <v>0</v>
      </c>
      <c r="V430" s="306">
        <f t="shared" ca="1" si="177"/>
        <v>1.2254120877895327</v>
      </c>
      <c r="W430" s="304">
        <f t="shared" ca="1" si="178"/>
        <v>38.757501652013346</v>
      </c>
      <c r="Y430" s="314" t="str">
        <f t="shared" ca="1" si="196"/>
        <v/>
      </c>
      <c r="Z430" s="315" t="str">
        <f t="shared" ca="1" si="197"/>
        <v/>
      </c>
      <c r="AA430" s="316" t="str">
        <f t="shared" ca="1" si="198"/>
        <v/>
      </c>
      <c r="AC430" s="310" t="e">
        <f t="shared" ca="1" si="199"/>
        <v>#N/A</v>
      </c>
      <c r="AD430" s="323" t="e">
        <f t="shared" ca="1" si="200"/>
        <v>#N/A</v>
      </c>
      <c r="AE430" s="324" t="e">
        <f t="shared" ca="1" si="179"/>
        <v>#N/A</v>
      </c>
      <c r="AG430" s="306">
        <f t="shared" ca="1" si="201"/>
        <v>0.85495654430912715</v>
      </c>
      <c r="AH430" s="304">
        <f t="shared" ca="1" si="202"/>
        <v>-8.9282184676645979</v>
      </c>
    </row>
    <row r="431" spans="1:34" x14ac:dyDescent="0.2">
      <c r="A431" s="347">
        <f t="shared" ca="1" si="180"/>
        <v>1E-4</v>
      </c>
      <c r="B431" s="304">
        <f t="shared" ca="1" si="181"/>
        <v>28.605100000000128</v>
      </c>
      <c r="D431" s="306">
        <f t="shared" ca="1" si="182"/>
        <v>-0.65980386461033902</v>
      </c>
      <c r="E431" s="307">
        <f t="shared" ca="1" si="183"/>
        <v>-0.90617065830879007</v>
      </c>
      <c r="F431" s="304">
        <f t="shared" ca="1" si="184"/>
        <v>1.1209310423636794</v>
      </c>
      <c r="G431" s="306">
        <f t="shared" ca="1" si="185"/>
        <v>7.2964319599569372</v>
      </c>
      <c r="H431" s="307">
        <f t="shared" ca="1" si="186"/>
        <v>-98.463855286262614</v>
      </c>
      <c r="I431" s="304">
        <f t="shared" ca="1" si="187"/>
        <v>98.733827623466254</v>
      </c>
      <c r="J431" s="306">
        <f t="shared" ca="1" si="188"/>
        <v>678.53524446899166</v>
      </c>
      <c r="K431" s="307">
        <f t="shared" ca="1" si="189"/>
        <v>-3.3732626127927339</v>
      </c>
      <c r="L431" s="304">
        <f t="shared" ca="1" si="174"/>
        <v>678.54362931741468</v>
      </c>
      <c r="M431" s="306">
        <f t="shared" ca="1" si="190"/>
        <v>-1.4968288757351025</v>
      </c>
      <c r="N431" s="304">
        <f t="shared" ca="1" si="191"/>
        <v>-85.761977232933333</v>
      </c>
      <c r="P431" s="310">
        <f t="shared" ca="1" si="192"/>
        <v>23</v>
      </c>
      <c r="Q431" s="304">
        <f t="shared" ca="1" si="193"/>
        <v>0</v>
      </c>
      <c r="R431" s="306">
        <f t="shared" ca="1" si="194"/>
        <v>0</v>
      </c>
      <c r="S431" s="307">
        <f t="shared" ca="1" si="195"/>
        <v>4.341000000000002</v>
      </c>
      <c r="T431" s="304">
        <f t="shared" ca="1" si="175"/>
        <v>42.585210000000025</v>
      </c>
      <c r="U431" s="311">
        <f t="shared" ca="1" si="176"/>
        <v>0</v>
      </c>
      <c r="V431" s="306">
        <f t="shared" ca="1" si="177"/>
        <v>1.2254132943775908</v>
      </c>
      <c r="W431" s="304">
        <f t="shared" ca="1" si="178"/>
        <v>38.757606934295389</v>
      </c>
      <c r="Y431" s="314" t="str">
        <f t="shared" ca="1" si="196"/>
        <v/>
      </c>
      <c r="Z431" s="315" t="str">
        <f t="shared" ca="1" si="197"/>
        <v/>
      </c>
      <c r="AA431" s="316" t="str">
        <f t="shared" ca="1" si="198"/>
        <v/>
      </c>
      <c r="AC431" s="310" t="e">
        <f t="shared" ca="1" si="199"/>
        <v>#N/A</v>
      </c>
      <c r="AD431" s="323" t="e">
        <f t="shared" ca="1" si="200"/>
        <v>#N/A</v>
      </c>
      <c r="AE431" s="324" t="e">
        <f t="shared" ca="1" si="179"/>
        <v>#N/A</v>
      </c>
      <c r="AG431" s="306">
        <f t="shared" ca="1" si="201"/>
        <v>0.85493282326331865</v>
      </c>
      <c r="AH431" s="304">
        <f t="shared" ca="1" si="202"/>
        <v>-8.9282427210350903</v>
      </c>
    </row>
    <row r="432" spans="1:34" x14ac:dyDescent="0.2">
      <c r="A432" s="347">
        <f t="shared" ca="1" si="180"/>
        <v>1E-4</v>
      </c>
      <c r="B432" s="304">
        <f t="shared" ca="1" si="181"/>
        <v>28.605200000000128</v>
      </c>
      <c r="D432" s="306">
        <f t="shared" ca="1" si="182"/>
        <v>-0.65979911915123379</v>
      </c>
      <c r="E432" s="307">
        <f t="shared" ca="1" si="183"/>
        <v>-0.90614598715532857</v>
      </c>
      <c r="F432" s="304">
        <f t="shared" ca="1" si="184"/>
        <v>1.1209083047557677</v>
      </c>
      <c r="G432" s="306">
        <f t="shared" ca="1" si="185"/>
        <v>7.2963659800450218</v>
      </c>
      <c r="H432" s="307">
        <f t="shared" ca="1" si="186"/>
        <v>-98.463945900861333</v>
      </c>
      <c r="I432" s="304">
        <f t="shared" ca="1" si="187"/>
        <v>98.733913114403123</v>
      </c>
      <c r="J432" s="306">
        <f t="shared" ca="1" si="188"/>
        <v>678.53524446899166</v>
      </c>
      <c r="K432" s="307">
        <f t="shared" ca="1" si="189"/>
        <v>-3.3831090028520903</v>
      </c>
      <c r="L432" s="304">
        <f t="shared" ca="1" si="174"/>
        <v>678.54367833848357</v>
      </c>
      <c r="M432" s="306">
        <f t="shared" ca="1" si="190"/>
        <v>-1.4968296099906238</v>
      </c>
      <c r="N432" s="304">
        <f t="shared" ca="1" si="191"/>
        <v>-85.762019302675782</v>
      </c>
      <c r="P432" s="310">
        <f t="shared" ca="1" si="192"/>
        <v>23</v>
      </c>
      <c r="Q432" s="304">
        <f t="shared" ca="1" si="193"/>
        <v>0</v>
      </c>
      <c r="R432" s="306">
        <f t="shared" ca="1" si="194"/>
        <v>0</v>
      </c>
      <c r="S432" s="307">
        <f t="shared" ca="1" si="195"/>
        <v>4.341000000000002</v>
      </c>
      <c r="T432" s="304">
        <f t="shared" ca="1" si="175"/>
        <v>42.585210000000025</v>
      </c>
      <c r="U432" s="311">
        <f t="shared" ca="1" si="176"/>
        <v>0</v>
      </c>
      <c r="V432" s="306">
        <f t="shared" ca="1" si="177"/>
        <v>1.2254145009679471</v>
      </c>
      <c r="W432" s="304">
        <f t="shared" ca="1" si="178"/>
        <v>38.757712214978106</v>
      </c>
      <c r="Y432" s="314" t="str">
        <f t="shared" ca="1" si="196"/>
        <v/>
      </c>
      <c r="Z432" s="315" t="str">
        <f t="shared" ca="1" si="197"/>
        <v/>
      </c>
      <c r="AA432" s="316" t="str">
        <f t="shared" ca="1" si="198"/>
        <v/>
      </c>
      <c r="AC432" s="310" t="e">
        <f t="shared" ca="1" si="199"/>
        <v>#N/A</v>
      </c>
      <c r="AD432" s="323" t="e">
        <f t="shared" ca="1" si="200"/>
        <v>#N/A</v>
      </c>
      <c r="AE432" s="324" t="e">
        <f t="shared" ca="1" si="179"/>
        <v>#N/A</v>
      </c>
      <c r="AG432" s="306">
        <f t="shared" ca="1" si="201"/>
        <v>0.85490910257491137</v>
      </c>
      <c r="AH432" s="304">
        <f t="shared" ca="1" si="202"/>
        <v>-8.9282669740371734</v>
      </c>
    </row>
    <row r="433" spans="1:34" x14ac:dyDescent="0.2">
      <c r="A433" s="347">
        <f t="shared" ca="1" si="180"/>
        <v>1E-4</v>
      </c>
      <c r="B433" s="304">
        <f t="shared" ca="1" si="181"/>
        <v>28.605300000000128</v>
      </c>
      <c r="D433" s="306">
        <f t="shared" ca="1" si="182"/>
        <v>-0.65979437369947036</v>
      </c>
      <c r="E433" s="307">
        <f t="shared" ca="1" si="183"/>
        <v>-0.90612131637667304</v>
      </c>
      <c r="F433" s="304">
        <f t="shared" ca="1" si="184"/>
        <v>1.1208855675570415</v>
      </c>
      <c r="G433" s="306">
        <f t="shared" ca="1" si="185"/>
        <v>7.2963000006076522</v>
      </c>
      <c r="H433" s="307">
        <f t="shared" ca="1" si="186"/>
        <v>-98.464036512992976</v>
      </c>
      <c r="I433" s="304">
        <f t="shared" ca="1" si="187"/>
        <v>98.733998602967972</v>
      </c>
      <c r="J433" s="306">
        <f t="shared" ca="1" si="188"/>
        <v>678.53524446899166</v>
      </c>
      <c r="K433" s="307">
        <f t="shared" ca="1" si="189"/>
        <v>-3.3929554019727828</v>
      </c>
      <c r="L433" s="304">
        <f t="shared" ca="1" si="174"/>
        <v>678.5437275024758</v>
      </c>
      <c r="M433" s="306">
        <f t="shared" ca="1" si="190"/>
        <v>-1.496830344238234</v>
      </c>
      <c r="N433" s="304">
        <f t="shared" ca="1" si="191"/>
        <v>-85.762061371964975</v>
      </c>
      <c r="P433" s="310">
        <f t="shared" ca="1" si="192"/>
        <v>23</v>
      </c>
      <c r="Q433" s="304">
        <f t="shared" ca="1" si="193"/>
        <v>0</v>
      </c>
      <c r="R433" s="306">
        <f t="shared" ca="1" si="194"/>
        <v>0</v>
      </c>
      <c r="S433" s="307">
        <f t="shared" ca="1" si="195"/>
        <v>4.341000000000002</v>
      </c>
      <c r="T433" s="304">
        <f t="shared" ca="1" si="175"/>
        <v>42.585210000000025</v>
      </c>
      <c r="U433" s="311">
        <f t="shared" ca="1" si="176"/>
        <v>0</v>
      </c>
      <c r="V433" s="306">
        <f t="shared" ca="1" si="177"/>
        <v>1.2254157075606027</v>
      </c>
      <c r="W433" s="304">
        <f t="shared" ca="1" si="178"/>
        <v>38.757817494061555</v>
      </c>
      <c r="Y433" s="314" t="str">
        <f t="shared" ca="1" si="196"/>
        <v/>
      </c>
      <c r="Z433" s="315" t="str">
        <f t="shared" ca="1" si="197"/>
        <v/>
      </c>
      <c r="AA433" s="316" t="str">
        <f t="shared" ca="1" si="198"/>
        <v/>
      </c>
      <c r="AC433" s="310" t="e">
        <f t="shared" ca="1" si="199"/>
        <v>#N/A</v>
      </c>
      <c r="AD433" s="323" t="e">
        <f t="shared" ca="1" si="200"/>
        <v>#N/A</v>
      </c>
      <c r="AE433" s="324" t="e">
        <f t="shared" ca="1" si="179"/>
        <v>#N/A</v>
      </c>
      <c r="AG433" s="306">
        <f t="shared" ca="1" si="201"/>
        <v>0.85488538224391597</v>
      </c>
      <c r="AH433" s="304">
        <f t="shared" ca="1" si="202"/>
        <v>-8.928291226670833</v>
      </c>
    </row>
    <row r="434" spans="1:34" x14ac:dyDescent="0.2">
      <c r="A434" s="347">
        <f t="shared" ca="1" si="180"/>
        <v>1E-4</v>
      </c>
      <c r="B434" s="304">
        <f t="shared" ca="1" si="181"/>
        <v>28.605400000000127</v>
      </c>
      <c r="D434" s="306">
        <f t="shared" ca="1" si="182"/>
        <v>-0.65978962825504728</v>
      </c>
      <c r="E434" s="307">
        <f t="shared" ca="1" si="183"/>
        <v>-0.9060966459728057</v>
      </c>
      <c r="F434" s="304">
        <f t="shared" ca="1" si="184"/>
        <v>1.1208628307674857</v>
      </c>
      <c r="G434" s="306">
        <f t="shared" ca="1" si="185"/>
        <v>7.2962340216448265</v>
      </c>
      <c r="H434" s="307">
        <f t="shared" ca="1" si="186"/>
        <v>-98.464127122657572</v>
      </c>
      <c r="I434" s="304">
        <f t="shared" ca="1" si="187"/>
        <v>98.734084089160817</v>
      </c>
      <c r="J434" s="306">
        <f t="shared" ca="1" si="188"/>
        <v>678.53524446899166</v>
      </c>
      <c r="K434" s="307">
        <f t="shared" ca="1" si="189"/>
        <v>-3.4028018101545654</v>
      </c>
      <c r="L434" s="304">
        <f t="shared" ca="1" si="174"/>
        <v>678.5437768093916</v>
      </c>
      <c r="M434" s="306">
        <f t="shared" ca="1" si="190"/>
        <v>-1.4968310784779331</v>
      </c>
      <c r="N434" s="304">
        <f t="shared" ca="1" si="191"/>
        <v>-85.762103440800871</v>
      </c>
      <c r="P434" s="310">
        <f t="shared" ca="1" si="192"/>
        <v>23</v>
      </c>
      <c r="Q434" s="304">
        <f t="shared" ca="1" si="193"/>
        <v>0</v>
      </c>
      <c r="R434" s="306">
        <f t="shared" ca="1" si="194"/>
        <v>0</v>
      </c>
      <c r="S434" s="307">
        <f t="shared" ca="1" si="195"/>
        <v>4.341000000000002</v>
      </c>
      <c r="T434" s="304">
        <f t="shared" ca="1" si="175"/>
        <v>42.585210000000025</v>
      </c>
      <c r="U434" s="311">
        <f t="shared" ca="1" si="176"/>
        <v>0</v>
      </c>
      <c r="V434" s="306">
        <f t="shared" ca="1" si="177"/>
        <v>1.2254169141555564</v>
      </c>
      <c r="W434" s="304">
        <f t="shared" ca="1" si="178"/>
        <v>38.757922771545744</v>
      </c>
      <c r="Y434" s="314" t="str">
        <f t="shared" ca="1" si="196"/>
        <v/>
      </c>
      <c r="Z434" s="315" t="str">
        <f t="shared" ca="1" si="197"/>
        <v/>
      </c>
      <c r="AA434" s="316" t="str">
        <f t="shared" ca="1" si="198"/>
        <v/>
      </c>
      <c r="AC434" s="310" t="e">
        <f t="shared" ca="1" si="199"/>
        <v>#N/A</v>
      </c>
      <c r="AD434" s="323" t="e">
        <f t="shared" ca="1" si="200"/>
        <v>#N/A</v>
      </c>
      <c r="AE434" s="324" t="e">
        <f t="shared" ca="1" si="179"/>
        <v>#N/A</v>
      </c>
      <c r="AG434" s="306">
        <f t="shared" ca="1" si="201"/>
        <v>0.85486166227032001</v>
      </c>
      <c r="AH434" s="304">
        <f t="shared" ca="1" si="202"/>
        <v>-8.9283154789360832</v>
      </c>
    </row>
    <row r="435" spans="1:34" x14ac:dyDescent="0.2">
      <c r="A435" s="347">
        <f t="shared" ca="1" si="180"/>
        <v>1E-4</v>
      </c>
      <c r="B435" s="304">
        <f t="shared" ca="1" si="181"/>
        <v>28.605500000000127</v>
      </c>
      <c r="D435" s="306">
        <f t="shared" ca="1" si="182"/>
        <v>-0.65978488281796788</v>
      </c>
      <c r="E435" s="307">
        <f t="shared" ca="1" si="183"/>
        <v>-0.90607197594373012</v>
      </c>
      <c r="F435" s="304">
        <f t="shared" ca="1" si="184"/>
        <v>1.1208400943871053</v>
      </c>
      <c r="G435" s="306">
        <f t="shared" ca="1" si="185"/>
        <v>7.2961680431565448</v>
      </c>
      <c r="H435" s="307">
        <f t="shared" ca="1" si="186"/>
        <v>-98.464217729855164</v>
      </c>
      <c r="I435" s="304">
        <f t="shared" ca="1" si="187"/>
        <v>98.734169572981685</v>
      </c>
      <c r="J435" s="306">
        <f t="shared" ca="1" si="188"/>
        <v>678.53524446899166</v>
      </c>
      <c r="K435" s="307">
        <f t="shared" ca="1" si="189"/>
        <v>-3.4126482273971912</v>
      </c>
      <c r="L435" s="304">
        <f t="shared" ca="1" si="174"/>
        <v>678.54382625923154</v>
      </c>
      <c r="M435" s="306">
        <f t="shared" ca="1" si="190"/>
        <v>-1.4968318127097211</v>
      </c>
      <c r="N435" s="304">
        <f t="shared" ca="1" si="191"/>
        <v>-85.762145509183512</v>
      </c>
      <c r="P435" s="310">
        <f t="shared" ca="1" si="192"/>
        <v>23</v>
      </c>
      <c r="Q435" s="304">
        <f t="shared" ca="1" si="193"/>
        <v>0</v>
      </c>
      <c r="R435" s="306">
        <f t="shared" ca="1" si="194"/>
        <v>0</v>
      </c>
      <c r="S435" s="307">
        <f t="shared" ca="1" si="195"/>
        <v>4.341000000000002</v>
      </c>
      <c r="T435" s="304">
        <f t="shared" ca="1" si="175"/>
        <v>42.585210000000025</v>
      </c>
      <c r="U435" s="311">
        <f t="shared" ca="1" si="176"/>
        <v>0</v>
      </c>
      <c r="V435" s="306">
        <f t="shared" ca="1" si="177"/>
        <v>1.2254181207528085</v>
      </c>
      <c r="W435" s="304">
        <f t="shared" ca="1" si="178"/>
        <v>38.758028047430663</v>
      </c>
      <c r="Y435" s="314" t="str">
        <f t="shared" ca="1" si="196"/>
        <v/>
      </c>
      <c r="Z435" s="315" t="str">
        <f t="shared" ca="1" si="197"/>
        <v/>
      </c>
      <c r="AA435" s="316" t="str">
        <f t="shared" ca="1" si="198"/>
        <v/>
      </c>
      <c r="AC435" s="310" t="e">
        <f t="shared" ca="1" si="199"/>
        <v>#N/A</v>
      </c>
      <c r="AD435" s="323" t="e">
        <f t="shared" ca="1" si="200"/>
        <v>#N/A</v>
      </c>
      <c r="AE435" s="324" t="e">
        <f t="shared" ca="1" si="179"/>
        <v>#N/A</v>
      </c>
      <c r="AG435" s="306">
        <f t="shared" ca="1" si="201"/>
        <v>0.85483794265412527</v>
      </c>
      <c r="AH435" s="304">
        <f t="shared" ca="1" si="202"/>
        <v>-8.9283397308329242</v>
      </c>
    </row>
    <row r="436" spans="1:34" x14ac:dyDescent="0.2">
      <c r="A436" s="347">
        <f t="shared" ca="1" si="180"/>
        <v>1E-4</v>
      </c>
      <c r="B436" s="304">
        <f t="shared" ca="1" si="181"/>
        <v>28.605600000000127</v>
      </c>
      <c r="D436" s="306">
        <f t="shared" ca="1" si="182"/>
        <v>-0.6597801373882316</v>
      </c>
      <c r="E436" s="307">
        <f t="shared" ca="1" si="183"/>
        <v>-0.90604730628944274</v>
      </c>
      <c r="F436" s="304">
        <f t="shared" ca="1" si="184"/>
        <v>1.1208173584158969</v>
      </c>
      <c r="G436" s="306">
        <f t="shared" ca="1" si="185"/>
        <v>7.2961020651428061</v>
      </c>
      <c r="H436" s="307">
        <f t="shared" ca="1" si="186"/>
        <v>-98.464308334585795</v>
      </c>
      <c r="I436" s="304">
        <f t="shared" ca="1" si="187"/>
        <v>98.734255054430648</v>
      </c>
      <c r="J436" s="306">
        <f t="shared" ca="1" si="188"/>
        <v>678.53524446899166</v>
      </c>
      <c r="K436" s="307">
        <f t="shared" ca="1" si="189"/>
        <v>-3.4224946537004133</v>
      </c>
      <c r="L436" s="304">
        <f t="shared" ca="1" si="174"/>
        <v>678.54387585199595</v>
      </c>
      <c r="M436" s="306">
        <f t="shared" ca="1" si="190"/>
        <v>-1.4968325469335984</v>
      </c>
      <c r="N436" s="304">
        <f t="shared" ca="1" si="191"/>
        <v>-85.762187577112897</v>
      </c>
      <c r="P436" s="310">
        <f t="shared" ca="1" si="192"/>
        <v>23</v>
      </c>
      <c r="Q436" s="304">
        <f t="shared" ca="1" si="193"/>
        <v>0</v>
      </c>
      <c r="R436" s="306">
        <f t="shared" ca="1" si="194"/>
        <v>0</v>
      </c>
      <c r="S436" s="307">
        <f t="shared" ca="1" si="195"/>
        <v>4.341000000000002</v>
      </c>
      <c r="T436" s="304">
        <f t="shared" ca="1" si="175"/>
        <v>42.585210000000025</v>
      </c>
      <c r="U436" s="311">
        <f t="shared" ca="1" si="176"/>
        <v>0</v>
      </c>
      <c r="V436" s="306">
        <f t="shared" ca="1" si="177"/>
        <v>1.2254193273523593</v>
      </c>
      <c r="W436" s="304">
        <f t="shared" ca="1" si="178"/>
        <v>38.758133321716358</v>
      </c>
      <c r="Y436" s="314" t="str">
        <f t="shared" ca="1" si="196"/>
        <v/>
      </c>
      <c r="Z436" s="315" t="str">
        <f t="shared" ca="1" si="197"/>
        <v/>
      </c>
      <c r="AA436" s="316" t="str">
        <f t="shared" ca="1" si="198"/>
        <v/>
      </c>
      <c r="AC436" s="310" t="e">
        <f t="shared" ca="1" si="199"/>
        <v>#N/A</v>
      </c>
      <c r="AD436" s="323" t="e">
        <f t="shared" ca="1" si="200"/>
        <v>#N/A</v>
      </c>
      <c r="AE436" s="324" t="e">
        <f t="shared" ca="1" si="179"/>
        <v>#N/A</v>
      </c>
      <c r="AG436" s="306">
        <f t="shared" ca="1" si="201"/>
        <v>0.85481422339532998</v>
      </c>
      <c r="AH436" s="304">
        <f t="shared" ca="1" si="202"/>
        <v>-8.9283639823613559</v>
      </c>
    </row>
    <row r="437" spans="1:34" x14ac:dyDescent="0.2">
      <c r="A437" s="347">
        <f t="shared" ca="1" si="180"/>
        <v>1E-4</v>
      </c>
      <c r="B437" s="304">
        <f t="shared" ca="1" si="181"/>
        <v>28.605700000000127</v>
      </c>
      <c r="D437" s="306">
        <f t="shared" ca="1" si="182"/>
        <v>-0.65977539196583856</v>
      </c>
      <c r="E437" s="307">
        <f t="shared" ca="1" si="183"/>
        <v>-0.90602263700993824</v>
      </c>
      <c r="F437" s="304">
        <f t="shared" ca="1" si="184"/>
        <v>1.1207946228538563</v>
      </c>
      <c r="G437" s="306">
        <f t="shared" ca="1" si="185"/>
        <v>7.2960360876036097</v>
      </c>
      <c r="H437" s="307">
        <f t="shared" ca="1" si="186"/>
        <v>-98.464398936849491</v>
      </c>
      <c r="I437" s="304">
        <f t="shared" ca="1" si="187"/>
        <v>98.734340533507705</v>
      </c>
      <c r="J437" s="306">
        <f t="shared" ca="1" si="188"/>
        <v>678.53524446899166</v>
      </c>
      <c r="K437" s="307">
        <f t="shared" ca="1" si="189"/>
        <v>-3.4323410890639852</v>
      </c>
      <c r="L437" s="304">
        <f t="shared" ca="1" si="174"/>
        <v>678.54392558768507</v>
      </c>
      <c r="M437" s="306">
        <f t="shared" ca="1" si="190"/>
        <v>-1.4968332811495646</v>
      </c>
      <c r="N437" s="304">
        <f t="shared" ca="1" si="191"/>
        <v>-85.762229644589013</v>
      </c>
      <c r="P437" s="310">
        <f t="shared" ca="1" si="192"/>
        <v>23</v>
      </c>
      <c r="Q437" s="304">
        <f t="shared" ca="1" si="193"/>
        <v>0</v>
      </c>
      <c r="R437" s="306">
        <f t="shared" ca="1" si="194"/>
        <v>0</v>
      </c>
      <c r="S437" s="307">
        <f t="shared" ca="1" si="195"/>
        <v>4.341000000000002</v>
      </c>
      <c r="T437" s="304">
        <f t="shared" ca="1" si="175"/>
        <v>42.585210000000025</v>
      </c>
      <c r="U437" s="311">
        <f t="shared" ca="1" si="176"/>
        <v>0</v>
      </c>
      <c r="V437" s="306">
        <f t="shared" ca="1" si="177"/>
        <v>1.225420533954209</v>
      </c>
      <c r="W437" s="304">
        <f t="shared" ca="1" si="178"/>
        <v>38.758238594402862</v>
      </c>
      <c r="Y437" s="314" t="str">
        <f t="shared" ca="1" si="196"/>
        <v/>
      </c>
      <c r="Z437" s="315" t="str">
        <f t="shared" ca="1" si="197"/>
        <v/>
      </c>
      <c r="AA437" s="316" t="str">
        <f t="shared" ca="1" si="198"/>
        <v/>
      </c>
      <c r="AC437" s="310" t="e">
        <f t="shared" ca="1" si="199"/>
        <v>#N/A</v>
      </c>
      <c r="AD437" s="323" t="e">
        <f t="shared" ca="1" si="200"/>
        <v>#N/A</v>
      </c>
      <c r="AE437" s="324" t="e">
        <f t="shared" ca="1" si="179"/>
        <v>#N/A</v>
      </c>
      <c r="AG437" s="306">
        <f t="shared" ca="1" si="201"/>
        <v>0.85479050449392524</v>
      </c>
      <c r="AH437" s="304">
        <f t="shared" ca="1" si="202"/>
        <v>-8.9283882335213871</v>
      </c>
    </row>
    <row r="438" spans="1:34" x14ac:dyDescent="0.2">
      <c r="A438" s="347">
        <f t="shared" ca="1" si="180"/>
        <v>1E-4</v>
      </c>
      <c r="B438" s="304">
        <f t="shared" ca="1" si="181"/>
        <v>28.605800000000126</v>
      </c>
      <c r="D438" s="306">
        <f t="shared" ca="1" si="182"/>
        <v>-0.65977064655079254</v>
      </c>
      <c r="E438" s="307">
        <f t="shared" ca="1" si="183"/>
        <v>-0.90599796810520594</v>
      </c>
      <c r="F438" s="304">
        <f t="shared" ca="1" si="184"/>
        <v>1.1207718877009774</v>
      </c>
      <c r="G438" s="306">
        <f t="shared" ca="1" si="185"/>
        <v>7.2959701105389545</v>
      </c>
      <c r="H438" s="307">
        <f t="shared" ca="1" si="186"/>
        <v>-98.464489536646298</v>
      </c>
      <c r="I438" s="304">
        <f t="shared" ca="1" si="187"/>
        <v>98.7344260102129</v>
      </c>
      <c r="J438" s="306">
        <f t="shared" ca="1" si="188"/>
        <v>678.53524446899166</v>
      </c>
      <c r="K438" s="307">
        <f t="shared" ca="1" si="189"/>
        <v>-3.4421875334876599</v>
      </c>
      <c r="L438" s="304">
        <f t="shared" ca="1" si="174"/>
        <v>678.54397546629946</v>
      </c>
      <c r="M438" s="306">
        <f t="shared" ca="1" si="190"/>
        <v>-1.4968340153576205</v>
      </c>
      <c r="N438" s="304">
        <f t="shared" ca="1" si="191"/>
        <v>-85.762271711611902</v>
      </c>
      <c r="P438" s="310">
        <f t="shared" ca="1" si="192"/>
        <v>23</v>
      </c>
      <c r="Q438" s="304">
        <f t="shared" ca="1" si="193"/>
        <v>0</v>
      </c>
      <c r="R438" s="306">
        <f t="shared" ca="1" si="194"/>
        <v>0</v>
      </c>
      <c r="S438" s="307">
        <f t="shared" ca="1" si="195"/>
        <v>4.341000000000002</v>
      </c>
      <c r="T438" s="304">
        <f t="shared" ca="1" si="175"/>
        <v>42.585210000000025</v>
      </c>
      <c r="U438" s="311">
        <f t="shared" ca="1" si="176"/>
        <v>0</v>
      </c>
      <c r="V438" s="306">
        <f t="shared" ca="1" si="177"/>
        <v>1.225421740558357</v>
      </c>
      <c r="W438" s="304">
        <f t="shared" ca="1" si="178"/>
        <v>38.758343865490154</v>
      </c>
      <c r="Y438" s="314" t="str">
        <f t="shared" ca="1" si="196"/>
        <v/>
      </c>
      <c r="Z438" s="315" t="str">
        <f t="shared" ca="1" si="197"/>
        <v/>
      </c>
      <c r="AA438" s="316" t="str">
        <f t="shared" ca="1" si="198"/>
        <v/>
      </c>
      <c r="AC438" s="310" t="e">
        <f t="shared" ca="1" si="199"/>
        <v>#N/A</v>
      </c>
      <c r="AD438" s="323" t="e">
        <f t="shared" ca="1" si="200"/>
        <v>#N/A</v>
      </c>
      <c r="AE438" s="324" t="e">
        <f t="shared" ca="1" si="179"/>
        <v>#N/A</v>
      </c>
      <c r="AG438" s="306">
        <f t="shared" ca="1" si="201"/>
        <v>0.85476678594990574</v>
      </c>
      <c r="AH438" s="304">
        <f t="shared" ca="1" si="202"/>
        <v>-8.928412484313025</v>
      </c>
    </row>
    <row r="439" spans="1:34" x14ac:dyDescent="0.2">
      <c r="A439" s="347">
        <f t="shared" ca="1" si="180"/>
        <v>1E-4</v>
      </c>
      <c r="B439" s="304">
        <f t="shared" ca="1" si="181"/>
        <v>28.605900000000126</v>
      </c>
      <c r="D439" s="306">
        <f t="shared" ca="1" si="182"/>
        <v>-0.65976590114308886</v>
      </c>
      <c r="E439" s="307">
        <f t="shared" ca="1" si="183"/>
        <v>-0.90597329957524941</v>
      </c>
      <c r="F439" s="304">
        <f t="shared" ca="1" si="184"/>
        <v>1.1207491529572604</v>
      </c>
      <c r="G439" s="306">
        <f t="shared" ca="1" si="185"/>
        <v>7.2959041339488406</v>
      </c>
      <c r="H439" s="307">
        <f t="shared" ca="1" si="186"/>
        <v>-98.464580133976256</v>
      </c>
      <c r="I439" s="304">
        <f t="shared" ca="1" si="187"/>
        <v>98.734511484546289</v>
      </c>
      <c r="J439" s="306">
        <f t="shared" ca="1" si="188"/>
        <v>678.53524446899166</v>
      </c>
      <c r="K439" s="307">
        <f t="shared" ca="1" si="189"/>
        <v>-3.4520339869711911</v>
      </c>
      <c r="L439" s="304">
        <f t="shared" ca="1" si="174"/>
        <v>678.54402548783924</v>
      </c>
      <c r="M439" s="306">
        <f t="shared" ca="1" si="190"/>
        <v>-1.4968347495577656</v>
      </c>
      <c r="N439" s="304">
        <f t="shared" ca="1" si="191"/>
        <v>-85.762313778181536</v>
      </c>
      <c r="P439" s="310">
        <f t="shared" ca="1" si="192"/>
        <v>23</v>
      </c>
      <c r="Q439" s="304">
        <f t="shared" ca="1" si="193"/>
        <v>0</v>
      </c>
      <c r="R439" s="306">
        <f t="shared" ca="1" si="194"/>
        <v>0</v>
      </c>
      <c r="S439" s="307">
        <f t="shared" ca="1" si="195"/>
        <v>4.341000000000002</v>
      </c>
      <c r="T439" s="304">
        <f t="shared" ca="1" si="175"/>
        <v>42.585210000000025</v>
      </c>
      <c r="U439" s="311">
        <f t="shared" ca="1" si="176"/>
        <v>0</v>
      </c>
      <c r="V439" s="306">
        <f t="shared" ca="1" si="177"/>
        <v>1.2254229471648033</v>
      </c>
      <c r="W439" s="304">
        <f t="shared" ca="1" si="178"/>
        <v>38.758449134978271</v>
      </c>
      <c r="Y439" s="314" t="str">
        <f t="shared" ca="1" si="196"/>
        <v/>
      </c>
      <c r="Z439" s="315" t="str">
        <f t="shared" ca="1" si="197"/>
        <v/>
      </c>
      <c r="AA439" s="316" t="str">
        <f t="shared" ca="1" si="198"/>
        <v/>
      </c>
      <c r="AC439" s="310" t="e">
        <f t="shared" ca="1" si="199"/>
        <v>#N/A</v>
      </c>
      <c r="AD439" s="323" t="e">
        <f t="shared" ca="1" si="200"/>
        <v>#N/A</v>
      </c>
      <c r="AE439" s="324" t="e">
        <f t="shared" ca="1" si="179"/>
        <v>#N/A</v>
      </c>
      <c r="AG439" s="306">
        <f t="shared" ca="1" si="201"/>
        <v>0.85474306776327502</v>
      </c>
      <c r="AH439" s="304">
        <f t="shared" ca="1" si="202"/>
        <v>-8.9284367347362679</v>
      </c>
    </row>
    <row r="440" spans="1:34" x14ac:dyDescent="0.2">
      <c r="A440" s="347">
        <f t="shared" ca="1" si="180"/>
        <v>1E-4</v>
      </c>
      <c r="B440" s="304">
        <f t="shared" ca="1" si="181"/>
        <v>28.606000000000126</v>
      </c>
      <c r="D440" s="306">
        <f t="shared" ca="1" si="182"/>
        <v>-0.65976115574273342</v>
      </c>
      <c r="E440" s="307">
        <f t="shared" ca="1" si="183"/>
        <v>-0.90594863142006332</v>
      </c>
      <c r="F440" s="304">
        <f t="shared" ca="1" si="184"/>
        <v>1.1207264186227044</v>
      </c>
      <c r="G440" s="306">
        <f t="shared" ca="1" si="185"/>
        <v>7.2958381578332663</v>
      </c>
      <c r="H440" s="307">
        <f t="shared" ca="1" si="186"/>
        <v>-98.464670728839394</v>
      </c>
      <c r="I440" s="304">
        <f t="shared" ca="1" si="187"/>
        <v>98.734596956507886</v>
      </c>
      <c r="J440" s="306">
        <f t="shared" ca="1" si="188"/>
        <v>678.53524446899166</v>
      </c>
      <c r="K440" s="307">
        <f t="shared" ca="1" si="189"/>
        <v>-3.4618804495143318</v>
      </c>
      <c r="L440" s="304">
        <f t="shared" ca="1" si="174"/>
        <v>678.54407565230497</v>
      </c>
      <c r="M440" s="306">
        <f t="shared" ca="1" si="190"/>
        <v>-1.4968354837500004</v>
      </c>
      <c r="N440" s="304">
        <f t="shared" ca="1" si="191"/>
        <v>-85.762355844297943</v>
      </c>
      <c r="P440" s="310">
        <f t="shared" ca="1" si="192"/>
        <v>23</v>
      </c>
      <c r="Q440" s="304">
        <f t="shared" ca="1" si="193"/>
        <v>0</v>
      </c>
      <c r="R440" s="306">
        <f t="shared" ca="1" si="194"/>
        <v>0</v>
      </c>
      <c r="S440" s="307">
        <f t="shared" ca="1" si="195"/>
        <v>4.341000000000002</v>
      </c>
      <c r="T440" s="304">
        <f t="shared" ca="1" si="175"/>
        <v>42.585210000000025</v>
      </c>
      <c r="U440" s="311">
        <f t="shared" ca="1" si="176"/>
        <v>0</v>
      </c>
      <c r="V440" s="306">
        <f t="shared" ca="1" si="177"/>
        <v>1.2254241537735484</v>
      </c>
      <c r="W440" s="304">
        <f t="shared" ca="1" si="178"/>
        <v>38.75855440286724</v>
      </c>
      <c r="Y440" s="314" t="str">
        <f t="shared" ca="1" si="196"/>
        <v/>
      </c>
      <c r="Z440" s="315" t="str">
        <f t="shared" ca="1" si="197"/>
        <v/>
      </c>
      <c r="AA440" s="316" t="str">
        <f t="shared" ca="1" si="198"/>
        <v/>
      </c>
      <c r="AC440" s="310" t="e">
        <f t="shared" ca="1" si="199"/>
        <v>#N/A</v>
      </c>
      <c r="AD440" s="323" t="e">
        <f t="shared" ca="1" si="200"/>
        <v>#N/A</v>
      </c>
      <c r="AE440" s="324" t="e">
        <f t="shared" ca="1" si="179"/>
        <v>#N/A</v>
      </c>
      <c r="AG440" s="306">
        <f t="shared" ca="1" si="201"/>
        <v>0.85471934993402421</v>
      </c>
      <c r="AH440" s="304">
        <f t="shared" ca="1" si="202"/>
        <v>-8.9284609847911209</v>
      </c>
    </row>
    <row r="441" spans="1:34" x14ac:dyDescent="0.2">
      <c r="A441" s="347">
        <f t="shared" ca="1" si="180"/>
        <v>1E-4</v>
      </c>
      <c r="B441" s="304">
        <f t="shared" ca="1" si="181"/>
        <v>28.606100000000126</v>
      </c>
      <c r="D441" s="306">
        <f t="shared" ca="1" si="182"/>
        <v>-0.65975641034972399</v>
      </c>
      <c r="E441" s="307">
        <f t="shared" ca="1" si="183"/>
        <v>-0.90592396363964056</v>
      </c>
      <c r="F441" s="304">
        <f t="shared" ca="1" si="184"/>
        <v>1.1207036846973022</v>
      </c>
      <c r="G441" s="306">
        <f t="shared" ca="1" si="185"/>
        <v>7.2957721821922314</v>
      </c>
      <c r="H441" s="307">
        <f t="shared" ca="1" si="186"/>
        <v>-98.464761321235756</v>
      </c>
      <c r="I441" s="304">
        <f t="shared" ca="1" si="187"/>
        <v>98.734682426097734</v>
      </c>
      <c r="J441" s="306">
        <f t="shared" ca="1" si="188"/>
        <v>678.53524446899166</v>
      </c>
      <c r="K441" s="307">
        <f t="shared" ca="1" si="189"/>
        <v>-3.4717269211168356</v>
      </c>
      <c r="L441" s="304">
        <f t="shared" ca="1" si="174"/>
        <v>678.544125959697</v>
      </c>
      <c r="M441" s="306">
        <f t="shared" ca="1" si="190"/>
        <v>-1.4968362179343246</v>
      </c>
      <c r="N441" s="304">
        <f t="shared" ca="1" si="191"/>
        <v>-85.762397909961109</v>
      </c>
      <c r="P441" s="310">
        <f t="shared" ca="1" si="192"/>
        <v>23</v>
      </c>
      <c r="Q441" s="304">
        <f t="shared" ca="1" si="193"/>
        <v>0</v>
      </c>
      <c r="R441" s="306">
        <f t="shared" ca="1" si="194"/>
        <v>0</v>
      </c>
      <c r="S441" s="307">
        <f t="shared" ca="1" si="195"/>
        <v>4.341000000000002</v>
      </c>
      <c r="T441" s="304">
        <f t="shared" ca="1" si="175"/>
        <v>42.585210000000025</v>
      </c>
      <c r="U441" s="311">
        <f t="shared" ca="1" si="176"/>
        <v>0</v>
      </c>
      <c r="V441" s="306">
        <f t="shared" ca="1" si="177"/>
        <v>1.2254253603845919</v>
      </c>
      <c r="W441" s="304">
        <f t="shared" ca="1" si="178"/>
        <v>38.758659669157062</v>
      </c>
      <c r="Y441" s="314" t="str">
        <f t="shared" ca="1" si="196"/>
        <v/>
      </c>
      <c r="Z441" s="315" t="str">
        <f t="shared" ca="1" si="197"/>
        <v/>
      </c>
      <c r="AA441" s="316" t="str">
        <f t="shared" ca="1" si="198"/>
        <v/>
      </c>
      <c r="AC441" s="310" t="e">
        <f t="shared" ca="1" si="199"/>
        <v>#N/A</v>
      </c>
      <c r="AD441" s="323" t="e">
        <f t="shared" ca="1" si="200"/>
        <v>#N/A</v>
      </c>
      <c r="AE441" s="324" t="e">
        <f t="shared" ca="1" si="179"/>
        <v>#N/A</v>
      </c>
      <c r="AG441" s="306">
        <f t="shared" ca="1" si="201"/>
        <v>0.85469563246214797</v>
      </c>
      <c r="AH441" s="304">
        <f t="shared" ca="1" si="202"/>
        <v>-8.9284852344775913</v>
      </c>
    </row>
    <row r="442" spans="1:34" x14ac:dyDescent="0.2">
      <c r="A442" s="347">
        <f t="shared" ca="1" si="180"/>
        <v>1E-4</v>
      </c>
      <c r="B442" s="304">
        <f t="shared" ca="1" si="181"/>
        <v>28.606200000000126</v>
      </c>
      <c r="D442" s="306">
        <f t="shared" ca="1" si="182"/>
        <v>-0.65975166496406423</v>
      </c>
      <c r="E442" s="307">
        <f t="shared" ca="1" si="183"/>
        <v>-0.90589929623398113</v>
      </c>
      <c r="F442" s="304">
        <f t="shared" ca="1" si="184"/>
        <v>1.1206809511810563</v>
      </c>
      <c r="G442" s="306">
        <f t="shared" ca="1" si="185"/>
        <v>7.2957062070257352</v>
      </c>
      <c r="H442" s="307">
        <f t="shared" ca="1" si="186"/>
        <v>-98.464851911165383</v>
      </c>
      <c r="I442" s="304">
        <f t="shared" ca="1" si="187"/>
        <v>98.73476789331589</v>
      </c>
      <c r="J442" s="306">
        <f t="shared" ca="1" si="188"/>
        <v>678.53524446899166</v>
      </c>
      <c r="K442" s="307">
        <f t="shared" ca="1" si="189"/>
        <v>-3.4815734017784554</v>
      </c>
      <c r="L442" s="304">
        <f t="shared" ca="1" si="174"/>
        <v>678.54417641001555</v>
      </c>
      <c r="M442" s="306">
        <f t="shared" ca="1" si="190"/>
        <v>-1.496836952110739</v>
      </c>
      <c r="N442" s="304">
        <f t="shared" ca="1" si="191"/>
        <v>-85.762439975171063</v>
      </c>
      <c r="P442" s="310">
        <f t="shared" ca="1" si="192"/>
        <v>23</v>
      </c>
      <c r="Q442" s="304">
        <f t="shared" ca="1" si="193"/>
        <v>0</v>
      </c>
      <c r="R442" s="306">
        <f t="shared" ca="1" si="194"/>
        <v>0</v>
      </c>
      <c r="S442" s="307">
        <f t="shared" ca="1" si="195"/>
        <v>4.341000000000002</v>
      </c>
      <c r="T442" s="304">
        <f t="shared" ca="1" si="175"/>
        <v>42.585210000000025</v>
      </c>
      <c r="U442" s="311">
        <f t="shared" ca="1" si="176"/>
        <v>0</v>
      </c>
      <c r="V442" s="306">
        <f t="shared" ca="1" si="177"/>
        <v>1.2254265669979338</v>
      </c>
      <c r="W442" s="304">
        <f t="shared" ca="1" si="178"/>
        <v>38.758764933847779</v>
      </c>
      <c r="Y442" s="314" t="str">
        <f t="shared" ca="1" si="196"/>
        <v/>
      </c>
      <c r="Z442" s="315" t="str">
        <f t="shared" ca="1" si="197"/>
        <v/>
      </c>
      <c r="AA442" s="316" t="str">
        <f t="shared" ca="1" si="198"/>
        <v/>
      </c>
      <c r="AC442" s="310" t="e">
        <f t="shared" ca="1" si="199"/>
        <v>#N/A</v>
      </c>
      <c r="AD442" s="323" t="e">
        <f t="shared" ca="1" si="200"/>
        <v>#N/A</v>
      </c>
      <c r="AE442" s="324" t="e">
        <f t="shared" ca="1" si="179"/>
        <v>#N/A</v>
      </c>
      <c r="AG442" s="306">
        <f t="shared" ca="1" si="201"/>
        <v>0.8546719153476463</v>
      </c>
      <c r="AH442" s="304">
        <f t="shared" ca="1" si="202"/>
        <v>-8.9285094837956791</v>
      </c>
    </row>
    <row r="443" spans="1:34" x14ac:dyDescent="0.2">
      <c r="A443" s="347">
        <f t="shared" ca="1" si="180"/>
        <v>1E-4</v>
      </c>
      <c r="B443" s="304">
        <f t="shared" ca="1" si="181"/>
        <v>28.606300000000125</v>
      </c>
      <c r="D443" s="306">
        <f t="shared" ca="1" si="182"/>
        <v>-0.65974691958575005</v>
      </c>
      <c r="E443" s="307">
        <f t="shared" ca="1" si="183"/>
        <v>-0.9058746292030726</v>
      </c>
      <c r="F443" s="304">
        <f t="shared" ca="1" si="184"/>
        <v>1.1206582180739544</v>
      </c>
      <c r="G443" s="306">
        <f t="shared" ca="1" si="185"/>
        <v>7.2956402323337768</v>
      </c>
      <c r="H443" s="307">
        <f t="shared" ca="1" si="186"/>
        <v>-98.464942498628304</v>
      </c>
      <c r="I443" s="304">
        <f t="shared" ca="1" si="187"/>
        <v>98.734853358162368</v>
      </c>
      <c r="J443" s="306">
        <f t="shared" ca="1" si="188"/>
        <v>678.53524446899166</v>
      </c>
      <c r="K443" s="307">
        <f t="shared" ca="1" si="189"/>
        <v>-3.4914198914989449</v>
      </c>
      <c r="L443" s="304">
        <f t="shared" ca="1" si="174"/>
        <v>678.54422700326108</v>
      </c>
      <c r="M443" s="306">
        <f t="shared" ca="1" si="190"/>
        <v>-1.496837686279243</v>
      </c>
      <c r="N443" s="304">
        <f t="shared" ca="1" si="191"/>
        <v>-85.762482039927789</v>
      </c>
      <c r="P443" s="310">
        <f t="shared" ca="1" si="192"/>
        <v>23</v>
      </c>
      <c r="Q443" s="304">
        <f t="shared" ca="1" si="193"/>
        <v>0</v>
      </c>
      <c r="R443" s="306">
        <f t="shared" ca="1" si="194"/>
        <v>0</v>
      </c>
      <c r="S443" s="307">
        <f t="shared" ca="1" si="195"/>
        <v>4.341000000000002</v>
      </c>
      <c r="T443" s="304">
        <f t="shared" ca="1" si="175"/>
        <v>42.585210000000025</v>
      </c>
      <c r="U443" s="311">
        <f t="shared" ca="1" si="176"/>
        <v>0</v>
      </c>
      <c r="V443" s="306">
        <f t="shared" ca="1" si="177"/>
        <v>1.2254277736135739</v>
      </c>
      <c r="W443" s="304">
        <f t="shared" ca="1" si="178"/>
        <v>38.758870196939377</v>
      </c>
      <c r="Y443" s="314" t="str">
        <f t="shared" ca="1" si="196"/>
        <v/>
      </c>
      <c r="Z443" s="315" t="str">
        <f t="shared" ca="1" si="197"/>
        <v/>
      </c>
      <c r="AA443" s="316" t="str">
        <f t="shared" ca="1" si="198"/>
        <v/>
      </c>
      <c r="AC443" s="310" t="e">
        <f t="shared" ca="1" si="199"/>
        <v>#N/A</v>
      </c>
      <c r="AD443" s="323" t="e">
        <f t="shared" ca="1" si="200"/>
        <v>#N/A</v>
      </c>
      <c r="AE443" s="324" t="e">
        <f t="shared" ca="1" si="179"/>
        <v>#N/A</v>
      </c>
      <c r="AG443" s="306">
        <f t="shared" ca="1" si="201"/>
        <v>0.85464819859051033</v>
      </c>
      <c r="AH443" s="304">
        <f t="shared" ca="1" si="202"/>
        <v>-8.9285337327453949</v>
      </c>
    </row>
    <row r="444" spans="1:34" x14ac:dyDescent="0.2">
      <c r="A444" s="347">
        <f t="shared" ca="1" si="180"/>
        <v>1E-4</v>
      </c>
      <c r="B444" s="304">
        <f t="shared" ca="1" si="181"/>
        <v>28.606400000000125</v>
      </c>
      <c r="D444" s="306">
        <f t="shared" ca="1" si="182"/>
        <v>-0.65974217421478676</v>
      </c>
      <c r="E444" s="307">
        <f t="shared" ca="1" si="183"/>
        <v>-0.9058499625469203</v>
      </c>
      <c r="F444" s="304">
        <f t="shared" ca="1" si="184"/>
        <v>1.1206354853760034</v>
      </c>
      <c r="G444" s="306">
        <f t="shared" ca="1" si="185"/>
        <v>7.2955742581163552</v>
      </c>
      <c r="H444" s="307">
        <f t="shared" ca="1" si="186"/>
        <v>-98.465033083624562</v>
      </c>
      <c r="I444" s="304">
        <f t="shared" ca="1" si="187"/>
        <v>98.734938820637197</v>
      </c>
      <c r="J444" s="306">
        <f t="shared" ca="1" si="188"/>
        <v>678.53524446899166</v>
      </c>
      <c r="K444" s="307">
        <f t="shared" ca="1" si="189"/>
        <v>-3.5012663902780576</v>
      </c>
      <c r="L444" s="304">
        <f t="shared" ca="1" si="174"/>
        <v>678.54427773943382</v>
      </c>
      <c r="M444" s="306">
        <f t="shared" ca="1" si="190"/>
        <v>-1.4968384204398371</v>
      </c>
      <c r="N444" s="304">
        <f t="shared" ca="1" si="191"/>
        <v>-85.762524104231318</v>
      </c>
      <c r="P444" s="310">
        <f t="shared" ca="1" si="192"/>
        <v>23</v>
      </c>
      <c r="Q444" s="304">
        <f t="shared" ca="1" si="193"/>
        <v>0</v>
      </c>
      <c r="R444" s="306">
        <f t="shared" ca="1" si="194"/>
        <v>0</v>
      </c>
      <c r="S444" s="307">
        <f t="shared" ca="1" si="195"/>
        <v>4.341000000000002</v>
      </c>
      <c r="T444" s="304">
        <f t="shared" ca="1" si="175"/>
        <v>42.585210000000025</v>
      </c>
      <c r="U444" s="311">
        <f t="shared" ca="1" si="176"/>
        <v>0</v>
      </c>
      <c r="V444" s="306">
        <f t="shared" ca="1" si="177"/>
        <v>1.2254289802315124</v>
      </c>
      <c r="W444" s="304">
        <f t="shared" ca="1" si="178"/>
        <v>38.758975458431891</v>
      </c>
      <c r="Y444" s="314" t="str">
        <f t="shared" ca="1" si="196"/>
        <v/>
      </c>
      <c r="Z444" s="315" t="str">
        <f t="shared" ca="1" si="197"/>
        <v/>
      </c>
      <c r="AA444" s="316" t="str">
        <f t="shared" ca="1" si="198"/>
        <v/>
      </c>
      <c r="AC444" s="310" t="e">
        <f t="shared" ca="1" si="199"/>
        <v>#N/A</v>
      </c>
      <c r="AD444" s="323" t="e">
        <f t="shared" ca="1" si="200"/>
        <v>#N/A</v>
      </c>
      <c r="AE444" s="324" t="e">
        <f t="shared" ca="1" si="179"/>
        <v>#N/A</v>
      </c>
      <c r="AG444" s="306">
        <f t="shared" ca="1" si="201"/>
        <v>0.85462448219074183</v>
      </c>
      <c r="AH444" s="304">
        <f t="shared" ca="1" si="202"/>
        <v>-8.9285579813267351</v>
      </c>
    </row>
    <row r="445" spans="1:34" x14ac:dyDescent="0.2">
      <c r="A445" s="347">
        <f t="shared" ca="1" si="180"/>
        <v>1E-4</v>
      </c>
      <c r="B445" s="304">
        <f t="shared" ca="1" si="181"/>
        <v>28.606500000000125</v>
      </c>
      <c r="D445" s="306">
        <f t="shared" ca="1" si="182"/>
        <v>-0.65973742885117248</v>
      </c>
      <c r="E445" s="307">
        <f t="shared" ca="1" si="183"/>
        <v>-0.90582529626551533</v>
      </c>
      <c r="F445" s="304">
        <f t="shared" ca="1" si="184"/>
        <v>1.1206127530871959</v>
      </c>
      <c r="G445" s="306">
        <f t="shared" ca="1" si="185"/>
        <v>7.2955082843734704</v>
      </c>
      <c r="H445" s="307">
        <f t="shared" ca="1" si="186"/>
        <v>-98.465123666154184</v>
      </c>
      <c r="I445" s="304">
        <f t="shared" ca="1" si="187"/>
        <v>98.735024280740419</v>
      </c>
      <c r="J445" s="306">
        <f t="shared" ca="1" si="188"/>
        <v>678.53524446899166</v>
      </c>
      <c r="K445" s="307">
        <f t="shared" ca="1" si="189"/>
        <v>-3.5111128981155466</v>
      </c>
      <c r="L445" s="304">
        <f t="shared" ca="1" si="174"/>
        <v>678.54432861853445</v>
      </c>
      <c r="M445" s="306">
        <f t="shared" ca="1" si="190"/>
        <v>-1.4968391545925213</v>
      </c>
      <c r="N445" s="304">
        <f t="shared" ca="1" si="191"/>
        <v>-85.762566168081648</v>
      </c>
      <c r="P445" s="310">
        <f t="shared" ca="1" si="192"/>
        <v>23</v>
      </c>
      <c r="Q445" s="304">
        <f t="shared" ca="1" si="193"/>
        <v>0</v>
      </c>
      <c r="R445" s="306">
        <f t="shared" ca="1" si="194"/>
        <v>0</v>
      </c>
      <c r="S445" s="307">
        <f t="shared" ca="1" si="195"/>
        <v>4.341000000000002</v>
      </c>
      <c r="T445" s="304">
        <f t="shared" ca="1" si="175"/>
        <v>42.585210000000025</v>
      </c>
      <c r="U445" s="311">
        <f t="shared" ca="1" si="176"/>
        <v>0</v>
      </c>
      <c r="V445" s="306">
        <f t="shared" ca="1" si="177"/>
        <v>1.2254301868517494</v>
      </c>
      <c r="W445" s="304">
        <f t="shared" ca="1" si="178"/>
        <v>38.759080718325322</v>
      </c>
      <c r="Y445" s="314" t="str">
        <f t="shared" ca="1" si="196"/>
        <v/>
      </c>
      <c r="Z445" s="315" t="str">
        <f t="shared" ca="1" si="197"/>
        <v/>
      </c>
      <c r="AA445" s="316" t="str">
        <f t="shared" ca="1" si="198"/>
        <v/>
      </c>
      <c r="AC445" s="310" t="e">
        <f t="shared" ca="1" si="199"/>
        <v>#N/A</v>
      </c>
      <c r="AD445" s="323" t="e">
        <f t="shared" ca="1" si="200"/>
        <v>#N/A</v>
      </c>
      <c r="AE445" s="324" t="e">
        <f t="shared" ca="1" si="179"/>
        <v>#N/A</v>
      </c>
      <c r="AG445" s="306">
        <f t="shared" ca="1" si="201"/>
        <v>0.85460076614833369</v>
      </c>
      <c r="AH445" s="304">
        <f t="shared" ca="1" si="202"/>
        <v>-8.9285822295397086</v>
      </c>
    </row>
    <row r="446" spans="1:34" x14ac:dyDescent="0.2">
      <c r="A446" s="347">
        <f t="shared" ca="1" si="180"/>
        <v>1E-4</v>
      </c>
      <c r="B446" s="304">
        <f t="shared" ca="1" si="181"/>
        <v>28.606600000000125</v>
      </c>
      <c r="D446" s="306">
        <f t="shared" ca="1" si="182"/>
        <v>-0.65973268349490832</v>
      </c>
      <c r="E446" s="307">
        <f t="shared" ca="1" si="183"/>
        <v>-0.90580063035885772</v>
      </c>
      <c r="F446" s="304">
        <f t="shared" ca="1" si="184"/>
        <v>1.1205900212075319</v>
      </c>
      <c r="G446" s="306">
        <f t="shared" ca="1" si="185"/>
        <v>7.2954423111051208</v>
      </c>
      <c r="H446" s="307">
        <f t="shared" ca="1" si="186"/>
        <v>-98.465214246217215</v>
      </c>
      <c r="I446" s="304">
        <f t="shared" ca="1" si="187"/>
        <v>98.735109738472062</v>
      </c>
      <c r="J446" s="306">
        <f t="shared" ca="1" si="188"/>
        <v>678.53524446899166</v>
      </c>
      <c r="K446" s="307">
        <f t="shared" ca="1" si="189"/>
        <v>-3.5209594150111654</v>
      </c>
      <c r="L446" s="304">
        <f t="shared" ca="1" si="174"/>
        <v>678.54437964056297</v>
      </c>
      <c r="M446" s="306">
        <f t="shared" ca="1" si="190"/>
        <v>-1.4968398887372956</v>
      </c>
      <c r="N446" s="304">
        <f t="shared" ca="1" si="191"/>
        <v>-85.762608231478765</v>
      </c>
      <c r="P446" s="310">
        <f t="shared" ca="1" si="192"/>
        <v>23</v>
      </c>
      <c r="Q446" s="304">
        <f t="shared" ca="1" si="193"/>
        <v>0</v>
      </c>
      <c r="R446" s="306">
        <f t="shared" ca="1" si="194"/>
        <v>0</v>
      </c>
      <c r="S446" s="307">
        <f t="shared" ca="1" si="195"/>
        <v>4.341000000000002</v>
      </c>
      <c r="T446" s="304">
        <f t="shared" ca="1" si="175"/>
        <v>42.585210000000025</v>
      </c>
      <c r="U446" s="311">
        <f t="shared" ca="1" si="176"/>
        <v>0</v>
      </c>
      <c r="V446" s="306">
        <f t="shared" ca="1" si="177"/>
        <v>1.2254313934742846</v>
      </c>
      <c r="W446" s="304">
        <f t="shared" ca="1" si="178"/>
        <v>38.759185976619712</v>
      </c>
      <c r="Y446" s="314" t="str">
        <f t="shared" ca="1" si="196"/>
        <v/>
      </c>
      <c r="Z446" s="315" t="str">
        <f t="shared" ca="1" si="197"/>
        <v/>
      </c>
      <c r="AA446" s="316" t="str">
        <f t="shared" ca="1" si="198"/>
        <v/>
      </c>
      <c r="AC446" s="310" t="e">
        <f t="shared" ca="1" si="199"/>
        <v>#N/A</v>
      </c>
      <c r="AD446" s="323" t="e">
        <f t="shared" ca="1" si="200"/>
        <v>#N/A</v>
      </c>
      <c r="AE446" s="324" t="e">
        <f t="shared" ca="1" si="179"/>
        <v>#N/A</v>
      </c>
      <c r="AG446" s="306">
        <f t="shared" ca="1" si="201"/>
        <v>0.85457705046328947</v>
      </c>
      <c r="AH446" s="304">
        <f t="shared" ca="1" si="202"/>
        <v>-8.9286064773843137</v>
      </c>
    </row>
    <row r="447" spans="1:34" x14ac:dyDescent="0.2">
      <c r="A447" s="347">
        <f t="shared" ca="1" si="180"/>
        <v>1E-4</v>
      </c>
      <c r="B447" s="304">
        <f t="shared" ca="1" si="181"/>
        <v>28.606700000000124</v>
      </c>
      <c r="D447" s="306">
        <f t="shared" ca="1" si="182"/>
        <v>-0.65972793814599651</v>
      </c>
      <c r="E447" s="307">
        <f t="shared" ca="1" si="183"/>
        <v>-0.90577596482693856</v>
      </c>
      <c r="F447" s="304">
        <f t="shared" ca="1" si="184"/>
        <v>1.120567289737006</v>
      </c>
      <c r="G447" s="306">
        <f t="shared" ca="1" si="185"/>
        <v>7.2953763383113062</v>
      </c>
      <c r="H447" s="307">
        <f t="shared" ca="1" si="186"/>
        <v>-98.465304823813696</v>
      </c>
      <c r="I447" s="304">
        <f t="shared" ca="1" si="187"/>
        <v>98.735195193832183</v>
      </c>
      <c r="J447" s="306">
        <f t="shared" ca="1" si="188"/>
        <v>678.53524446899166</v>
      </c>
      <c r="K447" s="307">
        <f t="shared" ca="1" si="189"/>
        <v>-3.530805940964667</v>
      </c>
      <c r="L447" s="304">
        <f t="shared" ca="1" si="174"/>
        <v>678.54443080551994</v>
      </c>
      <c r="M447" s="306">
        <f t="shared" ca="1" si="190"/>
        <v>-1.4968406228741602</v>
      </c>
      <c r="N447" s="304">
        <f t="shared" ca="1" si="191"/>
        <v>-85.762650294422684</v>
      </c>
      <c r="P447" s="310">
        <f t="shared" ca="1" si="192"/>
        <v>23</v>
      </c>
      <c r="Q447" s="304">
        <f t="shared" ca="1" si="193"/>
        <v>0</v>
      </c>
      <c r="R447" s="306">
        <f t="shared" ca="1" si="194"/>
        <v>0</v>
      </c>
      <c r="S447" s="307">
        <f t="shared" ca="1" si="195"/>
        <v>4.341000000000002</v>
      </c>
      <c r="T447" s="304">
        <f t="shared" ca="1" si="175"/>
        <v>42.585210000000025</v>
      </c>
      <c r="U447" s="311">
        <f t="shared" ca="1" si="176"/>
        <v>0</v>
      </c>
      <c r="V447" s="306">
        <f t="shared" ca="1" si="177"/>
        <v>1.2254326000991183</v>
      </c>
      <c r="W447" s="304">
        <f t="shared" ca="1" si="178"/>
        <v>38.759291233315054</v>
      </c>
      <c r="Y447" s="314" t="str">
        <f t="shared" ca="1" si="196"/>
        <v/>
      </c>
      <c r="Z447" s="315" t="str">
        <f t="shared" ca="1" si="197"/>
        <v/>
      </c>
      <c r="AA447" s="316" t="str">
        <f t="shared" ca="1" si="198"/>
        <v/>
      </c>
      <c r="AC447" s="310" t="e">
        <f t="shared" ca="1" si="199"/>
        <v>#N/A</v>
      </c>
      <c r="AD447" s="323" t="e">
        <f t="shared" ca="1" si="200"/>
        <v>#N/A</v>
      </c>
      <c r="AE447" s="324" t="e">
        <f t="shared" ca="1" si="179"/>
        <v>#N/A</v>
      </c>
      <c r="AG447" s="306">
        <f t="shared" ca="1" si="201"/>
        <v>0.85455333513559317</v>
      </c>
      <c r="AH447" s="304">
        <f t="shared" ca="1" si="202"/>
        <v>-8.928630724860561</v>
      </c>
    </row>
    <row r="448" spans="1:34" x14ac:dyDescent="0.2">
      <c r="A448" s="347">
        <f t="shared" ca="1" si="180"/>
        <v>1E-4</v>
      </c>
      <c r="B448" s="304">
        <f t="shared" ca="1" si="181"/>
        <v>28.606800000000124</v>
      </c>
      <c r="D448" s="306">
        <f t="shared" ca="1" si="182"/>
        <v>-0.65972319280443648</v>
      </c>
      <c r="E448" s="307">
        <f t="shared" ca="1" si="183"/>
        <v>-0.90575129966975787</v>
      </c>
      <c r="F448" s="304">
        <f t="shared" ca="1" si="184"/>
        <v>1.120544558675618</v>
      </c>
      <c r="G448" s="306">
        <f t="shared" ca="1" si="185"/>
        <v>7.2953103659920258</v>
      </c>
      <c r="H448" s="307">
        <f t="shared" ca="1" si="186"/>
        <v>-98.46539539894367</v>
      </c>
      <c r="I448" s="304">
        <f t="shared" ca="1" si="187"/>
        <v>98.735280646820812</v>
      </c>
      <c r="J448" s="306">
        <f t="shared" ca="1" si="188"/>
        <v>678.53524446899166</v>
      </c>
      <c r="K448" s="307">
        <f t="shared" ca="1" si="189"/>
        <v>-3.5406524759758051</v>
      </c>
      <c r="L448" s="304">
        <f t="shared" ca="1" si="174"/>
        <v>678.54448211340571</v>
      </c>
      <c r="M448" s="306">
        <f t="shared" ca="1" si="190"/>
        <v>-1.4968413570031154</v>
      </c>
      <c r="N448" s="304">
        <f t="shared" ca="1" si="191"/>
        <v>-85.762692356913448</v>
      </c>
      <c r="P448" s="310">
        <f t="shared" ca="1" si="192"/>
        <v>23</v>
      </c>
      <c r="Q448" s="304">
        <f t="shared" ca="1" si="193"/>
        <v>0</v>
      </c>
      <c r="R448" s="306">
        <f t="shared" ca="1" si="194"/>
        <v>0</v>
      </c>
      <c r="S448" s="307">
        <f t="shared" ca="1" si="195"/>
        <v>4.341000000000002</v>
      </c>
      <c r="T448" s="304">
        <f t="shared" ca="1" si="175"/>
        <v>42.585210000000025</v>
      </c>
      <c r="U448" s="311">
        <f t="shared" ca="1" si="176"/>
        <v>0</v>
      </c>
      <c r="V448" s="306">
        <f t="shared" ca="1" si="177"/>
        <v>1.22543380672625</v>
      </c>
      <c r="W448" s="304">
        <f t="shared" ca="1" si="178"/>
        <v>38.75939648841139</v>
      </c>
      <c r="Y448" s="314" t="str">
        <f t="shared" ca="1" si="196"/>
        <v/>
      </c>
      <c r="Z448" s="315" t="str">
        <f t="shared" ca="1" si="197"/>
        <v/>
      </c>
      <c r="AA448" s="316" t="str">
        <f t="shared" ca="1" si="198"/>
        <v/>
      </c>
      <c r="AC448" s="310" t="e">
        <f t="shared" ca="1" si="199"/>
        <v>#N/A</v>
      </c>
      <c r="AD448" s="323" t="e">
        <f t="shared" ca="1" si="200"/>
        <v>#N/A</v>
      </c>
      <c r="AE448" s="324" t="e">
        <f t="shared" ca="1" si="179"/>
        <v>#N/A</v>
      </c>
      <c r="AG448" s="306">
        <f t="shared" ca="1" si="201"/>
        <v>0.85452962016525191</v>
      </c>
      <c r="AH448" s="304">
        <f t="shared" ca="1" si="202"/>
        <v>-8.9286549719684487</v>
      </c>
    </row>
    <row r="449" spans="1:34" x14ac:dyDescent="0.2">
      <c r="A449" s="347">
        <f t="shared" ca="1" si="180"/>
        <v>1E-4</v>
      </c>
      <c r="B449" s="304">
        <f t="shared" ca="1" si="181"/>
        <v>28.606900000000124</v>
      </c>
      <c r="D449" s="306">
        <f t="shared" ca="1" si="182"/>
        <v>-0.65971844747022823</v>
      </c>
      <c r="E449" s="307">
        <f t="shared" ca="1" si="183"/>
        <v>-0.90572663488730676</v>
      </c>
      <c r="F449" s="304">
        <f t="shared" ca="1" si="184"/>
        <v>1.1205218280233602</v>
      </c>
      <c r="G449" s="306">
        <f t="shared" ca="1" si="185"/>
        <v>7.2952443941472787</v>
      </c>
      <c r="H449" s="307">
        <f t="shared" ca="1" si="186"/>
        <v>-98.465485971607166</v>
      </c>
      <c r="I449" s="304">
        <f t="shared" ca="1" si="187"/>
        <v>98.735366097437989</v>
      </c>
      <c r="J449" s="306">
        <f t="shared" ca="1" si="188"/>
        <v>678.53524446899166</v>
      </c>
      <c r="K449" s="307">
        <f t="shared" ca="1" si="189"/>
        <v>-3.5504990200443327</v>
      </c>
      <c r="L449" s="304">
        <f t="shared" ca="1" si="174"/>
        <v>678.5445335642205</v>
      </c>
      <c r="M449" s="306">
        <f t="shared" ca="1" si="190"/>
        <v>-1.4968420911241609</v>
      </c>
      <c r="N449" s="304">
        <f t="shared" ca="1" si="191"/>
        <v>-85.762734418950998</v>
      </c>
      <c r="P449" s="310">
        <f t="shared" ca="1" si="192"/>
        <v>23</v>
      </c>
      <c r="Q449" s="304">
        <f t="shared" ca="1" si="193"/>
        <v>0</v>
      </c>
      <c r="R449" s="306">
        <f t="shared" ca="1" si="194"/>
        <v>0</v>
      </c>
      <c r="S449" s="307">
        <f t="shared" ca="1" si="195"/>
        <v>4.341000000000002</v>
      </c>
      <c r="T449" s="304">
        <f t="shared" ca="1" si="175"/>
        <v>42.585210000000025</v>
      </c>
      <c r="U449" s="311">
        <f t="shared" ca="1" si="176"/>
        <v>0</v>
      </c>
      <c r="V449" s="306">
        <f t="shared" ca="1" si="177"/>
        <v>1.2254350133556804</v>
      </c>
      <c r="W449" s="304">
        <f t="shared" ca="1" si="178"/>
        <v>38.759501741908743</v>
      </c>
      <c r="Y449" s="314" t="str">
        <f t="shared" ca="1" si="196"/>
        <v/>
      </c>
      <c r="Z449" s="315" t="str">
        <f t="shared" ca="1" si="197"/>
        <v/>
      </c>
      <c r="AA449" s="316" t="str">
        <f t="shared" ca="1" si="198"/>
        <v/>
      </c>
      <c r="AC449" s="310" t="e">
        <f t="shared" ca="1" si="199"/>
        <v>#N/A</v>
      </c>
      <c r="AD449" s="323" t="e">
        <f t="shared" ca="1" si="200"/>
        <v>#N/A</v>
      </c>
      <c r="AE449" s="324" t="e">
        <f t="shared" ca="1" si="179"/>
        <v>#N/A</v>
      </c>
      <c r="AG449" s="306">
        <f t="shared" ca="1" si="201"/>
        <v>0.85450590555225503</v>
      </c>
      <c r="AH449" s="304">
        <f t="shared" ca="1" si="202"/>
        <v>-8.9286792187079875</v>
      </c>
    </row>
    <row r="450" spans="1:34" x14ac:dyDescent="0.2">
      <c r="A450" s="347">
        <f t="shared" ca="1" si="180"/>
        <v>1E-4</v>
      </c>
      <c r="B450" s="304">
        <f t="shared" ca="1" si="181"/>
        <v>28.607000000000124</v>
      </c>
      <c r="D450" s="306">
        <f t="shared" ca="1" si="182"/>
        <v>-0.65971370214337544</v>
      </c>
      <c r="E450" s="307">
        <f t="shared" ca="1" si="183"/>
        <v>-0.9057019704795799</v>
      </c>
      <c r="F450" s="304">
        <f t="shared" ca="1" si="184"/>
        <v>1.1204990977802312</v>
      </c>
      <c r="G450" s="306">
        <f t="shared" ca="1" si="185"/>
        <v>7.295178422777064</v>
      </c>
      <c r="H450" s="307">
        <f t="shared" ca="1" si="186"/>
        <v>-98.465576541804211</v>
      </c>
      <c r="I450" s="304">
        <f t="shared" ca="1" si="187"/>
        <v>98.735451545683702</v>
      </c>
      <c r="J450" s="306">
        <f t="shared" ca="1" si="188"/>
        <v>678.53524446899166</v>
      </c>
      <c r="K450" s="307">
        <f t="shared" ca="1" si="189"/>
        <v>-3.5603455731700033</v>
      </c>
      <c r="L450" s="304">
        <f t="shared" ca="1" si="174"/>
        <v>678.54458515796489</v>
      </c>
      <c r="M450" s="306">
        <f t="shared" ca="1" si="190"/>
        <v>-1.4968428252372972</v>
      </c>
      <c r="N450" s="304">
        <f t="shared" ca="1" si="191"/>
        <v>-85.762776480535393</v>
      </c>
      <c r="P450" s="310">
        <f t="shared" ca="1" si="192"/>
        <v>23</v>
      </c>
      <c r="Q450" s="304">
        <f t="shared" ca="1" si="193"/>
        <v>0</v>
      </c>
      <c r="R450" s="306">
        <f t="shared" ca="1" si="194"/>
        <v>0</v>
      </c>
      <c r="S450" s="307">
        <f t="shared" ca="1" si="195"/>
        <v>4.341000000000002</v>
      </c>
      <c r="T450" s="304">
        <f t="shared" ca="1" si="175"/>
        <v>42.585210000000025</v>
      </c>
      <c r="U450" s="311">
        <f t="shared" ca="1" si="176"/>
        <v>0</v>
      </c>
      <c r="V450" s="306">
        <f t="shared" ca="1" si="177"/>
        <v>1.2254362199874083</v>
      </c>
      <c r="W450" s="304">
        <f t="shared" ca="1" si="178"/>
        <v>38.759606993807068</v>
      </c>
      <c r="Y450" s="314" t="str">
        <f t="shared" ca="1" si="196"/>
        <v/>
      </c>
      <c r="Z450" s="315" t="str">
        <f t="shared" ca="1" si="197"/>
        <v/>
      </c>
      <c r="AA450" s="316" t="str">
        <f t="shared" ca="1" si="198"/>
        <v/>
      </c>
      <c r="AC450" s="310" t="e">
        <f t="shared" ca="1" si="199"/>
        <v>#N/A</v>
      </c>
      <c r="AD450" s="323" t="e">
        <f t="shared" ca="1" si="200"/>
        <v>#N/A</v>
      </c>
      <c r="AE450" s="324" t="e">
        <f t="shared" ca="1" si="179"/>
        <v>#N/A</v>
      </c>
      <c r="AG450" s="306">
        <f t="shared" ca="1" si="201"/>
        <v>0.85448219129659542</v>
      </c>
      <c r="AH450" s="304">
        <f t="shared" ca="1" si="202"/>
        <v>-8.928703465079181</v>
      </c>
    </row>
    <row r="451" spans="1:34" x14ac:dyDescent="0.2">
      <c r="A451" s="347">
        <f t="shared" ca="1" si="180"/>
        <v>1E-4</v>
      </c>
      <c r="B451" s="304">
        <f t="shared" ca="1" si="181"/>
        <v>28.607100000000123</v>
      </c>
      <c r="D451" s="306">
        <f t="shared" ca="1" si="182"/>
        <v>-0.65970895682387487</v>
      </c>
      <c r="E451" s="307">
        <f t="shared" ca="1" si="183"/>
        <v>-0.90567730644658617</v>
      </c>
      <c r="F451" s="304">
        <f t="shared" ca="1" si="184"/>
        <v>1.120476367946236</v>
      </c>
      <c r="G451" s="306">
        <f t="shared" ca="1" si="185"/>
        <v>7.2951124518813817</v>
      </c>
      <c r="H451" s="307">
        <f t="shared" ca="1" si="186"/>
        <v>-98.465667109534849</v>
      </c>
      <c r="I451" s="304">
        <f t="shared" ca="1" si="187"/>
        <v>98.73553699155805</v>
      </c>
      <c r="J451" s="306">
        <f t="shared" ca="1" si="188"/>
        <v>678.53524446899166</v>
      </c>
      <c r="K451" s="307">
        <f t="shared" ca="1" si="189"/>
        <v>-3.5701921353525701</v>
      </c>
      <c r="L451" s="304">
        <f t="shared" ca="1" si="174"/>
        <v>678.5446368946391</v>
      </c>
      <c r="M451" s="306">
        <f t="shared" ca="1" si="190"/>
        <v>-1.4968435593425242</v>
      </c>
      <c r="N451" s="304">
        <f t="shared" ca="1" si="191"/>
        <v>-85.762818541666618</v>
      </c>
      <c r="P451" s="310">
        <f t="shared" ca="1" si="192"/>
        <v>23</v>
      </c>
      <c r="Q451" s="304">
        <f t="shared" ca="1" si="193"/>
        <v>0</v>
      </c>
      <c r="R451" s="306">
        <f t="shared" ca="1" si="194"/>
        <v>0</v>
      </c>
      <c r="S451" s="307">
        <f t="shared" ca="1" si="195"/>
        <v>4.341000000000002</v>
      </c>
      <c r="T451" s="304">
        <f t="shared" ca="1" si="175"/>
        <v>42.585210000000025</v>
      </c>
      <c r="U451" s="311">
        <f t="shared" ca="1" si="176"/>
        <v>0</v>
      </c>
      <c r="V451" s="306">
        <f t="shared" ca="1" si="177"/>
        <v>1.2254374266214352</v>
      </c>
      <c r="W451" s="304">
        <f t="shared" ca="1" si="178"/>
        <v>38.759712244106467</v>
      </c>
      <c r="Y451" s="314" t="str">
        <f t="shared" ca="1" si="196"/>
        <v/>
      </c>
      <c r="Z451" s="315" t="str">
        <f t="shared" ca="1" si="197"/>
        <v/>
      </c>
      <c r="AA451" s="316" t="str">
        <f t="shared" ca="1" si="198"/>
        <v/>
      </c>
      <c r="AC451" s="310" t="e">
        <f t="shared" ca="1" si="199"/>
        <v>#N/A</v>
      </c>
      <c r="AD451" s="323" t="e">
        <f t="shared" ca="1" si="200"/>
        <v>#N/A</v>
      </c>
      <c r="AE451" s="324" t="e">
        <f t="shared" ca="1" si="179"/>
        <v>#N/A</v>
      </c>
      <c r="AG451" s="306">
        <f t="shared" ca="1" si="201"/>
        <v>0.85445847739828729</v>
      </c>
      <c r="AH451" s="304">
        <f t="shared" ca="1" si="202"/>
        <v>-8.9287277110820202</v>
      </c>
    </row>
    <row r="452" spans="1:34" x14ac:dyDescent="0.2">
      <c r="A452" s="347">
        <f t="shared" ca="1" si="180"/>
        <v>1E-4</v>
      </c>
      <c r="B452" s="304">
        <f t="shared" ca="1" si="181"/>
        <v>28.607200000000123</v>
      </c>
      <c r="D452" s="306">
        <f t="shared" ca="1" si="182"/>
        <v>-0.65970421151172987</v>
      </c>
      <c r="E452" s="307">
        <f t="shared" ca="1" si="183"/>
        <v>-0.90565264278830426</v>
      </c>
      <c r="F452" s="304">
        <f t="shared" ca="1" si="184"/>
        <v>1.1204536385213595</v>
      </c>
      <c r="G452" s="306">
        <f t="shared" ca="1" si="185"/>
        <v>7.2950464814602309</v>
      </c>
      <c r="H452" s="307">
        <f t="shared" ca="1" si="186"/>
        <v>-98.465757674799121</v>
      </c>
      <c r="I452" s="304">
        <f t="shared" ca="1" si="187"/>
        <v>98.735622435061032</v>
      </c>
      <c r="J452" s="306">
        <f t="shared" ca="1" si="188"/>
        <v>678.53524446899166</v>
      </c>
      <c r="K452" s="307">
        <f t="shared" ca="1" si="189"/>
        <v>-3.5800387065917869</v>
      </c>
      <c r="L452" s="304">
        <f t="shared" ref="L452:L515" ca="1" si="203">SQRT(pos_x^2+pos_z^2)</f>
        <v>678.54468877424347</v>
      </c>
      <c r="M452" s="306">
        <f t="shared" ca="1" si="190"/>
        <v>-1.4968442934398423</v>
      </c>
      <c r="N452" s="304">
        <f t="shared" ca="1" si="191"/>
        <v>-85.762860602344702</v>
      </c>
      <c r="P452" s="310">
        <f t="shared" ca="1" si="192"/>
        <v>23</v>
      </c>
      <c r="Q452" s="304">
        <f t="shared" ca="1" si="193"/>
        <v>0</v>
      </c>
      <c r="R452" s="306">
        <f t="shared" ca="1" si="194"/>
        <v>0</v>
      </c>
      <c r="S452" s="307">
        <f t="shared" ca="1" si="195"/>
        <v>4.341000000000002</v>
      </c>
      <c r="T452" s="304">
        <f t="shared" ref="T452:T515" ca="1" si="204">m*g</f>
        <v>42.585210000000025</v>
      </c>
      <c r="U452" s="311">
        <f t="shared" ref="U452:U515" ca="1" si="205">IF(pos_xz&lt;L_rampe,Poids*COS(Beta),0)</f>
        <v>0</v>
      </c>
      <c r="V452" s="306">
        <f t="shared" ref="V452:V515" ca="1" si="206">Rho_moyen*(20000-Alt_rampe-pos_z)/(20000+Alt_rampe+pos_z)</f>
        <v>1.2254386332577594</v>
      </c>
      <c r="W452" s="304">
        <f t="shared" ref="W452:W515" ca="1" si="207">1/2*Rho*Sref*Cx*vit_xz^2</f>
        <v>38.759817492806881</v>
      </c>
      <c r="Y452" s="314" t="str">
        <f t="shared" ca="1" si="196"/>
        <v/>
      </c>
      <c r="Z452" s="315" t="str">
        <f t="shared" ca="1" si="197"/>
        <v/>
      </c>
      <c r="AA452" s="316" t="str">
        <f t="shared" ca="1" si="198"/>
        <v/>
      </c>
      <c r="AC452" s="310" t="e">
        <f t="shared" ca="1" si="199"/>
        <v>#N/A</v>
      </c>
      <c r="AD452" s="323" t="e">
        <f t="shared" ca="1" si="200"/>
        <v>#N/A</v>
      </c>
      <c r="AE452" s="324" t="e">
        <f t="shared" ref="AE452:AE515" ca="1" si="208">IF(t&lt;T_para, pos_z, NA())</f>
        <v>#N/A</v>
      </c>
      <c r="AG452" s="306">
        <f t="shared" ca="1" si="201"/>
        <v>0.85443476385730222</v>
      </c>
      <c r="AH452" s="304">
        <f t="shared" ca="1" si="202"/>
        <v>-8.9287519567165283</v>
      </c>
    </row>
    <row r="453" spans="1:34" x14ac:dyDescent="0.2">
      <c r="A453" s="347">
        <f t="shared" ref="A453:A516" ca="1" si="209">IF(B452+0.01&lt;=T_ini+ROUNDUP(Temps_fin_propu,0), 0.01, IF(K452&gt;0, 0.1, 0.0001))</f>
        <v>1E-4</v>
      </c>
      <c r="B453" s="304">
        <f t="shared" ref="B453:B516" ca="1" si="210">B452+pas</f>
        <v>28.607300000000123</v>
      </c>
      <c r="D453" s="306">
        <f t="shared" ref="D453:D516" ca="1" si="211">IF(AND(L452&lt;L_rampe,Poussee&lt;Poids*SIN(M452)),0,(-W452+Poussee)/m*COS(M452)-U452/m*SIN(M452))</f>
        <v>-0.65969946620693853</v>
      </c>
      <c r="E453" s="307">
        <f t="shared" ref="E453:E516" ca="1" si="212">IF(AND(L452&lt;L_rampe,Poussee&lt;Poids*SIN(M452)),0,(-W452+Poussee)/m*SIN(M452)+U452/m*COS(M452)-Poids/m)</f>
        <v>-0.90562797950474661</v>
      </c>
      <c r="F453" s="304">
        <f t="shared" ref="F453:F516" ca="1" si="213">SQRT(acc_x^2+acc_z^2)</f>
        <v>1.1204309095056104</v>
      </c>
      <c r="G453" s="306">
        <f t="shared" ref="G453:G516" ca="1" si="214">G452+acc_x*pas</f>
        <v>7.2949805115136099</v>
      </c>
      <c r="H453" s="307">
        <f t="shared" ref="H453:H516" ca="1" si="215">H452+acc_z*pas</f>
        <v>-98.465848237597072</v>
      </c>
      <c r="I453" s="304">
        <f t="shared" ref="I453:I516" ca="1" si="216">SQRT(vit_x^2+vit_z^2)</f>
        <v>98.735707876192706</v>
      </c>
      <c r="J453" s="306">
        <f t="shared" ref="J453:J516" ca="1" si="217">J452+0.5*(vit_x+G452)*pas*(K452&gt;=0)</f>
        <v>678.53524446899166</v>
      </c>
      <c r="K453" s="307">
        <f t="shared" ref="K453:K516" ca="1" si="218">K452+0.5*(vit_z+H452)*pas</f>
        <v>-3.5898852868874069</v>
      </c>
      <c r="L453" s="304">
        <f t="shared" ca="1" si="203"/>
        <v>678.54474079677846</v>
      </c>
      <c r="M453" s="306">
        <f t="shared" ref="M453:M516" ca="1" si="219">IF(AND(L452&gt;L_rampe,G453&gt;0),ATAN2(G453,H453),$M$4)</f>
        <v>-1.4968450275292511</v>
      </c>
      <c r="N453" s="304">
        <f t="shared" ref="N453:N516" ca="1" si="220">DEGREES(Beta)</f>
        <v>-85.762902662569616</v>
      </c>
      <c r="P453" s="310">
        <f t="shared" ref="P453:P516" ca="1" si="221">MATCH(t-pas/2-T_ini,CdP_t)</f>
        <v>23</v>
      </c>
      <c r="Q453" s="304">
        <f t="shared" ref="Q453:Q516" ca="1" si="222">(INDEX(CdP,2,i_P+1)-INDEX(CdP,2,i_P+0))/(INDEX(CdP,1,i_P+1)-INDEX(CdP,1,i_P+0))*(t-pas/2-T_ini-INDEX(CdP,1,i_P+0))+INDEX(CdP,2,i_P+0)</f>
        <v>0</v>
      </c>
      <c r="R453" s="306">
        <f t="shared" ref="R453:R516" ca="1" si="223">Poussee/(g*ISP)</f>
        <v>0</v>
      </c>
      <c r="S453" s="307">
        <f t="shared" ref="S453:S516" ca="1" si="224">S452-Débit*pas</f>
        <v>4.341000000000002</v>
      </c>
      <c r="T453" s="304">
        <f t="shared" ca="1" si="204"/>
        <v>42.585210000000025</v>
      </c>
      <c r="U453" s="311">
        <f t="shared" ca="1" si="205"/>
        <v>0</v>
      </c>
      <c r="V453" s="306">
        <f t="shared" ca="1" si="206"/>
        <v>1.2254398398963826</v>
      </c>
      <c r="W453" s="304">
        <f t="shared" ca="1" si="207"/>
        <v>38.759922739908404</v>
      </c>
      <c r="Y453" s="314" t="str">
        <f t="shared" ref="Y453:Y516" ca="1" si="225">IF(AND(pos_z&lt;=0,K452&gt;0),"Impact balistique","") &amp; IF(AND(H454&lt;0,vit_z&gt;=0),"Apogée","") &amp; IF(AND(Poussee=0,Q452&gt;0),"Fin de propulsion","") &amp; IF(AND(L454&gt;L_rampe,pos_xz&lt;=L_rampe),"Sortie de rampe","")</f>
        <v/>
      </c>
      <c r="Z453" s="315" t="str">
        <f t="shared" ref="Z453:Z516" ca="1" si="226">IF(ABS(t-T_para)&lt;pas/2,"Para","")</f>
        <v/>
      </c>
      <c r="AA453" s="316" t="str">
        <f t="shared" ref="AA453:AA516" ca="1" si="227">IF(ABS(t-T_satellite)&lt;pas/2,"Satellite","")</f>
        <v/>
      </c>
      <c r="AC453" s="310" t="e">
        <f t="shared" ref="AC453:AC516" ca="1" si="228">IF(ABS(t-ROUND(t,0))&lt;0.001,t,NA())</f>
        <v>#N/A</v>
      </c>
      <c r="AD453" s="323" t="e">
        <f t="shared" ref="AD453:AD516" ca="1" si="229">IF(ABS(t-ROUND(t,0))&lt;0.001,pos_x,NA())</f>
        <v>#N/A</v>
      </c>
      <c r="AE453" s="324" t="e">
        <f t="shared" ca="1" si="208"/>
        <v>#N/A</v>
      </c>
      <c r="AG453" s="306">
        <f t="shared" ref="AG453:AG516" ca="1" si="230">IF(AND(L452&lt;L_rampe,Poussee&lt;Poids*SIN(M452)),0,(-W452+Poussee)/m-Poids*SIN(M452)/m)</f>
        <v>0.85441105067365974</v>
      </c>
      <c r="AH453" s="304">
        <f t="shared" ref="AH453:AH516" ca="1" si="231">IF(AND(L452&lt;L_rampe,Poussee&lt;Poids*SIN(M452)), g*SIN(M452), (-W452+Poussee)/m)</f>
        <v>-8.9287762019826911</v>
      </c>
    </row>
    <row r="454" spans="1:34" x14ac:dyDescent="0.2">
      <c r="A454" s="347">
        <f t="shared" ca="1" si="209"/>
        <v>1E-4</v>
      </c>
      <c r="B454" s="304">
        <f t="shared" ca="1" si="210"/>
        <v>28.607400000000123</v>
      </c>
      <c r="D454" s="306">
        <f t="shared" ca="1" si="211"/>
        <v>-0.65969472090950609</v>
      </c>
      <c r="E454" s="307">
        <f t="shared" ca="1" si="212"/>
        <v>-0.90560331659589188</v>
      </c>
      <c r="F454" s="304">
        <f t="shared" ca="1" si="213"/>
        <v>1.120408180898975</v>
      </c>
      <c r="G454" s="306">
        <f t="shared" ca="1" si="214"/>
        <v>7.2949145420415187</v>
      </c>
      <c r="H454" s="307">
        <f t="shared" ca="1" si="215"/>
        <v>-98.465938797928729</v>
      </c>
      <c r="I454" s="304">
        <f t="shared" ca="1" si="216"/>
        <v>98.735793314953085</v>
      </c>
      <c r="J454" s="306">
        <f t="shared" ca="1" si="217"/>
        <v>678.53524446899166</v>
      </c>
      <c r="K454" s="307">
        <f t="shared" ca="1" si="218"/>
        <v>-3.5997318762391832</v>
      </c>
      <c r="L454" s="304">
        <f t="shared" ca="1" si="203"/>
        <v>678.5447929622444</v>
      </c>
      <c r="M454" s="306">
        <f t="shared" ca="1" si="219"/>
        <v>-1.4968457616107511</v>
      </c>
      <c r="N454" s="304">
        <f t="shared" ca="1" si="220"/>
        <v>-85.762944722341373</v>
      </c>
      <c r="P454" s="310">
        <f t="shared" ca="1" si="221"/>
        <v>23</v>
      </c>
      <c r="Q454" s="304">
        <f t="shared" ca="1" si="222"/>
        <v>0</v>
      </c>
      <c r="R454" s="306">
        <f t="shared" ca="1" si="223"/>
        <v>0</v>
      </c>
      <c r="S454" s="307">
        <f t="shared" ca="1" si="224"/>
        <v>4.341000000000002</v>
      </c>
      <c r="T454" s="304">
        <f t="shared" ca="1" si="204"/>
        <v>42.585210000000025</v>
      </c>
      <c r="U454" s="311">
        <f t="shared" ca="1" si="205"/>
        <v>0</v>
      </c>
      <c r="V454" s="306">
        <f t="shared" ca="1" si="206"/>
        <v>1.2254410465373033</v>
      </c>
      <c r="W454" s="304">
        <f t="shared" ca="1" si="207"/>
        <v>38.760027985410979</v>
      </c>
      <c r="Y454" s="314" t="str">
        <f t="shared" ca="1" si="225"/>
        <v/>
      </c>
      <c r="Z454" s="315" t="str">
        <f t="shared" ca="1" si="226"/>
        <v/>
      </c>
      <c r="AA454" s="316" t="str">
        <f t="shared" ca="1" si="227"/>
        <v/>
      </c>
      <c r="AC454" s="310" t="e">
        <f t="shared" ca="1" si="228"/>
        <v>#N/A</v>
      </c>
      <c r="AD454" s="323" t="e">
        <f t="shared" ca="1" si="229"/>
        <v>#N/A</v>
      </c>
      <c r="AE454" s="324" t="e">
        <f t="shared" ca="1" si="208"/>
        <v>#N/A</v>
      </c>
      <c r="AG454" s="306">
        <f t="shared" ca="1" si="230"/>
        <v>0.854387337847335</v>
      </c>
      <c r="AH454" s="304">
        <f t="shared" ca="1" si="231"/>
        <v>-8.9288004468805315</v>
      </c>
    </row>
    <row r="455" spans="1:34" x14ac:dyDescent="0.2">
      <c r="A455" s="347">
        <f t="shared" ca="1" si="209"/>
        <v>1E-4</v>
      </c>
      <c r="B455" s="304">
        <f t="shared" ca="1" si="210"/>
        <v>28.607500000000122</v>
      </c>
      <c r="D455" s="306">
        <f t="shared" ca="1" si="211"/>
        <v>-0.65968997561942877</v>
      </c>
      <c r="E455" s="307">
        <f t="shared" ca="1" si="212"/>
        <v>-0.90557865406175075</v>
      </c>
      <c r="F455" s="304">
        <f t="shared" ca="1" si="213"/>
        <v>1.1203854527014596</v>
      </c>
      <c r="G455" s="306">
        <f t="shared" ca="1" si="214"/>
        <v>7.2948485730439572</v>
      </c>
      <c r="H455" s="307">
        <f t="shared" ca="1" si="215"/>
        <v>-98.466029355794134</v>
      </c>
      <c r="I455" s="304">
        <f t="shared" ca="1" si="216"/>
        <v>98.735878751342227</v>
      </c>
      <c r="J455" s="306">
        <f t="shared" ca="1" si="217"/>
        <v>678.53524446899166</v>
      </c>
      <c r="K455" s="307">
        <f t="shared" ca="1" si="218"/>
        <v>-3.6095784746468693</v>
      </c>
      <c r="L455" s="304">
        <f t="shared" ca="1" si="203"/>
        <v>678.54484527064153</v>
      </c>
      <c r="M455" s="306">
        <f t="shared" ca="1" si="219"/>
        <v>-1.4968464956843421</v>
      </c>
      <c r="N455" s="304">
        <f t="shared" ca="1" si="220"/>
        <v>-85.762986781660004</v>
      </c>
      <c r="P455" s="310">
        <f t="shared" ca="1" si="221"/>
        <v>23</v>
      </c>
      <c r="Q455" s="304">
        <f t="shared" ca="1" si="222"/>
        <v>0</v>
      </c>
      <c r="R455" s="306">
        <f t="shared" ca="1" si="223"/>
        <v>0</v>
      </c>
      <c r="S455" s="307">
        <f t="shared" ca="1" si="224"/>
        <v>4.341000000000002</v>
      </c>
      <c r="T455" s="304">
        <f t="shared" ca="1" si="204"/>
        <v>42.585210000000025</v>
      </c>
      <c r="U455" s="311">
        <f t="shared" ca="1" si="205"/>
        <v>0</v>
      </c>
      <c r="V455" s="306">
        <f t="shared" ca="1" si="206"/>
        <v>1.2254422531805222</v>
      </c>
      <c r="W455" s="304">
        <f t="shared" ca="1" si="207"/>
        <v>38.760133229314675</v>
      </c>
      <c r="Y455" s="314" t="str">
        <f t="shared" ca="1" si="225"/>
        <v/>
      </c>
      <c r="Z455" s="315" t="str">
        <f t="shared" ca="1" si="226"/>
        <v/>
      </c>
      <c r="AA455" s="316" t="str">
        <f t="shared" ca="1" si="227"/>
        <v/>
      </c>
      <c r="AC455" s="310" t="e">
        <f t="shared" ca="1" si="228"/>
        <v>#N/A</v>
      </c>
      <c r="AD455" s="323" t="e">
        <f t="shared" ca="1" si="229"/>
        <v>#N/A</v>
      </c>
      <c r="AE455" s="324" t="e">
        <f t="shared" ca="1" si="208"/>
        <v>#N/A</v>
      </c>
      <c r="AG455" s="306">
        <f t="shared" ca="1" si="230"/>
        <v>0.85436362537834043</v>
      </c>
      <c r="AH455" s="304">
        <f t="shared" ca="1" si="231"/>
        <v>-8.9288246914100355</v>
      </c>
    </row>
    <row r="456" spans="1:34" x14ac:dyDescent="0.2">
      <c r="A456" s="347">
        <f t="shared" ca="1" si="209"/>
        <v>1E-4</v>
      </c>
      <c r="B456" s="304">
        <f t="shared" ca="1" si="210"/>
        <v>28.607600000000122</v>
      </c>
      <c r="D456" s="306">
        <f t="shared" ca="1" si="211"/>
        <v>-0.65968523033671123</v>
      </c>
      <c r="E456" s="307">
        <f t="shared" ca="1" si="212"/>
        <v>-0.90555399190231256</v>
      </c>
      <c r="F456" s="304">
        <f t="shared" ca="1" si="213"/>
        <v>1.1203627249130583</v>
      </c>
      <c r="G456" s="306">
        <f t="shared" ca="1" si="214"/>
        <v>7.2947826045209236</v>
      </c>
      <c r="H456" s="307">
        <f t="shared" ca="1" si="215"/>
        <v>-98.466119911193331</v>
      </c>
      <c r="I456" s="304">
        <f t="shared" ca="1" si="216"/>
        <v>98.73596418536016</v>
      </c>
      <c r="J456" s="306">
        <f t="shared" ca="1" si="217"/>
        <v>678.53524446899166</v>
      </c>
      <c r="K456" s="307">
        <f t="shared" ca="1" si="218"/>
        <v>-3.6194250821102187</v>
      </c>
      <c r="L456" s="304">
        <f t="shared" ca="1" si="203"/>
        <v>678.54489772197041</v>
      </c>
      <c r="M456" s="306">
        <f t="shared" ca="1" si="219"/>
        <v>-1.4968472297500246</v>
      </c>
      <c r="N456" s="304">
        <f t="shared" ca="1" si="220"/>
        <v>-85.763028840525493</v>
      </c>
      <c r="P456" s="310">
        <f t="shared" ca="1" si="221"/>
        <v>23</v>
      </c>
      <c r="Q456" s="304">
        <f t="shared" ca="1" si="222"/>
        <v>0</v>
      </c>
      <c r="R456" s="306">
        <f t="shared" ca="1" si="223"/>
        <v>0</v>
      </c>
      <c r="S456" s="307">
        <f t="shared" ca="1" si="224"/>
        <v>4.341000000000002</v>
      </c>
      <c r="T456" s="304">
        <f t="shared" ca="1" si="204"/>
        <v>42.585210000000025</v>
      </c>
      <c r="U456" s="311">
        <f t="shared" ca="1" si="205"/>
        <v>0</v>
      </c>
      <c r="V456" s="306">
        <f t="shared" ca="1" si="206"/>
        <v>1.2254434598260393</v>
      </c>
      <c r="W456" s="304">
        <f t="shared" ca="1" si="207"/>
        <v>38.760238471619488</v>
      </c>
      <c r="Y456" s="314" t="str">
        <f t="shared" ca="1" si="225"/>
        <v/>
      </c>
      <c r="Z456" s="315" t="str">
        <f t="shared" ca="1" si="226"/>
        <v/>
      </c>
      <c r="AA456" s="316" t="str">
        <f t="shared" ca="1" si="227"/>
        <v/>
      </c>
      <c r="AC456" s="310" t="e">
        <f t="shared" ca="1" si="228"/>
        <v>#N/A</v>
      </c>
      <c r="AD456" s="323" t="e">
        <f t="shared" ca="1" si="229"/>
        <v>#N/A</v>
      </c>
      <c r="AE456" s="324" t="e">
        <f t="shared" ca="1" si="208"/>
        <v>#N/A</v>
      </c>
      <c r="AG456" s="306">
        <f t="shared" ca="1" si="230"/>
        <v>0.85433991326666536</v>
      </c>
      <c r="AH456" s="304">
        <f t="shared" ca="1" si="231"/>
        <v>-8.9288489355712173</v>
      </c>
    </row>
    <row r="457" spans="1:34" x14ac:dyDescent="0.2">
      <c r="A457" s="347">
        <f t="shared" ca="1" si="209"/>
        <v>1E-4</v>
      </c>
      <c r="B457" s="304">
        <f t="shared" ca="1" si="210"/>
        <v>28.607700000000122</v>
      </c>
      <c r="D457" s="306">
        <f t="shared" ca="1" si="211"/>
        <v>-0.65968048506135091</v>
      </c>
      <c r="E457" s="307">
        <f t="shared" ca="1" si="212"/>
        <v>-0.90552933011757197</v>
      </c>
      <c r="F457" s="304">
        <f t="shared" ca="1" si="213"/>
        <v>1.1203399975337656</v>
      </c>
      <c r="G457" s="306">
        <f t="shared" ca="1" si="214"/>
        <v>7.2947166364724172</v>
      </c>
      <c r="H457" s="307">
        <f t="shared" ca="1" si="215"/>
        <v>-98.466210464126348</v>
      </c>
      <c r="I457" s="304">
        <f t="shared" ca="1" si="216"/>
        <v>98.736049617006927</v>
      </c>
      <c r="J457" s="306">
        <f t="shared" ca="1" si="217"/>
        <v>678.53524446899166</v>
      </c>
      <c r="K457" s="307">
        <f t="shared" ca="1" si="218"/>
        <v>-3.6292716986289846</v>
      </c>
      <c r="L457" s="304">
        <f t="shared" ca="1" si="203"/>
        <v>678.54495031623128</v>
      </c>
      <c r="M457" s="306">
        <f t="shared" ca="1" si="219"/>
        <v>-1.4968479638077985</v>
      </c>
      <c r="N457" s="304">
        <f t="shared" ca="1" si="220"/>
        <v>-85.763070898937855</v>
      </c>
      <c r="P457" s="310">
        <f t="shared" ca="1" si="221"/>
        <v>23</v>
      </c>
      <c r="Q457" s="304">
        <f t="shared" ca="1" si="222"/>
        <v>0</v>
      </c>
      <c r="R457" s="306">
        <f t="shared" ca="1" si="223"/>
        <v>0</v>
      </c>
      <c r="S457" s="307">
        <f t="shared" ca="1" si="224"/>
        <v>4.341000000000002</v>
      </c>
      <c r="T457" s="304">
        <f t="shared" ca="1" si="204"/>
        <v>42.585210000000025</v>
      </c>
      <c r="U457" s="311">
        <f t="shared" ca="1" si="205"/>
        <v>0</v>
      </c>
      <c r="V457" s="306">
        <f t="shared" ca="1" si="206"/>
        <v>1.2254446664738545</v>
      </c>
      <c r="W457" s="304">
        <f t="shared" ca="1" si="207"/>
        <v>38.760343712325465</v>
      </c>
      <c r="Y457" s="314" t="str">
        <f t="shared" ca="1" si="225"/>
        <v/>
      </c>
      <c r="Z457" s="315" t="str">
        <f t="shared" ca="1" si="226"/>
        <v/>
      </c>
      <c r="AA457" s="316" t="str">
        <f t="shared" ca="1" si="227"/>
        <v/>
      </c>
      <c r="AC457" s="310" t="e">
        <f t="shared" ca="1" si="228"/>
        <v>#N/A</v>
      </c>
      <c r="AD457" s="323" t="e">
        <f t="shared" ca="1" si="229"/>
        <v>#N/A</v>
      </c>
      <c r="AE457" s="324" t="e">
        <f t="shared" ca="1" si="208"/>
        <v>#N/A</v>
      </c>
      <c r="AG457" s="306">
        <f t="shared" ca="1" si="230"/>
        <v>0.85431620151230447</v>
      </c>
      <c r="AH457" s="304">
        <f t="shared" ca="1" si="231"/>
        <v>-8.9288731793640803</v>
      </c>
    </row>
    <row r="458" spans="1:34" x14ac:dyDescent="0.2">
      <c r="A458" s="347">
        <f t="shared" ca="1" si="209"/>
        <v>1E-4</v>
      </c>
      <c r="B458" s="304">
        <f t="shared" ca="1" si="210"/>
        <v>28.607800000000122</v>
      </c>
      <c r="D458" s="306">
        <f t="shared" ca="1" si="211"/>
        <v>-0.65967573979334992</v>
      </c>
      <c r="E458" s="307">
        <f t="shared" ca="1" si="212"/>
        <v>-0.90550466870752011</v>
      </c>
      <c r="F458" s="304">
        <f t="shared" ca="1" si="213"/>
        <v>1.1203172705635753</v>
      </c>
      <c r="G458" s="306">
        <f t="shared" ca="1" si="214"/>
        <v>7.2946506688984378</v>
      </c>
      <c r="H458" s="307">
        <f t="shared" ca="1" si="215"/>
        <v>-98.466301014593213</v>
      </c>
      <c r="I458" s="304">
        <f t="shared" ca="1" si="216"/>
        <v>98.736135046282541</v>
      </c>
      <c r="J458" s="306">
        <f t="shared" ca="1" si="217"/>
        <v>678.53524446899166</v>
      </c>
      <c r="K458" s="307">
        <f t="shared" ca="1" si="218"/>
        <v>-3.6391183242029204</v>
      </c>
      <c r="L458" s="304">
        <f t="shared" ca="1" si="203"/>
        <v>678.54500305342447</v>
      </c>
      <c r="M458" s="306">
        <f t="shared" ca="1" si="219"/>
        <v>-1.4968486978576638</v>
      </c>
      <c r="N458" s="304">
        <f t="shared" ca="1" si="220"/>
        <v>-85.763112956897089</v>
      </c>
      <c r="P458" s="310">
        <f t="shared" ca="1" si="221"/>
        <v>23</v>
      </c>
      <c r="Q458" s="304">
        <f t="shared" ca="1" si="222"/>
        <v>0</v>
      </c>
      <c r="R458" s="306">
        <f t="shared" ca="1" si="223"/>
        <v>0</v>
      </c>
      <c r="S458" s="307">
        <f t="shared" ca="1" si="224"/>
        <v>4.341000000000002</v>
      </c>
      <c r="T458" s="304">
        <f t="shared" ca="1" si="204"/>
        <v>42.585210000000025</v>
      </c>
      <c r="U458" s="311">
        <f t="shared" ca="1" si="205"/>
        <v>0</v>
      </c>
      <c r="V458" s="306">
        <f t="shared" ca="1" si="206"/>
        <v>1.2254458731239675</v>
      </c>
      <c r="W458" s="304">
        <f t="shared" ca="1" si="207"/>
        <v>38.760448951432579</v>
      </c>
      <c r="Y458" s="314" t="str">
        <f t="shared" ca="1" si="225"/>
        <v/>
      </c>
      <c r="Z458" s="315" t="str">
        <f t="shared" ca="1" si="226"/>
        <v/>
      </c>
      <c r="AA458" s="316" t="str">
        <f t="shared" ca="1" si="227"/>
        <v/>
      </c>
      <c r="AC458" s="310" t="e">
        <f t="shared" ca="1" si="228"/>
        <v>#N/A</v>
      </c>
      <c r="AD458" s="323" t="e">
        <f t="shared" ca="1" si="229"/>
        <v>#N/A</v>
      </c>
      <c r="AE458" s="324" t="e">
        <f t="shared" ca="1" si="208"/>
        <v>#N/A</v>
      </c>
      <c r="AG458" s="306">
        <f t="shared" ca="1" si="230"/>
        <v>0.85429249011525243</v>
      </c>
      <c r="AH458" s="304">
        <f t="shared" ca="1" si="231"/>
        <v>-8.9288974227886317</v>
      </c>
    </row>
    <row r="459" spans="1:34" x14ac:dyDescent="0.2">
      <c r="A459" s="347">
        <f t="shared" ca="1" si="209"/>
        <v>1E-4</v>
      </c>
      <c r="B459" s="304">
        <f t="shared" ca="1" si="210"/>
        <v>28.607900000000122</v>
      </c>
      <c r="D459" s="306">
        <f t="shared" ca="1" si="211"/>
        <v>-0.65967099453270917</v>
      </c>
      <c r="E459" s="307">
        <f t="shared" ca="1" si="212"/>
        <v>-0.90548000767216763</v>
      </c>
      <c r="F459" s="304">
        <f t="shared" ca="1" si="213"/>
        <v>1.120294544002497</v>
      </c>
      <c r="G459" s="306">
        <f t="shared" ca="1" si="214"/>
        <v>7.2945847017989847</v>
      </c>
      <c r="H459" s="307">
        <f t="shared" ca="1" si="215"/>
        <v>-98.466391562593984</v>
      </c>
      <c r="I459" s="304">
        <f t="shared" ca="1" si="216"/>
        <v>98.736220473187032</v>
      </c>
      <c r="J459" s="306">
        <f t="shared" ca="1" si="217"/>
        <v>678.53524446899166</v>
      </c>
      <c r="K459" s="307">
        <f t="shared" ca="1" si="218"/>
        <v>-3.6489649588317796</v>
      </c>
      <c r="L459" s="304">
        <f t="shared" ca="1" si="203"/>
        <v>678.54505593355043</v>
      </c>
      <c r="M459" s="306">
        <f t="shared" ca="1" si="219"/>
        <v>-1.4968494318996208</v>
      </c>
      <c r="N459" s="304">
        <f t="shared" ca="1" si="220"/>
        <v>-85.76315501440321</v>
      </c>
      <c r="P459" s="310">
        <f t="shared" ca="1" si="221"/>
        <v>23</v>
      </c>
      <c r="Q459" s="304">
        <f t="shared" ca="1" si="222"/>
        <v>0</v>
      </c>
      <c r="R459" s="306">
        <f t="shared" ca="1" si="223"/>
        <v>0</v>
      </c>
      <c r="S459" s="307">
        <f t="shared" ca="1" si="224"/>
        <v>4.341000000000002</v>
      </c>
      <c r="T459" s="304">
        <f t="shared" ca="1" si="204"/>
        <v>42.585210000000025</v>
      </c>
      <c r="U459" s="311">
        <f t="shared" ca="1" si="205"/>
        <v>0</v>
      </c>
      <c r="V459" s="306">
        <f t="shared" ca="1" si="206"/>
        <v>1.225447079776379</v>
      </c>
      <c r="W459" s="304">
        <f t="shared" ca="1" si="207"/>
        <v>38.760554188940866</v>
      </c>
      <c r="Y459" s="314" t="str">
        <f t="shared" ca="1" si="225"/>
        <v/>
      </c>
      <c r="Z459" s="315" t="str">
        <f t="shared" ca="1" si="226"/>
        <v/>
      </c>
      <c r="AA459" s="316" t="str">
        <f t="shared" ca="1" si="227"/>
        <v/>
      </c>
      <c r="AC459" s="310" t="e">
        <f t="shared" ca="1" si="228"/>
        <v>#N/A</v>
      </c>
      <c r="AD459" s="323" t="e">
        <f t="shared" ca="1" si="229"/>
        <v>#N/A</v>
      </c>
      <c r="AE459" s="324" t="e">
        <f t="shared" ca="1" si="208"/>
        <v>#N/A</v>
      </c>
      <c r="AG459" s="306">
        <f t="shared" ca="1" si="230"/>
        <v>0.8542687790755128</v>
      </c>
      <c r="AH459" s="304">
        <f t="shared" ca="1" si="231"/>
        <v>-8.9289216658448662</v>
      </c>
    </row>
    <row r="460" spans="1:34" x14ac:dyDescent="0.2">
      <c r="A460" s="347">
        <f t="shared" ca="1" si="209"/>
        <v>1E-4</v>
      </c>
      <c r="B460" s="304">
        <f t="shared" ca="1" si="210"/>
        <v>28.608000000000121</v>
      </c>
      <c r="D460" s="306">
        <f t="shared" ca="1" si="211"/>
        <v>-0.65966624927942874</v>
      </c>
      <c r="E460" s="307">
        <f t="shared" ca="1" si="212"/>
        <v>-0.90545534701150032</v>
      </c>
      <c r="F460" s="304">
        <f t="shared" ca="1" si="213"/>
        <v>1.1202718178505189</v>
      </c>
      <c r="G460" s="306">
        <f t="shared" ca="1" si="214"/>
        <v>7.2945187351740568</v>
      </c>
      <c r="H460" s="307">
        <f t="shared" ca="1" si="215"/>
        <v>-98.466482108128687</v>
      </c>
      <c r="I460" s="304">
        <f t="shared" ca="1" si="216"/>
        <v>98.736305897720484</v>
      </c>
      <c r="J460" s="306">
        <f t="shared" ca="1" si="217"/>
        <v>678.53524446899166</v>
      </c>
      <c r="K460" s="307">
        <f t="shared" ca="1" si="218"/>
        <v>-3.6588116025153159</v>
      </c>
      <c r="L460" s="304">
        <f t="shared" ca="1" si="203"/>
        <v>678.54510895660951</v>
      </c>
      <c r="M460" s="306">
        <f t="shared" ca="1" si="219"/>
        <v>-1.4968501659336697</v>
      </c>
      <c r="N460" s="304">
        <f t="shared" ca="1" si="220"/>
        <v>-85.763197071456233</v>
      </c>
      <c r="P460" s="310">
        <f t="shared" ca="1" si="221"/>
        <v>23</v>
      </c>
      <c r="Q460" s="304">
        <f t="shared" ca="1" si="222"/>
        <v>0</v>
      </c>
      <c r="R460" s="306">
        <f t="shared" ca="1" si="223"/>
        <v>0</v>
      </c>
      <c r="S460" s="307">
        <f t="shared" ca="1" si="224"/>
        <v>4.341000000000002</v>
      </c>
      <c r="T460" s="304">
        <f t="shared" ca="1" si="204"/>
        <v>42.585210000000025</v>
      </c>
      <c r="U460" s="311">
        <f t="shared" ca="1" si="205"/>
        <v>0</v>
      </c>
      <c r="V460" s="306">
        <f t="shared" ca="1" si="206"/>
        <v>1.2254482864310881</v>
      </c>
      <c r="W460" s="304">
        <f t="shared" ca="1" si="207"/>
        <v>38.760659424850346</v>
      </c>
      <c r="Y460" s="314" t="str">
        <f t="shared" ca="1" si="225"/>
        <v/>
      </c>
      <c r="Z460" s="315" t="str">
        <f t="shared" ca="1" si="226"/>
        <v/>
      </c>
      <c r="AA460" s="316" t="str">
        <f t="shared" ca="1" si="227"/>
        <v/>
      </c>
      <c r="AC460" s="310" t="e">
        <f t="shared" ca="1" si="228"/>
        <v>#N/A</v>
      </c>
      <c r="AD460" s="323" t="e">
        <f t="shared" ca="1" si="229"/>
        <v>#N/A</v>
      </c>
      <c r="AE460" s="324" t="e">
        <f t="shared" ca="1" si="208"/>
        <v>#N/A</v>
      </c>
      <c r="AG460" s="306">
        <f t="shared" ca="1" si="230"/>
        <v>0.85424506839308201</v>
      </c>
      <c r="AH460" s="304">
        <f t="shared" ca="1" si="231"/>
        <v>-8.9289459085327909</v>
      </c>
    </row>
    <row r="461" spans="1:34" x14ac:dyDescent="0.2">
      <c r="A461" s="347">
        <f t="shared" ca="1" si="209"/>
        <v>1E-4</v>
      </c>
      <c r="B461" s="304">
        <f t="shared" ca="1" si="210"/>
        <v>28.608100000000121</v>
      </c>
      <c r="D461" s="306">
        <f t="shared" ca="1" si="211"/>
        <v>-0.65966150403350821</v>
      </c>
      <c r="E461" s="307">
        <f t="shared" ca="1" si="212"/>
        <v>-0.90543068672551641</v>
      </c>
      <c r="F461" s="304">
        <f t="shared" ca="1" si="213"/>
        <v>1.1202490921076393</v>
      </c>
      <c r="G461" s="306">
        <f t="shared" ca="1" si="214"/>
        <v>7.2944527690236534</v>
      </c>
      <c r="H461" s="307">
        <f t="shared" ca="1" si="215"/>
        <v>-98.466572651197353</v>
      </c>
      <c r="I461" s="304">
        <f t="shared" ca="1" si="216"/>
        <v>98.736391319882884</v>
      </c>
      <c r="J461" s="306">
        <f t="shared" ca="1" si="217"/>
        <v>678.53524446899166</v>
      </c>
      <c r="K461" s="307">
        <f t="shared" ca="1" si="218"/>
        <v>-3.6686582552532823</v>
      </c>
      <c r="L461" s="304">
        <f t="shared" ca="1" si="203"/>
        <v>678.54516212260194</v>
      </c>
      <c r="M461" s="306">
        <f t="shared" ca="1" si="219"/>
        <v>-1.4968508999598102</v>
      </c>
      <c r="N461" s="304">
        <f t="shared" ca="1" si="220"/>
        <v>-85.763239128056128</v>
      </c>
      <c r="P461" s="310">
        <f t="shared" ca="1" si="221"/>
        <v>23</v>
      </c>
      <c r="Q461" s="304">
        <f t="shared" ca="1" si="222"/>
        <v>0</v>
      </c>
      <c r="R461" s="306">
        <f t="shared" ca="1" si="223"/>
        <v>0</v>
      </c>
      <c r="S461" s="307">
        <f t="shared" ca="1" si="224"/>
        <v>4.341000000000002</v>
      </c>
      <c r="T461" s="304">
        <f t="shared" ca="1" si="204"/>
        <v>42.585210000000025</v>
      </c>
      <c r="U461" s="311">
        <f t="shared" ca="1" si="205"/>
        <v>0</v>
      </c>
      <c r="V461" s="306">
        <f t="shared" ca="1" si="206"/>
        <v>1.225449493088095</v>
      </c>
      <c r="W461" s="304">
        <f t="shared" ca="1" si="207"/>
        <v>38.760764659161026</v>
      </c>
      <c r="Y461" s="314" t="str">
        <f t="shared" ca="1" si="225"/>
        <v/>
      </c>
      <c r="Z461" s="315" t="str">
        <f t="shared" ca="1" si="226"/>
        <v/>
      </c>
      <c r="AA461" s="316" t="str">
        <f t="shared" ca="1" si="227"/>
        <v/>
      </c>
      <c r="AC461" s="310" t="e">
        <f t="shared" ca="1" si="228"/>
        <v>#N/A</v>
      </c>
      <c r="AD461" s="323" t="e">
        <f t="shared" ca="1" si="229"/>
        <v>#N/A</v>
      </c>
      <c r="AE461" s="324" t="e">
        <f t="shared" ca="1" si="208"/>
        <v>#N/A</v>
      </c>
      <c r="AG461" s="306">
        <f t="shared" ca="1" si="230"/>
        <v>0.85422135806795119</v>
      </c>
      <c r="AH461" s="304">
        <f t="shared" ca="1" si="231"/>
        <v>-8.9289701508524129</v>
      </c>
    </row>
    <row r="462" spans="1:34" x14ac:dyDescent="0.2">
      <c r="A462" s="347">
        <f t="shared" ca="1" si="209"/>
        <v>1E-4</v>
      </c>
      <c r="B462" s="304">
        <f t="shared" ca="1" si="210"/>
        <v>28.608200000000121</v>
      </c>
      <c r="D462" s="306">
        <f t="shared" ca="1" si="211"/>
        <v>-0.65965675879495167</v>
      </c>
      <c r="E462" s="307">
        <f t="shared" ca="1" si="212"/>
        <v>-0.90540602681421234</v>
      </c>
      <c r="F462" s="304">
        <f t="shared" ca="1" si="213"/>
        <v>1.1202263667738586</v>
      </c>
      <c r="G462" s="306">
        <f t="shared" ca="1" si="214"/>
        <v>7.2943868033477735</v>
      </c>
      <c r="H462" s="307">
        <f t="shared" ca="1" si="215"/>
        <v>-98.466663191800038</v>
      </c>
      <c r="I462" s="304">
        <f t="shared" ca="1" si="216"/>
        <v>98.736476739674302</v>
      </c>
      <c r="J462" s="306">
        <f t="shared" ca="1" si="217"/>
        <v>678.53524446899166</v>
      </c>
      <c r="K462" s="307">
        <f t="shared" ca="1" si="218"/>
        <v>-3.6785049170454323</v>
      </c>
      <c r="L462" s="304">
        <f t="shared" ca="1" si="203"/>
        <v>678.54521543152816</v>
      </c>
      <c r="M462" s="306">
        <f t="shared" ca="1" si="219"/>
        <v>-1.4968516339780429</v>
      </c>
      <c r="N462" s="304">
        <f t="shared" ca="1" si="220"/>
        <v>-85.763281184202953</v>
      </c>
      <c r="P462" s="310">
        <f t="shared" ca="1" si="221"/>
        <v>23</v>
      </c>
      <c r="Q462" s="304">
        <f t="shared" ca="1" si="222"/>
        <v>0</v>
      </c>
      <c r="R462" s="306">
        <f t="shared" ca="1" si="223"/>
        <v>0</v>
      </c>
      <c r="S462" s="307">
        <f t="shared" ca="1" si="224"/>
        <v>4.341000000000002</v>
      </c>
      <c r="T462" s="304">
        <f t="shared" ca="1" si="204"/>
        <v>42.585210000000025</v>
      </c>
      <c r="U462" s="311">
        <f t="shared" ca="1" si="205"/>
        <v>0</v>
      </c>
      <c r="V462" s="306">
        <f t="shared" ca="1" si="206"/>
        <v>1.2254506997474002</v>
      </c>
      <c r="W462" s="304">
        <f t="shared" ca="1" si="207"/>
        <v>38.76086989187295</v>
      </c>
      <c r="Y462" s="314" t="str">
        <f t="shared" ca="1" si="225"/>
        <v/>
      </c>
      <c r="Z462" s="315" t="str">
        <f t="shared" ca="1" si="226"/>
        <v/>
      </c>
      <c r="AA462" s="316" t="str">
        <f t="shared" ca="1" si="227"/>
        <v/>
      </c>
      <c r="AC462" s="310" t="e">
        <f t="shared" ca="1" si="228"/>
        <v>#N/A</v>
      </c>
      <c r="AD462" s="323" t="e">
        <f t="shared" ca="1" si="229"/>
        <v>#N/A</v>
      </c>
      <c r="AE462" s="324" t="e">
        <f t="shared" ca="1" si="208"/>
        <v>#N/A</v>
      </c>
      <c r="AG462" s="306">
        <f t="shared" ca="1" si="230"/>
        <v>0.85419764810011678</v>
      </c>
      <c r="AH462" s="304">
        <f t="shared" ca="1" si="231"/>
        <v>-8.9289943928037339</v>
      </c>
    </row>
    <row r="463" spans="1:34" x14ac:dyDescent="0.2">
      <c r="A463" s="347">
        <f t="shared" ca="1" si="209"/>
        <v>1E-4</v>
      </c>
      <c r="B463" s="304">
        <f t="shared" ca="1" si="210"/>
        <v>28.608300000000121</v>
      </c>
      <c r="D463" s="306">
        <f t="shared" ca="1" si="211"/>
        <v>-0.65965201356375658</v>
      </c>
      <c r="E463" s="307">
        <f t="shared" ca="1" si="212"/>
        <v>-0.90538136727758101</v>
      </c>
      <c r="F463" s="304">
        <f t="shared" ca="1" si="213"/>
        <v>1.1202036418491688</v>
      </c>
      <c r="G463" s="306">
        <f t="shared" ca="1" si="214"/>
        <v>7.2943208381464171</v>
      </c>
      <c r="H463" s="307">
        <f t="shared" ca="1" si="215"/>
        <v>-98.466753729936769</v>
      </c>
      <c r="I463" s="304">
        <f t="shared" ca="1" si="216"/>
        <v>98.736562157094752</v>
      </c>
      <c r="J463" s="306">
        <f t="shared" ca="1" si="217"/>
        <v>678.53524446899166</v>
      </c>
      <c r="K463" s="307">
        <f t="shared" ca="1" si="218"/>
        <v>-3.688351587891519</v>
      </c>
      <c r="L463" s="304">
        <f t="shared" ca="1" si="203"/>
        <v>678.54526888338864</v>
      </c>
      <c r="M463" s="306">
        <f t="shared" ca="1" si="219"/>
        <v>-1.4968523679883676</v>
      </c>
      <c r="N463" s="304">
        <f t="shared" ca="1" si="220"/>
        <v>-85.763323239896678</v>
      </c>
      <c r="P463" s="310">
        <f t="shared" ca="1" si="221"/>
        <v>23</v>
      </c>
      <c r="Q463" s="304">
        <f t="shared" ca="1" si="222"/>
        <v>0</v>
      </c>
      <c r="R463" s="306">
        <f t="shared" ca="1" si="223"/>
        <v>0</v>
      </c>
      <c r="S463" s="307">
        <f t="shared" ca="1" si="224"/>
        <v>4.341000000000002</v>
      </c>
      <c r="T463" s="304">
        <f t="shared" ca="1" si="204"/>
        <v>42.585210000000025</v>
      </c>
      <c r="U463" s="311">
        <f t="shared" ca="1" si="205"/>
        <v>0</v>
      </c>
      <c r="V463" s="306">
        <f t="shared" ca="1" si="206"/>
        <v>1.2254519064090028</v>
      </c>
      <c r="W463" s="304">
        <f t="shared" ca="1" si="207"/>
        <v>38.76097512298611</v>
      </c>
      <c r="Y463" s="314" t="str">
        <f t="shared" ca="1" si="225"/>
        <v/>
      </c>
      <c r="Z463" s="315" t="str">
        <f t="shared" ca="1" si="226"/>
        <v/>
      </c>
      <c r="AA463" s="316" t="str">
        <f t="shared" ca="1" si="227"/>
        <v/>
      </c>
      <c r="AC463" s="310" t="e">
        <f t="shared" ca="1" si="228"/>
        <v>#N/A</v>
      </c>
      <c r="AD463" s="323" t="e">
        <f t="shared" ca="1" si="229"/>
        <v>#N/A</v>
      </c>
      <c r="AE463" s="324" t="e">
        <f t="shared" ca="1" si="208"/>
        <v>#N/A</v>
      </c>
      <c r="AG463" s="306">
        <f t="shared" ca="1" si="230"/>
        <v>0.85417393848957346</v>
      </c>
      <c r="AH463" s="304">
        <f t="shared" ca="1" si="231"/>
        <v>-8.929018634386761</v>
      </c>
    </row>
    <row r="464" spans="1:34" x14ac:dyDescent="0.2">
      <c r="A464" s="347">
        <f t="shared" ca="1" si="209"/>
        <v>1E-4</v>
      </c>
      <c r="B464" s="304">
        <f t="shared" ca="1" si="210"/>
        <v>28.60840000000012</v>
      </c>
      <c r="D464" s="306">
        <f t="shared" ca="1" si="211"/>
        <v>-0.6596472683399246</v>
      </c>
      <c r="E464" s="307">
        <f t="shared" ca="1" si="212"/>
        <v>-0.90535670811561886</v>
      </c>
      <c r="F464" s="304">
        <f t="shared" ca="1" si="213"/>
        <v>1.1201809173335682</v>
      </c>
      <c r="G464" s="306">
        <f t="shared" ca="1" si="214"/>
        <v>7.2942548734195833</v>
      </c>
      <c r="H464" s="307">
        <f t="shared" ca="1" si="215"/>
        <v>-98.466844265607577</v>
      </c>
      <c r="I464" s="304">
        <f t="shared" ca="1" si="216"/>
        <v>98.736647572144264</v>
      </c>
      <c r="J464" s="306">
        <f t="shared" ca="1" si="217"/>
        <v>678.53524446899166</v>
      </c>
      <c r="K464" s="307">
        <f t="shared" ca="1" si="218"/>
        <v>-3.6981982677912963</v>
      </c>
      <c r="L464" s="304">
        <f t="shared" ca="1" si="203"/>
        <v>678.54532247818361</v>
      </c>
      <c r="M464" s="306">
        <f t="shared" ca="1" si="219"/>
        <v>-1.4968531019907843</v>
      </c>
      <c r="N464" s="304">
        <f t="shared" ca="1" si="220"/>
        <v>-85.763365295137305</v>
      </c>
      <c r="P464" s="310">
        <f t="shared" ca="1" si="221"/>
        <v>23</v>
      </c>
      <c r="Q464" s="304">
        <f t="shared" ca="1" si="222"/>
        <v>0</v>
      </c>
      <c r="R464" s="306">
        <f t="shared" ca="1" si="223"/>
        <v>0</v>
      </c>
      <c r="S464" s="307">
        <f t="shared" ca="1" si="224"/>
        <v>4.341000000000002</v>
      </c>
      <c r="T464" s="304">
        <f t="shared" ca="1" si="204"/>
        <v>42.585210000000025</v>
      </c>
      <c r="U464" s="311">
        <f t="shared" ca="1" si="205"/>
        <v>0</v>
      </c>
      <c r="V464" s="306">
        <f t="shared" ca="1" si="206"/>
        <v>1.2254531130729034</v>
      </c>
      <c r="W464" s="304">
        <f t="shared" ca="1" si="207"/>
        <v>38.761080352500514</v>
      </c>
      <c r="Y464" s="314" t="str">
        <f t="shared" ca="1" si="225"/>
        <v/>
      </c>
      <c r="Z464" s="315" t="str">
        <f t="shared" ca="1" si="226"/>
        <v/>
      </c>
      <c r="AA464" s="316" t="str">
        <f t="shared" ca="1" si="227"/>
        <v/>
      </c>
      <c r="AC464" s="310" t="e">
        <f t="shared" ca="1" si="228"/>
        <v>#N/A</v>
      </c>
      <c r="AD464" s="323" t="e">
        <f t="shared" ca="1" si="229"/>
        <v>#N/A</v>
      </c>
      <c r="AE464" s="324" t="e">
        <f t="shared" ca="1" si="208"/>
        <v>#N/A</v>
      </c>
      <c r="AG464" s="306">
        <f t="shared" ca="1" si="230"/>
        <v>0.85415022923632122</v>
      </c>
      <c r="AH464" s="304">
        <f t="shared" ca="1" si="231"/>
        <v>-8.9290428756014961</v>
      </c>
    </row>
    <row r="465" spans="1:34" x14ac:dyDescent="0.2">
      <c r="A465" s="347">
        <f t="shared" ca="1" si="209"/>
        <v>1E-4</v>
      </c>
      <c r="B465" s="304">
        <f t="shared" ca="1" si="210"/>
        <v>28.60850000000012</v>
      </c>
      <c r="D465" s="306">
        <f t="shared" ca="1" si="211"/>
        <v>-0.65964252312345895</v>
      </c>
      <c r="E465" s="307">
        <f t="shared" ca="1" si="212"/>
        <v>-0.90533204932833122</v>
      </c>
      <c r="F465" s="304">
        <f t="shared" ca="1" si="213"/>
        <v>1.1201581932270634</v>
      </c>
      <c r="G465" s="306">
        <f t="shared" ca="1" si="214"/>
        <v>7.2941889091672714</v>
      </c>
      <c r="H465" s="307">
        <f t="shared" ca="1" si="215"/>
        <v>-98.466934798812517</v>
      </c>
      <c r="I465" s="304">
        <f t="shared" ca="1" si="216"/>
        <v>98.736732984822893</v>
      </c>
      <c r="J465" s="306">
        <f t="shared" ca="1" si="217"/>
        <v>678.53524446899166</v>
      </c>
      <c r="K465" s="307">
        <f t="shared" ca="1" si="218"/>
        <v>-3.7080449567445175</v>
      </c>
      <c r="L465" s="304">
        <f t="shared" ca="1" si="203"/>
        <v>678.54537621591351</v>
      </c>
      <c r="M465" s="306">
        <f t="shared" ca="1" si="219"/>
        <v>-1.4968538359852934</v>
      </c>
      <c r="N465" s="304">
        <f t="shared" ca="1" si="220"/>
        <v>-85.763407349924861</v>
      </c>
      <c r="P465" s="310">
        <f t="shared" ca="1" si="221"/>
        <v>23</v>
      </c>
      <c r="Q465" s="304">
        <f t="shared" ca="1" si="222"/>
        <v>0</v>
      </c>
      <c r="R465" s="306">
        <f t="shared" ca="1" si="223"/>
        <v>0</v>
      </c>
      <c r="S465" s="307">
        <f t="shared" ca="1" si="224"/>
        <v>4.341000000000002</v>
      </c>
      <c r="T465" s="304">
        <f t="shared" ca="1" si="204"/>
        <v>42.585210000000025</v>
      </c>
      <c r="U465" s="311">
        <f t="shared" ca="1" si="205"/>
        <v>0</v>
      </c>
      <c r="V465" s="306">
        <f t="shared" ca="1" si="206"/>
        <v>1.2254543197391019</v>
      </c>
      <c r="W465" s="304">
        <f t="shared" ca="1" si="207"/>
        <v>38.761185580416203</v>
      </c>
      <c r="Y465" s="314" t="str">
        <f t="shared" ca="1" si="225"/>
        <v/>
      </c>
      <c r="Z465" s="315" t="str">
        <f t="shared" ca="1" si="226"/>
        <v/>
      </c>
      <c r="AA465" s="316" t="str">
        <f t="shared" ca="1" si="227"/>
        <v/>
      </c>
      <c r="AC465" s="310" t="e">
        <f t="shared" ca="1" si="228"/>
        <v>#N/A</v>
      </c>
      <c r="AD465" s="323" t="e">
        <f t="shared" ca="1" si="229"/>
        <v>#N/A</v>
      </c>
      <c r="AE465" s="324" t="e">
        <f t="shared" ca="1" si="208"/>
        <v>#N/A</v>
      </c>
      <c r="AG465" s="306">
        <f t="shared" ca="1" si="230"/>
        <v>0.85412652034036007</v>
      </c>
      <c r="AH465" s="304">
        <f t="shared" ca="1" si="231"/>
        <v>-8.9290671164479374</v>
      </c>
    </row>
    <row r="466" spans="1:34" x14ac:dyDescent="0.2">
      <c r="A466" s="347">
        <f t="shared" ca="1" si="209"/>
        <v>1E-4</v>
      </c>
      <c r="B466" s="304">
        <f t="shared" ca="1" si="210"/>
        <v>28.60860000000012</v>
      </c>
      <c r="D466" s="306">
        <f t="shared" ca="1" si="211"/>
        <v>-0.65963777791435618</v>
      </c>
      <c r="E466" s="307">
        <f t="shared" ca="1" si="212"/>
        <v>-0.90530739091570034</v>
      </c>
      <c r="F466" s="304">
        <f t="shared" ca="1" si="213"/>
        <v>1.1201354695296377</v>
      </c>
      <c r="G466" s="306">
        <f t="shared" ca="1" si="214"/>
        <v>7.2941229453894803</v>
      </c>
      <c r="H466" s="307">
        <f t="shared" ca="1" si="215"/>
        <v>-98.467025329551603</v>
      </c>
      <c r="I466" s="304">
        <f t="shared" ca="1" si="216"/>
        <v>98.736818395130669</v>
      </c>
      <c r="J466" s="306">
        <f t="shared" ca="1" si="217"/>
        <v>678.53524446899166</v>
      </c>
      <c r="K466" s="307">
        <f t="shared" ca="1" si="218"/>
        <v>-3.7178916547509355</v>
      </c>
      <c r="L466" s="304">
        <f t="shared" ca="1" si="203"/>
        <v>678.54543009657857</v>
      </c>
      <c r="M466" s="306">
        <f t="shared" ca="1" si="219"/>
        <v>-1.4968545699718949</v>
      </c>
      <c r="N466" s="304">
        <f t="shared" ca="1" si="220"/>
        <v>-85.763449404259347</v>
      </c>
      <c r="P466" s="310">
        <f t="shared" ca="1" si="221"/>
        <v>23</v>
      </c>
      <c r="Q466" s="304">
        <f t="shared" ca="1" si="222"/>
        <v>0</v>
      </c>
      <c r="R466" s="306">
        <f t="shared" ca="1" si="223"/>
        <v>0</v>
      </c>
      <c r="S466" s="307">
        <f t="shared" ca="1" si="224"/>
        <v>4.341000000000002</v>
      </c>
      <c r="T466" s="304">
        <f t="shared" ca="1" si="204"/>
        <v>42.585210000000025</v>
      </c>
      <c r="U466" s="311">
        <f t="shared" ca="1" si="205"/>
        <v>0</v>
      </c>
      <c r="V466" s="306">
        <f t="shared" ca="1" si="206"/>
        <v>1.2254555264075988</v>
      </c>
      <c r="W466" s="304">
        <f t="shared" ca="1" si="207"/>
        <v>38.761290806733228</v>
      </c>
      <c r="Y466" s="314" t="str">
        <f t="shared" ca="1" si="225"/>
        <v/>
      </c>
      <c r="Z466" s="315" t="str">
        <f t="shared" ca="1" si="226"/>
        <v/>
      </c>
      <c r="AA466" s="316" t="str">
        <f t="shared" ca="1" si="227"/>
        <v/>
      </c>
      <c r="AC466" s="310" t="e">
        <f t="shared" ca="1" si="228"/>
        <v>#N/A</v>
      </c>
      <c r="AD466" s="323" t="e">
        <f t="shared" ca="1" si="229"/>
        <v>#N/A</v>
      </c>
      <c r="AE466" s="324" t="e">
        <f t="shared" ca="1" si="208"/>
        <v>#N/A</v>
      </c>
      <c r="AG466" s="306">
        <f t="shared" ca="1" si="230"/>
        <v>0.85410281180167935</v>
      </c>
      <c r="AH466" s="304">
        <f t="shared" ca="1" si="231"/>
        <v>-8.9290913569260972</v>
      </c>
    </row>
    <row r="467" spans="1:34" x14ac:dyDescent="0.2">
      <c r="A467" s="347">
        <f t="shared" ca="1" si="209"/>
        <v>1E-4</v>
      </c>
      <c r="B467" s="304">
        <f t="shared" ca="1" si="210"/>
        <v>28.60870000000012</v>
      </c>
      <c r="D467" s="306">
        <f t="shared" ca="1" si="211"/>
        <v>-0.65963303271262019</v>
      </c>
      <c r="E467" s="307">
        <f t="shared" ca="1" si="212"/>
        <v>-0.90528273287772265</v>
      </c>
      <c r="F467" s="304">
        <f t="shared" ca="1" si="213"/>
        <v>1.120112746241291</v>
      </c>
      <c r="G467" s="306">
        <f t="shared" ca="1" si="214"/>
        <v>7.2940569820862091</v>
      </c>
      <c r="H467" s="307">
        <f t="shared" ca="1" si="215"/>
        <v>-98.467115857824894</v>
      </c>
      <c r="I467" s="304">
        <f t="shared" ca="1" si="216"/>
        <v>98.736903803067634</v>
      </c>
      <c r="J467" s="306">
        <f t="shared" ca="1" si="217"/>
        <v>678.53524446899166</v>
      </c>
      <c r="K467" s="307">
        <f t="shared" ca="1" si="218"/>
        <v>-3.7277383618103044</v>
      </c>
      <c r="L467" s="304">
        <f t="shared" ca="1" si="203"/>
        <v>678.54548412017925</v>
      </c>
      <c r="M467" s="306">
        <f t="shared" ca="1" si="219"/>
        <v>-1.496855303950589</v>
      </c>
      <c r="N467" s="304">
        <f t="shared" ca="1" si="220"/>
        <v>-85.763491458140763</v>
      </c>
      <c r="P467" s="310">
        <f t="shared" ca="1" si="221"/>
        <v>23</v>
      </c>
      <c r="Q467" s="304">
        <f t="shared" ca="1" si="222"/>
        <v>0</v>
      </c>
      <c r="R467" s="306">
        <f t="shared" ca="1" si="223"/>
        <v>0</v>
      </c>
      <c r="S467" s="307">
        <f t="shared" ca="1" si="224"/>
        <v>4.341000000000002</v>
      </c>
      <c r="T467" s="304">
        <f t="shared" ca="1" si="204"/>
        <v>42.585210000000025</v>
      </c>
      <c r="U467" s="311">
        <f t="shared" ca="1" si="205"/>
        <v>0</v>
      </c>
      <c r="V467" s="306">
        <f t="shared" ca="1" si="206"/>
        <v>1.2254567330783928</v>
      </c>
      <c r="W467" s="304">
        <f t="shared" ca="1" si="207"/>
        <v>38.761396031451532</v>
      </c>
      <c r="Y467" s="314" t="str">
        <f t="shared" ca="1" si="225"/>
        <v/>
      </c>
      <c r="Z467" s="315" t="str">
        <f t="shared" ca="1" si="226"/>
        <v/>
      </c>
      <c r="AA467" s="316" t="str">
        <f t="shared" ca="1" si="227"/>
        <v/>
      </c>
      <c r="AC467" s="310" t="e">
        <f t="shared" ca="1" si="228"/>
        <v>#N/A</v>
      </c>
      <c r="AD467" s="323" t="e">
        <f t="shared" ca="1" si="229"/>
        <v>#N/A</v>
      </c>
      <c r="AE467" s="324" t="e">
        <f t="shared" ca="1" si="208"/>
        <v>#N/A</v>
      </c>
      <c r="AG467" s="306">
        <f t="shared" ca="1" si="230"/>
        <v>0.8540791036202684</v>
      </c>
      <c r="AH467" s="304">
        <f t="shared" ca="1" si="231"/>
        <v>-8.9291155970359846</v>
      </c>
    </row>
    <row r="468" spans="1:34" x14ac:dyDescent="0.2">
      <c r="A468" s="347">
        <f t="shared" ca="1" si="209"/>
        <v>1E-4</v>
      </c>
      <c r="B468" s="304">
        <f t="shared" ca="1" si="210"/>
        <v>28.608800000000119</v>
      </c>
      <c r="D468" s="306">
        <f t="shared" ca="1" si="211"/>
        <v>-0.65962828751824965</v>
      </c>
      <c r="E468" s="307">
        <f t="shared" ca="1" si="212"/>
        <v>-0.90525807521440704</v>
      </c>
      <c r="F468" s="304">
        <f t="shared" ca="1" si="213"/>
        <v>1.1200900233620295</v>
      </c>
      <c r="G468" s="306">
        <f t="shared" ca="1" si="214"/>
        <v>7.2939910192574571</v>
      </c>
      <c r="H468" s="307">
        <f t="shared" ca="1" si="215"/>
        <v>-98.467206383632416</v>
      </c>
      <c r="I468" s="304">
        <f t="shared" ca="1" si="216"/>
        <v>98.736989208633801</v>
      </c>
      <c r="J468" s="306">
        <f t="shared" ca="1" si="217"/>
        <v>678.53524446899166</v>
      </c>
      <c r="K468" s="307">
        <f t="shared" ca="1" si="218"/>
        <v>-3.7375850779223772</v>
      </c>
      <c r="L468" s="304">
        <f t="shared" ca="1" si="203"/>
        <v>678.5455382867159</v>
      </c>
      <c r="M468" s="306">
        <f t="shared" ca="1" si="219"/>
        <v>-1.4968560379213756</v>
      </c>
      <c r="N468" s="304">
        <f t="shared" ca="1" si="220"/>
        <v>-85.763533511569122</v>
      </c>
      <c r="P468" s="310">
        <f t="shared" ca="1" si="221"/>
        <v>23</v>
      </c>
      <c r="Q468" s="304">
        <f t="shared" ca="1" si="222"/>
        <v>0</v>
      </c>
      <c r="R468" s="306">
        <f t="shared" ca="1" si="223"/>
        <v>0</v>
      </c>
      <c r="S468" s="307">
        <f t="shared" ca="1" si="224"/>
        <v>4.341000000000002</v>
      </c>
      <c r="T468" s="304">
        <f t="shared" ca="1" si="204"/>
        <v>42.585210000000025</v>
      </c>
      <c r="U468" s="311">
        <f t="shared" ca="1" si="205"/>
        <v>0</v>
      </c>
      <c r="V468" s="306">
        <f t="shared" ca="1" si="206"/>
        <v>1.2254579397514844</v>
      </c>
      <c r="W468" s="304">
        <f t="shared" ca="1" si="207"/>
        <v>38.761501254571144</v>
      </c>
      <c r="Y468" s="314" t="str">
        <f t="shared" ca="1" si="225"/>
        <v/>
      </c>
      <c r="Z468" s="315" t="str">
        <f t="shared" ca="1" si="226"/>
        <v/>
      </c>
      <c r="AA468" s="316" t="str">
        <f t="shared" ca="1" si="227"/>
        <v/>
      </c>
      <c r="AC468" s="310" t="e">
        <f t="shared" ca="1" si="228"/>
        <v>#N/A</v>
      </c>
      <c r="AD468" s="323" t="e">
        <f t="shared" ca="1" si="229"/>
        <v>#N/A</v>
      </c>
      <c r="AE468" s="324" t="e">
        <f t="shared" ca="1" si="208"/>
        <v>#N/A</v>
      </c>
      <c r="AG468" s="306">
        <f t="shared" ca="1" si="230"/>
        <v>0.85405539579614143</v>
      </c>
      <c r="AH468" s="304">
        <f t="shared" ca="1" si="231"/>
        <v>-8.9291398367775887</v>
      </c>
    </row>
    <row r="469" spans="1:34" x14ac:dyDescent="0.2">
      <c r="A469" s="347">
        <f t="shared" ca="1" si="209"/>
        <v>1E-4</v>
      </c>
      <c r="B469" s="304">
        <f t="shared" ca="1" si="210"/>
        <v>28.608900000000119</v>
      </c>
      <c r="D469" s="306">
        <f t="shared" ca="1" si="211"/>
        <v>-0.65962354233124643</v>
      </c>
      <c r="E469" s="307">
        <f t="shared" ca="1" si="212"/>
        <v>-0.90523341792574463</v>
      </c>
      <c r="F469" s="304">
        <f t="shared" ca="1" si="213"/>
        <v>1.1200673008918471</v>
      </c>
      <c r="G469" s="306">
        <f t="shared" ca="1" si="214"/>
        <v>7.2939250569032241</v>
      </c>
      <c r="H469" s="307">
        <f t="shared" ca="1" si="215"/>
        <v>-98.467296906974212</v>
      </c>
      <c r="I469" s="304">
        <f t="shared" ca="1" si="216"/>
        <v>98.737074611829243</v>
      </c>
      <c r="J469" s="306">
        <f t="shared" ca="1" si="217"/>
        <v>678.53524446899166</v>
      </c>
      <c r="K469" s="307">
        <f t="shared" ca="1" si="218"/>
        <v>-3.7474318030869074</v>
      </c>
      <c r="L469" s="304">
        <f t="shared" ca="1" si="203"/>
        <v>678.54559259618884</v>
      </c>
      <c r="M469" s="306">
        <f t="shared" ca="1" si="219"/>
        <v>-1.4968567718842549</v>
      </c>
      <c r="N469" s="304">
        <f t="shared" ca="1" si="220"/>
        <v>-85.763575564544439</v>
      </c>
      <c r="P469" s="310">
        <f t="shared" ca="1" si="221"/>
        <v>23</v>
      </c>
      <c r="Q469" s="304">
        <f t="shared" ca="1" si="222"/>
        <v>0</v>
      </c>
      <c r="R469" s="306">
        <f t="shared" ca="1" si="223"/>
        <v>0</v>
      </c>
      <c r="S469" s="307">
        <f t="shared" ca="1" si="224"/>
        <v>4.341000000000002</v>
      </c>
      <c r="T469" s="304">
        <f t="shared" ca="1" si="204"/>
        <v>42.585210000000025</v>
      </c>
      <c r="U469" s="311">
        <f t="shared" ca="1" si="205"/>
        <v>0</v>
      </c>
      <c r="V469" s="306">
        <f t="shared" ca="1" si="206"/>
        <v>1.2254591464268743</v>
      </c>
      <c r="W469" s="304">
        <f t="shared" ca="1" si="207"/>
        <v>38.761606476092155</v>
      </c>
      <c r="Y469" s="314" t="str">
        <f t="shared" ca="1" si="225"/>
        <v/>
      </c>
      <c r="Z469" s="315" t="str">
        <f t="shared" ca="1" si="226"/>
        <v/>
      </c>
      <c r="AA469" s="316" t="str">
        <f t="shared" ca="1" si="227"/>
        <v/>
      </c>
      <c r="AC469" s="310" t="e">
        <f t="shared" ca="1" si="228"/>
        <v>#N/A</v>
      </c>
      <c r="AD469" s="323" t="e">
        <f t="shared" ca="1" si="229"/>
        <v>#N/A</v>
      </c>
      <c r="AE469" s="324" t="e">
        <f t="shared" ca="1" si="208"/>
        <v>#N/A</v>
      </c>
      <c r="AG469" s="306">
        <f t="shared" ca="1" si="230"/>
        <v>0.85403168832929133</v>
      </c>
      <c r="AH469" s="304">
        <f t="shared" ca="1" si="231"/>
        <v>-8.9291640761509168</v>
      </c>
    </row>
    <row r="470" spans="1:34" x14ac:dyDescent="0.2">
      <c r="A470" s="347">
        <f t="shared" ca="1" si="209"/>
        <v>1E-4</v>
      </c>
      <c r="B470" s="304">
        <f t="shared" ca="1" si="210"/>
        <v>28.609000000000119</v>
      </c>
      <c r="D470" s="306">
        <f t="shared" ca="1" si="211"/>
        <v>-0.6596187971516112</v>
      </c>
      <c r="E470" s="307">
        <f t="shared" ca="1" si="212"/>
        <v>-0.90520876101171766</v>
      </c>
      <c r="F470" s="304">
        <f t="shared" ca="1" si="213"/>
        <v>1.1200445788307301</v>
      </c>
      <c r="G470" s="306">
        <f t="shared" ca="1" si="214"/>
        <v>7.2938590950235094</v>
      </c>
      <c r="H470" s="307">
        <f t="shared" ca="1" si="215"/>
        <v>-98.467387427850312</v>
      </c>
      <c r="I470" s="304">
        <f t="shared" ca="1" si="216"/>
        <v>98.737160012653959</v>
      </c>
      <c r="J470" s="306">
        <f t="shared" ca="1" si="217"/>
        <v>678.53524446899166</v>
      </c>
      <c r="K470" s="307">
        <f t="shared" ca="1" si="218"/>
        <v>-3.7572785373036486</v>
      </c>
      <c r="L470" s="304">
        <f t="shared" ca="1" si="203"/>
        <v>678.54564704859843</v>
      </c>
      <c r="M470" s="306">
        <f t="shared" ca="1" si="219"/>
        <v>-1.4968575058392271</v>
      </c>
      <c r="N470" s="304">
        <f t="shared" ca="1" si="220"/>
        <v>-85.763617617066686</v>
      </c>
      <c r="P470" s="310">
        <f t="shared" ca="1" si="221"/>
        <v>23</v>
      </c>
      <c r="Q470" s="304">
        <f t="shared" ca="1" si="222"/>
        <v>0</v>
      </c>
      <c r="R470" s="306">
        <f t="shared" ca="1" si="223"/>
        <v>0</v>
      </c>
      <c r="S470" s="307">
        <f t="shared" ca="1" si="224"/>
        <v>4.341000000000002</v>
      </c>
      <c r="T470" s="304">
        <f t="shared" ca="1" si="204"/>
        <v>42.585210000000025</v>
      </c>
      <c r="U470" s="311">
        <f t="shared" ca="1" si="205"/>
        <v>0</v>
      </c>
      <c r="V470" s="306">
        <f t="shared" ca="1" si="206"/>
        <v>1.2254603531045618</v>
      </c>
      <c r="W470" s="304">
        <f t="shared" ca="1" si="207"/>
        <v>38.761711696014515</v>
      </c>
      <c r="Y470" s="314" t="str">
        <f t="shared" ca="1" si="225"/>
        <v/>
      </c>
      <c r="Z470" s="315" t="str">
        <f t="shared" ca="1" si="226"/>
        <v/>
      </c>
      <c r="AA470" s="316" t="str">
        <f t="shared" ca="1" si="227"/>
        <v/>
      </c>
      <c r="AC470" s="310" t="e">
        <f t="shared" ca="1" si="228"/>
        <v>#N/A</v>
      </c>
      <c r="AD470" s="323" t="e">
        <f t="shared" ca="1" si="229"/>
        <v>#N/A</v>
      </c>
      <c r="AE470" s="324" t="e">
        <f t="shared" ca="1" si="208"/>
        <v>#N/A</v>
      </c>
      <c r="AG470" s="306">
        <f t="shared" ca="1" si="230"/>
        <v>0.85400798121969679</v>
      </c>
      <c r="AH470" s="304">
        <f t="shared" ca="1" si="231"/>
        <v>-8.9291883151559865</v>
      </c>
    </row>
    <row r="471" spans="1:34" x14ac:dyDescent="0.2">
      <c r="A471" s="347">
        <f t="shared" ca="1" si="209"/>
        <v>1E-4</v>
      </c>
      <c r="B471" s="304">
        <f t="shared" ca="1" si="210"/>
        <v>28.609100000000119</v>
      </c>
      <c r="D471" s="306">
        <f t="shared" ca="1" si="211"/>
        <v>-0.65961405197934497</v>
      </c>
      <c r="E471" s="307">
        <f t="shared" ca="1" si="212"/>
        <v>-0.90518410447233677</v>
      </c>
      <c r="F471" s="304">
        <f t="shared" ca="1" si="213"/>
        <v>1.1200218571786875</v>
      </c>
      <c r="G471" s="306">
        <f t="shared" ca="1" si="214"/>
        <v>7.2937931336183111</v>
      </c>
      <c r="H471" s="307">
        <f t="shared" ca="1" si="215"/>
        <v>-98.467477946260757</v>
      </c>
      <c r="I471" s="304">
        <f t="shared" ca="1" si="216"/>
        <v>98.737245411107992</v>
      </c>
      <c r="J471" s="306">
        <f t="shared" ca="1" si="217"/>
        <v>678.53524446899166</v>
      </c>
      <c r="K471" s="307">
        <f t="shared" ca="1" si="218"/>
        <v>-3.7671252805723543</v>
      </c>
      <c r="L471" s="304">
        <f t="shared" ca="1" si="203"/>
        <v>678.54570164394511</v>
      </c>
      <c r="M471" s="306">
        <f t="shared" ca="1" si="219"/>
        <v>-1.4968582397862922</v>
      </c>
      <c r="N471" s="304">
        <f t="shared" ca="1" si="220"/>
        <v>-85.763659669135905</v>
      </c>
      <c r="P471" s="310">
        <f t="shared" ca="1" si="221"/>
        <v>23</v>
      </c>
      <c r="Q471" s="304">
        <f t="shared" ca="1" si="222"/>
        <v>0</v>
      </c>
      <c r="R471" s="306">
        <f t="shared" ca="1" si="223"/>
        <v>0</v>
      </c>
      <c r="S471" s="307">
        <f t="shared" ca="1" si="224"/>
        <v>4.341000000000002</v>
      </c>
      <c r="T471" s="304">
        <f t="shared" ca="1" si="204"/>
        <v>42.585210000000025</v>
      </c>
      <c r="U471" s="311">
        <f t="shared" ca="1" si="205"/>
        <v>0</v>
      </c>
      <c r="V471" s="306">
        <f t="shared" ca="1" si="206"/>
        <v>1.2254615597845468</v>
      </c>
      <c r="W471" s="304">
        <f t="shared" ca="1" si="207"/>
        <v>38.761816914338247</v>
      </c>
      <c r="Y471" s="314" t="str">
        <f t="shared" ca="1" si="225"/>
        <v/>
      </c>
      <c r="Z471" s="315" t="str">
        <f t="shared" ca="1" si="226"/>
        <v/>
      </c>
      <c r="AA471" s="316" t="str">
        <f t="shared" ca="1" si="227"/>
        <v/>
      </c>
      <c r="AC471" s="310" t="e">
        <f t="shared" ca="1" si="228"/>
        <v>#N/A</v>
      </c>
      <c r="AD471" s="323" t="e">
        <f t="shared" ca="1" si="229"/>
        <v>#N/A</v>
      </c>
      <c r="AE471" s="324" t="e">
        <f t="shared" ca="1" si="208"/>
        <v>#N/A</v>
      </c>
      <c r="AG471" s="306">
        <f t="shared" ca="1" si="230"/>
        <v>0.85398427446736846</v>
      </c>
      <c r="AH471" s="304">
        <f t="shared" ca="1" si="231"/>
        <v>-8.9292125537927891</v>
      </c>
    </row>
    <row r="472" spans="1:34" x14ac:dyDescent="0.2">
      <c r="A472" s="347">
        <f t="shared" ca="1" si="209"/>
        <v>1E-4</v>
      </c>
      <c r="B472" s="304">
        <f t="shared" ca="1" si="210"/>
        <v>28.609200000000119</v>
      </c>
      <c r="D472" s="306">
        <f t="shared" ca="1" si="211"/>
        <v>-0.65960930681444718</v>
      </c>
      <c r="E472" s="307">
        <f t="shared" ca="1" si="212"/>
        <v>-0.90515944830759665</v>
      </c>
      <c r="F472" s="304">
        <f t="shared" ca="1" si="213"/>
        <v>1.1199991359357149</v>
      </c>
      <c r="G472" s="306">
        <f t="shared" ca="1" si="214"/>
        <v>7.29372717268763</v>
      </c>
      <c r="H472" s="307">
        <f t="shared" ca="1" si="215"/>
        <v>-98.467568462205591</v>
      </c>
      <c r="I472" s="304">
        <f t="shared" ca="1" si="216"/>
        <v>98.737330807191398</v>
      </c>
      <c r="J472" s="306">
        <f t="shared" ca="1" si="217"/>
        <v>678.53524446899166</v>
      </c>
      <c r="K472" s="307">
        <f t="shared" ca="1" si="218"/>
        <v>-3.7769720328927776</v>
      </c>
      <c r="L472" s="304">
        <f t="shared" ca="1" si="203"/>
        <v>678.54575638222923</v>
      </c>
      <c r="M472" s="306">
        <f t="shared" ca="1" si="219"/>
        <v>-1.4968589737254503</v>
      </c>
      <c r="N472" s="304">
        <f t="shared" ca="1" si="220"/>
        <v>-85.763701720752081</v>
      </c>
      <c r="P472" s="310">
        <f t="shared" ca="1" si="221"/>
        <v>23</v>
      </c>
      <c r="Q472" s="304">
        <f t="shared" ca="1" si="222"/>
        <v>0</v>
      </c>
      <c r="R472" s="306">
        <f t="shared" ca="1" si="223"/>
        <v>0</v>
      </c>
      <c r="S472" s="307">
        <f t="shared" ca="1" si="224"/>
        <v>4.341000000000002</v>
      </c>
      <c r="T472" s="304">
        <f t="shared" ca="1" si="204"/>
        <v>42.585210000000025</v>
      </c>
      <c r="U472" s="311">
        <f t="shared" ca="1" si="205"/>
        <v>0</v>
      </c>
      <c r="V472" s="306">
        <f t="shared" ca="1" si="206"/>
        <v>1.2254627664668298</v>
      </c>
      <c r="W472" s="304">
        <f t="shared" ca="1" si="207"/>
        <v>38.7619221310634</v>
      </c>
      <c r="Y472" s="314" t="str">
        <f t="shared" ca="1" si="225"/>
        <v/>
      </c>
      <c r="Z472" s="315" t="str">
        <f t="shared" ca="1" si="226"/>
        <v/>
      </c>
      <c r="AA472" s="316" t="str">
        <f t="shared" ca="1" si="227"/>
        <v/>
      </c>
      <c r="AC472" s="310" t="e">
        <f t="shared" ca="1" si="228"/>
        <v>#N/A</v>
      </c>
      <c r="AD472" s="323" t="e">
        <f t="shared" ca="1" si="229"/>
        <v>#N/A</v>
      </c>
      <c r="AE472" s="324" t="e">
        <f t="shared" ca="1" si="208"/>
        <v>#N/A</v>
      </c>
      <c r="AG472" s="306">
        <f t="shared" ca="1" si="230"/>
        <v>0.85396056807230281</v>
      </c>
      <c r="AH472" s="304">
        <f t="shared" ca="1" si="231"/>
        <v>-8.9292367920613298</v>
      </c>
    </row>
    <row r="473" spans="1:34" x14ac:dyDescent="0.2">
      <c r="A473" s="347">
        <f t="shared" ca="1" si="209"/>
        <v>1E-4</v>
      </c>
      <c r="B473" s="304">
        <f t="shared" ca="1" si="210"/>
        <v>28.609300000000118</v>
      </c>
      <c r="D473" s="306">
        <f t="shared" ca="1" si="211"/>
        <v>-0.65960456165692027</v>
      </c>
      <c r="E473" s="307">
        <f t="shared" ca="1" si="212"/>
        <v>-0.90513479251748663</v>
      </c>
      <c r="F473" s="304">
        <f t="shared" ca="1" si="213"/>
        <v>1.1199764151018055</v>
      </c>
      <c r="G473" s="306">
        <f t="shared" ca="1" si="214"/>
        <v>7.2936612122314646</v>
      </c>
      <c r="H473" s="307">
        <f t="shared" ca="1" si="215"/>
        <v>-98.467658975684841</v>
      </c>
      <c r="I473" s="304">
        <f t="shared" ca="1" si="216"/>
        <v>98.737416200904192</v>
      </c>
      <c r="J473" s="306">
        <f t="shared" ca="1" si="217"/>
        <v>678.53524446899166</v>
      </c>
      <c r="K473" s="307">
        <f t="shared" ca="1" si="218"/>
        <v>-3.7868187942646721</v>
      </c>
      <c r="L473" s="304">
        <f t="shared" ca="1" si="203"/>
        <v>678.54581126345101</v>
      </c>
      <c r="M473" s="306">
        <f t="shared" ca="1" si="219"/>
        <v>-1.4968597076567016</v>
      </c>
      <c r="N473" s="304">
        <f t="shared" ca="1" si="220"/>
        <v>-85.763743771915244</v>
      </c>
      <c r="P473" s="310">
        <f t="shared" ca="1" si="221"/>
        <v>23</v>
      </c>
      <c r="Q473" s="304">
        <f t="shared" ca="1" si="222"/>
        <v>0</v>
      </c>
      <c r="R473" s="306">
        <f t="shared" ca="1" si="223"/>
        <v>0</v>
      </c>
      <c r="S473" s="307">
        <f t="shared" ca="1" si="224"/>
        <v>4.341000000000002</v>
      </c>
      <c r="T473" s="304">
        <f t="shared" ca="1" si="204"/>
        <v>42.585210000000025</v>
      </c>
      <c r="U473" s="311">
        <f t="shared" ca="1" si="205"/>
        <v>0</v>
      </c>
      <c r="V473" s="306">
        <f t="shared" ca="1" si="206"/>
        <v>1.2254639731514101</v>
      </c>
      <c r="W473" s="304">
        <f t="shared" ca="1" si="207"/>
        <v>38.762027346189953</v>
      </c>
      <c r="Y473" s="314" t="str">
        <f t="shared" ca="1" si="225"/>
        <v/>
      </c>
      <c r="Z473" s="315" t="str">
        <f t="shared" ca="1" si="226"/>
        <v/>
      </c>
      <c r="AA473" s="316" t="str">
        <f t="shared" ca="1" si="227"/>
        <v/>
      </c>
      <c r="AC473" s="310" t="e">
        <f t="shared" ca="1" si="228"/>
        <v>#N/A</v>
      </c>
      <c r="AD473" s="323" t="e">
        <f t="shared" ca="1" si="229"/>
        <v>#N/A</v>
      </c>
      <c r="AE473" s="324" t="e">
        <f t="shared" ca="1" si="208"/>
        <v>#N/A</v>
      </c>
      <c r="AG473" s="306">
        <f t="shared" ca="1" si="230"/>
        <v>0.85393686203448738</v>
      </c>
      <c r="AH473" s="304">
        <f t="shared" ca="1" si="231"/>
        <v>-8.9292610299616175</v>
      </c>
    </row>
    <row r="474" spans="1:34" x14ac:dyDescent="0.2">
      <c r="A474" s="347">
        <f t="shared" ca="1" si="209"/>
        <v>1E-4</v>
      </c>
      <c r="B474" s="304">
        <f t="shared" ca="1" si="210"/>
        <v>28.609400000000118</v>
      </c>
      <c r="D474" s="306">
        <f t="shared" ca="1" si="211"/>
        <v>-0.65959981650676314</v>
      </c>
      <c r="E474" s="307">
        <f t="shared" ca="1" si="212"/>
        <v>-0.90511013710200849</v>
      </c>
      <c r="F474" s="304">
        <f t="shared" ca="1" si="213"/>
        <v>1.1199536946769595</v>
      </c>
      <c r="G474" s="306">
        <f t="shared" ca="1" si="214"/>
        <v>7.2935952522498138</v>
      </c>
      <c r="H474" s="307">
        <f t="shared" ca="1" si="215"/>
        <v>-98.467749486698551</v>
      </c>
      <c r="I474" s="304">
        <f t="shared" ca="1" si="216"/>
        <v>98.737501592246417</v>
      </c>
      <c r="J474" s="306">
        <f t="shared" ca="1" si="217"/>
        <v>678.53524446899166</v>
      </c>
      <c r="K474" s="307">
        <f t="shared" ca="1" si="218"/>
        <v>-3.7966655646877912</v>
      </c>
      <c r="L474" s="304">
        <f t="shared" ca="1" si="203"/>
        <v>678.54586628761092</v>
      </c>
      <c r="M474" s="306">
        <f t="shared" ca="1" si="219"/>
        <v>-1.4968604415800462</v>
      </c>
      <c r="N474" s="304">
        <f t="shared" ca="1" si="220"/>
        <v>-85.763785822625366</v>
      </c>
      <c r="P474" s="310">
        <f t="shared" ca="1" si="221"/>
        <v>23</v>
      </c>
      <c r="Q474" s="304">
        <f t="shared" ca="1" si="222"/>
        <v>0</v>
      </c>
      <c r="R474" s="306">
        <f t="shared" ca="1" si="223"/>
        <v>0</v>
      </c>
      <c r="S474" s="307">
        <f t="shared" ca="1" si="224"/>
        <v>4.341000000000002</v>
      </c>
      <c r="T474" s="304">
        <f t="shared" ca="1" si="204"/>
        <v>42.585210000000025</v>
      </c>
      <c r="U474" s="311">
        <f t="shared" ca="1" si="205"/>
        <v>0</v>
      </c>
      <c r="V474" s="306">
        <f t="shared" ca="1" si="206"/>
        <v>1.2254651798382881</v>
      </c>
      <c r="W474" s="304">
        <f t="shared" ca="1" si="207"/>
        <v>38.762132559717948</v>
      </c>
      <c r="Y474" s="314" t="str">
        <f t="shared" ca="1" si="225"/>
        <v/>
      </c>
      <c r="Z474" s="315" t="str">
        <f t="shared" ca="1" si="226"/>
        <v/>
      </c>
      <c r="AA474" s="316" t="str">
        <f t="shared" ca="1" si="227"/>
        <v/>
      </c>
      <c r="AC474" s="310" t="e">
        <f t="shared" ca="1" si="228"/>
        <v>#N/A</v>
      </c>
      <c r="AD474" s="323" t="e">
        <f t="shared" ca="1" si="229"/>
        <v>#N/A</v>
      </c>
      <c r="AE474" s="324" t="e">
        <f t="shared" ca="1" si="208"/>
        <v>#N/A</v>
      </c>
      <c r="AG474" s="306">
        <f t="shared" ca="1" si="230"/>
        <v>0.85391315635393106</v>
      </c>
      <c r="AH474" s="304">
        <f t="shared" ca="1" si="231"/>
        <v>-8.9292852674936505</v>
      </c>
    </row>
    <row r="475" spans="1:34" x14ac:dyDescent="0.2">
      <c r="A475" s="347">
        <f t="shared" ca="1" si="209"/>
        <v>1E-4</v>
      </c>
      <c r="B475" s="304">
        <f t="shared" ca="1" si="210"/>
        <v>28.609500000000118</v>
      </c>
      <c r="D475" s="306">
        <f t="shared" ca="1" si="211"/>
        <v>-0.65959507136397788</v>
      </c>
      <c r="E475" s="307">
        <f t="shared" ca="1" si="212"/>
        <v>-0.90508548206115691</v>
      </c>
      <c r="F475" s="304">
        <f t="shared" ca="1" si="213"/>
        <v>1.1199309746611743</v>
      </c>
      <c r="G475" s="306">
        <f t="shared" ca="1" si="214"/>
        <v>7.2935292927426776</v>
      </c>
      <c r="H475" s="307">
        <f t="shared" ca="1" si="215"/>
        <v>-98.467839995246763</v>
      </c>
      <c r="I475" s="304">
        <f t="shared" ca="1" si="216"/>
        <v>98.737586981218115</v>
      </c>
      <c r="J475" s="306">
        <f t="shared" ca="1" si="217"/>
        <v>678.53524446899166</v>
      </c>
      <c r="K475" s="307">
        <f t="shared" ca="1" si="218"/>
        <v>-3.8065123441618884</v>
      </c>
      <c r="L475" s="304">
        <f t="shared" ca="1" si="203"/>
        <v>678.54592145470929</v>
      </c>
      <c r="M475" s="306">
        <f t="shared" ca="1" si="219"/>
        <v>-1.4968611754954841</v>
      </c>
      <c r="N475" s="304">
        <f t="shared" ca="1" si="220"/>
        <v>-85.763827872882487</v>
      </c>
      <c r="P475" s="310">
        <f t="shared" ca="1" si="221"/>
        <v>23</v>
      </c>
      <c r="Q475" s="304">
        <f t="shared" ca="1" si="222"/>
        <v>0</v>
      </c>
      <c r="R475" s="306">
        <f t="shared" ca="1" si="223"/>
        <v>0</v>
      </c>
      <c r="S475" s="307">
        <f t="shared" ca="1" si="224"/>
        <v>4.341000000000002</v>
      </c>
      <c r="T475" s="304">
        <f t="shared" ca="1" si="204"/>
        <v>42.585210000000025</v>
      </c>
      <c r="U475" s="311">
        <f t="shared" ca="1" si="205"/>
        <v>0</v>
      </c>
      <c r="V475" s="306">
        <f t="shared" ca="1" si="206"/>
        <v>1.2254663865274638</v>
      </c>
      <c r="W475" s="304">
        <f t="shared" ca="1" si="207"/>
        <v>38.762237771647399</v>
      </c>
      <c r="Y475" s="314" t="str">
        <f t="shared" ca="1" si="225"/>
        <v/>
      </c>
      <c r="Z475" s="315" t="str">
        <f t="shared" ca="1" si="226"/>
        <v/>
      </c>
      <c r="AA475" s="316" t="str">
        <f t="shared" ca="1" si="227"/>
        <v/>
      </c>
      <c r="AC475" s="310" t="e">
        <f t="shared" ca="1" si="228"/>
        <v>#N/A</v>
      </c>
      <c r="AD475" s="323" t="e">
        <f t="shared" ca="1" si="229"/>
        <v>#N/A</v>
      </c>
      <c r="AE475" s="324" t="e">
        <f t="shared" ca="1" si="208"/>
        <v>#N/A</v>
      </c>
      <c r="AG475" s="306">
        <f t="shared" ca="1" si="230"/>
        <v>0.85388945103062142</v>
      </c>
      <c r="AH475" s="304">
        <f t="shared" ca="1" si="231"/>
        <v>-8.9293095046574358</v>
      </c>
    </row>
    <row r="476" spans="1:34" x14ac:dyDescent="0.2">
      <c r="A476" s="347">
        <f t="shared" ca="1" si="209"/>
        <v>1E-4</v>
      </c>
      <c r="B476" s="304">
        <f t="shared" ca="1" si="210"/>
        <v>28.609600000000118</v>
      </c>
      <c r="D476" s="306">
        <f t="shared" ca="1" si="211"/>
        <v>-0.65959032622856439</v>
      </c>
      <c r="E476" s="307">
        <f t="shared" ca="1" si="212"/>
        <v>-0.90506082739492655</v>
      </c>
      <c r="F476" s="304">
        <f t="shared" ca="1" si="213"/>
        <v>1.1199082550544455</v>
      </c>
      <c r="G476" s="306">
        <f t="shared" ca="1" si="214"/>
        <v>7.2934633337100543</v>
      </c>
      <c r="H476" s="307">
        <f t="shared" ca="1" si="215"/>
        <v>-98.467930501329505</v>
      </c>
      <c r="I476" s="304">
        <f t="shared" ca="1" si="216"/>
        <v>98.737672367819314</v>
      </c>
      <c r="J476" s="306">
        <f t="shared" ca="1" si="217"/>
        <v>678.53524446899166</v>
      </c>
      <c r="K476" s="307">
        <f t="shared" ca="1" si="218"/>
        <v>-3.8163591326867174</v>
      </c>
      <c r="L476" s="304">
        <f t="shared" ca="1" si="203"/>
        <v>678.54597676474657</v>
      </c>
      <c r="M476" s="306">
        <f t="shared" ca="1" si="219"/>
        <v>-1.4968619094030156</v>
      </c>
      <c r="N476" s="304">
        <f t="shared" ca="1" si="220"/>
        <v>-85.763869922686581</v>
      </c>
      <c r="P476" s="310">
        <f t="shared" ca="1" si="221"/>
        <v>23</v>
      </c>
      <c r="Q476" s="304">
        <f t="shared" ca="1" si="222"/>
        <v>0</v>
      </c>
      <c r="R476" s="306">
        <f t="shared" ca="1" si="223"/>
        <v>0</v>
      </c>
      <c r="S476" s="307">
        <f t="shared" ca="1" si="224"/>
        <v>4.341000000000002</v>
      </c>
      <c r="T476" s="304">
        <f t="shared" ca="1" si="204"/>
        <v>42.585210000000025</v>
      </c>
      <c r="U476" s="311">
        <f t="shared" ca="1" si="205"/>
        <v>0</v>
      </c>
      <c r="V476" s="306">
        <f t="shared" ca="1" si="206"/>
        <v>1.2254675932189369</v>
      </c>
      <c r="W476" s="304">
        <f t="shared" ca="1" si="207"/>
        <v>38.762342981978314</v>
      </c>
      <c r="Y476" s="314" t="str">
        <f t="shared" ca="1" si="225"/>
        <v/>
      </c>
      <c r="Z476" s="315" t="str">
        <f t="shared" ca="1" si="226"/>
        <v/>
      </c>
      <c r="AA476" s="316" t="str">
        <f t="shared" ca="1" si="227"/>
        <v/>
      </c>
      <c r="AC476" s="310" t="e">
        <f t="shared" ca="1" si="228"/>
        <v>#N/A</v>
      </c>
      <c r="AD476" s="323" t="e">
        <f t="shared" ca="1" si="229"/>
        <v>#N/A</v>
      </c>
      <c r="AE476" s="324" t="e">
        <f t="shared" ca="1" si="208"/>
        <v>#N/A</v>
      </c>
      <c r="AG476" s="306">
        <f t="shared" ca="1" si="230"/>
        <v>0.85386574606455312</v>
      </c>
      <c r="AH476" s="304">
        <f t="shared" ca="1" si="231"/>
        <v>-8.9293337414529788</v>
      </c>
    </row>
    <row r="477" spans="1:34" x14ac:dyDescent="0.2">
      <c r="A477" s="347">
        <f t="shared" ca="1" si="209"/>
        <v>1E-4</v>
      </c>
      <c r="B477" s="304">
        <f t="shared" ca="1" si="210"/>
        <v>28.609700000000117</v>
      </c>
      <c r="D477" s="306">
        <f t="shared" ca="1" si="211"/>
        <v>-0.65958558110052401</v>
      </c>
      <c r="E477" s="307">
        <f t="shared" ca="1" si="212"/>
        <v>-0.90503617310331386</v>
      </c>
      <c r="F477" s="304">
        <f t="shared" ca="1" si="213"/>
        <v>1.1198855358567712</v>
      </c>
      <c r="G477" s="306">
        <f t="shared" ca="1" si="214"/>
        <v>7.2933973751519439</v>
      </c>
      <c r="H477" s="307">
        <f t="shared" ca="1" si="215"/>
        <v>-98.46802100494682</v>
      </c>
      <c r="I477" s="304">
        <f t="shared" ca="1" si="216"/>
        <v>98.737757752050058</v>
      </c>
      <c r="J477" s="306">
        <f t="shared" ca="1" si="217"/>
        <v>678.53524446899166</v>
      </c>
      <c r="K477" s="307">
        <f t="shared" ca="1" si="218"/>
        <v>-3.8262059302620313</v>
      </c>
      <c r="L477" s="304">
        <f t="shared" ca="1" si="203"/>
        <v>678.54603221772288</v>
      </c>
      <c r="M477" s="306">
        <f t="shared" ca="1" si="219"/>
        <v>-1.4968626433026406</v>
      </c>
      <c r="N477" s="304">
        <f t="shared" ca="1" si="220"/>
        <v>-85.76391197203769</v>
      </c>
      <c r="P477" s="310">
        <f t="shared" ca="1" si="221"/>
        <v>23</v>
      </c>
      <c r="Q477" s="304">
        <f t="shared" ca="1" si="222"/>
        <v>0</v>
      </c>
      <c r="R477" s="306">
        <f t="shared" ca="1" si="223"/>
        <v>0</v>
      </c>
      <c r="S477" s="307">
        <f t="shared" ca="1" si="224"/>
        <v>4.341000000000002</v>
      </c>
      <c r="T477" s="304">
        <f t="shared" ca="1" si="204"/>
        <v>42.585210000000025</v>
      </c>
      <c r="U477" s="311">
        <f t="shared" ca="1" si="205"/>
        <v>0</v>
      </c>
      <c r="V477" s="306">
        <f t="shared" ca="1" si="206"/>
        <v>1.2254687999127074</v>
      </c>
      <c r="W477" s="304">
        <f t="shared" ca="1" si="207"/>
        <v>38.762448190710721</v>
      </c>
      <c r="Y477" s="314" t="str">
        <f t="shared" ca="1" si="225"/>
        <v/>
      </c>
      <c r="Z477" s="315" t="str">
        <f t="shared" ca="1" si="226"/>
        <v/>
      </c>
      <c r="AA477" s="316" t="str">
        <f t="shared" ca="1" si="227"/>
        <v/>
      </c>
      <c r="AC477" s="310" t="e">
        <f t="shared" ca="1" si="228"/>
        <v>#N/A</v>
      </c>
      <c r="AD477" s="323" t="e">
        <f t="shared" ca="1" si="229"/>
        <v>#N/A</v>
      </c>
      <c r="AE477" s="324" t="e">
        <f t="shared" ca="1" si="208"/>
        <v>#N/A</v>
      </c>
      <c r="AG477" s="306">
        <f t="shared" ca="1" si="230"/>
        <v>0.85384204145572973</v>
      </c>
      <c r="AH477" s="304">
        <f t="shared" ca="1" si="231"/>
        <v>-8.9293579778802794</v>
      </c>
    </row>
    <row r="478" spans="1:34" x14ac:dyDescent="0.2">
      <c r="A478" s="347">
        <f t="shared" ca="1" si="209"/>
        <v>1E-4</v>
      </c>
      <c r="B478" s="304">
        <f t="shared" ca="1" si="210"/>
        <v>28.609800000000117</v>
      </c>
      <c r="D478" s="306">
        <f t="shared" ca="1" si="211"/>
        <v>-0.65958083597985673</v>
      </c>
      <c r="E478" s="307">
        <f t="shared" ca="1" si="212"/>
        <v>-0.90501151918631351</v>
      </c>
      <c r="F478" s="304">
        <f t="shared" ca="1" si="213"/>
        <v>1.1198628170681468</v>
      </c>
      <c r="G478" s="306">
        <f t="shared" ca="1" si="214"/>
        <v>7.2933314170683463</v>
      </c>
      <c r="H478" s="307">
        <f t="shared" ca="1" si="215"/>
        <v>-98.468111506098737</v>
      </c>
      <c r="I478" s="304">
        <f t="shared" ca="1" si="216"/>
        <v>98.737843133910374</v>
      </c>
      <c r="J478" s="306">
        <f t="shared" ca="1" si="217"/>
        <v>678.53524446899166</v>
      </c>
      <c r="K478" s="307">
        <f t="shared" ca="1" si="218"/>
        <v>-3.8360527368875834</v>
      </c>
      <c r="L478" s="304">
        <f t="shared" ca="1" si="203"/>
        <v>678.54608781363879</v>
      </c>
      <c r="M478" s="306">
        <f t="shared" ca="1" si="219"/>
        <v>-1.4968633771943594</v>
      </c>
      <c r="N478" s="304">
        <f t="shared" ca="1" si="220"/>
        <v>-85.763954020935799</v>
      </c>
      <c r="P478" s="310">
        <f t="shared" ca="1" si="221"/>
        <v>23</v>
      </c>
      <c r="Q478" s="304">
        <f t="shared" ca="1" si="222"/>
        <v>0</v>
      </c>
      <c r="R478" s="306">
        <f t="shared" ca="1" si="223"/>
        <v>0</v>
      </c>
      <c r="S478" s="307">
        <f t="shared" ca="1" si="224"/>
        <v>4.341000000000002</v>
      </c>
      <c r="T478" s="304">
        <f t="shared" ca="1" si="204"/>
        <v>42.585210000000025</v>
      </c>
      <c r="U478" s="311">
        <f t="shared" ca="1" si="205"/>
        <v>0</v>
      </c>
      <c r="V478" s="306">
        <f t="shared" ca="1" si="206"/>
        <v>1.2254700066087756</v>
      </c>
      <c r="W478" s="304">
        <f t="shared" ca="1" si="207"/>
        <v>38.762553397844648</v>
      </c>
      <c r="Y478" s="314" t="str">
        <f t="shared" ca="1" si="225"/>
        <v/>
      </c>
      <c r="Z478" s="315" t="str">
        <f t="shared" ca="1" si="226"/>
        <v/>
      </c>
      <c r="AA478" s="316" t="str">
        <f t="shared" ca="1" si="227"/>
        <v/>
      </c>
      <c r="AC478" s="310" t="e">
        <f t="shared" ca="1" si="228"/>
        <v>#N/A</v>
      </c>
      <c r="AD478" s="323" t="e">
        <f t="shared" ca="1" si="229"/>
        <v>#N/A</v>
      </c>
      <c r="AE478" s="324" t="e">
        <f t="shared" ca="1" si="208"/>
        <v>#N/A</v>
      </c>
      <c r="AG478" s="306">
        <f t="shared" ca="1" si="230"/>
        <v>0.85381833720414235</v>
      </c>
      <c r="AH478" s="304">
        <f t="shared" ca="1" si="231"/>
        <v>-8.9293822139393466</v>
      </c>
    </row>
    <row r="479" spans="1:34" x14ac:dyDescent="0.2">
      <c r="A479" s="347">
        <f t="shared" ca="1" si="209"/>
        <v>1E-4</v>
      </c>
      <c r="B479" s="304">
        <f t="shared" ca="1" si="210"/>
        <v>28.609900000000117</v>
      </c>
      <c r="D479" s="306">
        <f t="shared" ca="1" si="211"/>
        <v>-0.65957609086656421</v>
      </c>
      <c r="E479" s="307">
        <f t="shared" ca="1" si="212"/>
        <v>-0.90498686564392017</v>
      </c>
      <c r="F479" s="304">
        <f t="shared" ca="1" si="213"/>
        <v>1.1198400986885695</v>
      </c>
      <c r="G479" s="306">
        <f t="shared" ca="1" si="214"/>
        <v>7.2932654594592599</v>
      </c>
      <c r="H479" s="307">
        <f t="shared" ca="1" si="215"/>
        <v>-98.468202004785297</v>
      </c>
      <c r="I479" s="304">
        <f t="shared" ca="1" si="216"/>
        <v>98.737928513400277</v>
      </c>
      <c r="J479" s="306">
        <f t="shared" ca="1" si="217"/>
        <v>678.53524446899166</v>
      </c>
      <c r="K479" s="307">
        <f t="shared" ca="1" si="218"/>
        <v>-3.8458995525631274</v>
      </c>
      <c r="L479" s="304">
        <f t="shared" ca="1" si="203"/>
        <v>678.54614355249464</v>
      </c>
      <c r="M479" s="306">
        <f t="shared" ca="1" si="219"/>
        <v>-1.496864111078172</v>
      </c>
      <c r="N479" s="304">
        <f t="shared" ca="1" si="220"/>
        <v>-85.763996069380909</v>
      </c>
      <c r="P479" s="310">
        <f t="shared" ca="1" si="221"/>
        <v>23</v>
      </c>
      <c r="Q479" s="304">
        <f t="shared" ca="1" si="222"/>
        <v>0</v>
      </c>
      <c r="R479" s="306">
        <f t="shared" ca="1" si="223"/>
        <v>0</v>
      </c>
      <c r="S479" s="307">
        <f t="shared" ca="1" si="224"/>
        <v>4.341000000000002</v>
      </c>
      <c r="T479" s="304">
        <f t="shared" ca="1" si="204"/>
        <v>42.585210000000025</v>
      </c>
      <c r="U479" s="311">
        <f t="shared" ca="1" si="205"/>
        <v>0</v>
      </c>
      <c r="V479" s="306">
        <f t="shared" ca="1" si="206"/>
        <v>1.2254712133071413</v>
      </c>
      <c r="W479" s="304">
        <f t="shared" ca="1" si="207"/>
        <v>38.762658603380068</v>
      </c>
      <c r="Y479" s="314" t="str">
        <f t="shared" ca="1" si="225"/>
        <v/>
      </c>
      <c r="Z479" s="315" t="str">
        <f t="shared" ca="1" si="226"/>
        <v/>
      </c>
      <c r="AA479" s="316" t="str">
        <f t="shared" ca="1" si="227"/>
        <v/>
      </c>
      <c r="AC479" s="310" t="e">
        <f t="shared" ca="1" si="228"/>
        <v>#N/A</v>
      </c>
      <c r="AD479" s="323" t="e">
        <f t="shared" ca="1" si="229"/>
        <v>#N/A</v>
      </c>
      <c r="AE479" s="324" t="e">
        <f t="shared" ca="1" si="208"/>
        <v>#N/A</v>
      </c>
      <c r="AG479" s="306">
        <f t="shared" ca="1" si="230"/>
        <v>0.85379463330978567</v>
      </c>
      <c r="AH479" s="304">
        <f t="shared" ca="1" si="231"/>
        <v>-8.9294064496301839</v>
      </c>
    </row>
    <row r="480" spans="1:34" x14ac:dyDescent="0.2">
      <c r="A480" s="347">
        <f t="shared" ca="1" si="209"/>
        <v>1E-4</v>
      </c>
      <c r="B480" s="304">
        <f t="shared" ca="1" si="210"/>
        <v>28.610000000000117</v>
      </c>
      <c r="D480" s="306">
        <f t="shared" ca="1" si="211"/>
        <v>-0.6595713457606458</v>
      </c>
      <c r="E480" s="307">
        <f t="shared" ca="1" si="212"/>
        <v>-0.9049622124761374</v>
      </c>
      <c r="F480" s="304">
        <f t="shared" ca="1" si="213"/>
        <v>1.1198173807180416</v>
      </c>
      <c r="G480" s="306">
        <f t="shared" ca="1" si="214"/>
        <v>7.2931995023246836</v>
      </c>
      <c r="H480" s="307">
        <f t="shared" ca="1" si="215"/>
        <v>-98.468292501006545</v>
      </c>
      <c r="I480" s="304">
        <f t="shared" ca="1" si="216"/>
        <v>98.738013890519852</v>
      </c>
      <c r="J480" s="306">
        <f t="shared" ca="1" si="217"/>
        <v>678.53524446899166</v>
      </c>
      <c r="K480" s="307">
        <f t="shared" ca="1" si="218"/>
        <v>-3.8557463772884168</v>
      </c>
      <c r="L480" s="304">
        <f t="shared" ca="1" si="203"/>
        <v>678.54619943429077</v>
      </c>
      <c r="M480" s="306">
        <f t="shared" ca="1" si="219"/>
        <v>-1.4968648449540785</v>
      </c>
      <c r="N480" s="304">
        <f t="shared" ca="1" si="220"/>
        <v>-85.764038117373033</v>
      </c>
      <c r="P480" s="310">
        <f t="shared" ca="1" si="221"/>
        <v>23</v>
      </c>
      <c r="Q480" s="304">
        <f t="shared" ca="1" si="222"/>
        <v>0</v>
      </c>
      <c r="R480" s="306">
        <f t="shared" ca="1" si="223"/>
        <v>0</v>
      </c>
      <c r="S480" s="307">
        <f t="shared" ca="1" si="224"/>
        <v>4.341000000000002</v>
      </c>
      <c r="T480" s="304">
        <f t="shared" ca="1" si="204"/>
        <v>42.585210000000025</v>
      </c>
      <c r="U480" s="311">
        <f t="shared" ca="1" si="205"/>
        <v>0</v>
      </c>
      <c r="V480" s="306">
        <f t="shared" ca="1" si="206"/>
        <v>1.2254724200078047</v>
      </c>
      <c r="W480" s="304">
        <f t="shared" ca="1" si="207"/>
        <v>38.762763807317057</v>
      </c>
      <c r="Y480" s="314" t="str">
        <f t="shared" ca="1" si="225"/>
        <v/>
      </c>
      <c r="Z480" s="315" t="str">
        <f t="shared" ca="1" si="226"/>
        <v/>
      </c>
      <c r="AA480" s="316" t="str">
        <f t="shared" ca="1" si="227"/>
        <v/>
      </c>
      <c r="AC480" s="310" t="e">
        <f t="shared" ca="1" si="228"/>
        <v>#N/A</v>
      </c>
      <c r="AD480" s="323" t="e">
        <f t="shared" ca="1" si="229"/>
        <v>#N/A</v>
      </c>
      <c r="AE480" s="324" t="e">
        <f t="shared" ca="1" si="208"/>
        <v>#N/A</v>
      </c>
      <c r="AG480" s="306">
        <f t="shared" ca="1" si="230"/>
        <v>0.85377092977266322</v>
      </c>
      <c r="AH480" s="304">
        <f t="shared" ca="1" si="231"/>
        <v>-8.9294306849527878</v>
      </c>
    </row>
    <row r="481" spans="1:34" x14ac:dyDescent="0.2">
      <c r="A481" s="347">
        <f t="shared" ca="1" si="209"/>
        <v>1E-4</v>
      </c>
      <c r="B481" s="304">
        <f t="shared" ca="1" si="210"/>
        <v>28.610100000000116</v>
      </c>
      <c r="D481" s="306">
        <f t="shared" ca="1" si="211"/>
        <v>-0.65956660066210371</v>
      </c>
      <c r="E481" s="307">
        <f t="shared" ca="1" si="212"/>
        <v>-0.9049375596829492</v>
      </c>
      <c r="F481" s="304">
        <f t="shared" ca="1" si="213"/>
        <v>1.1197946631565514</v>
      </c>
      <c r="G481" s="306">
        <f t="shared" ca="1" si="214"/>
        <v>7.2931335456646176</v>
      </c>
      <c r="H481" s="307">
        <f t="shared" ca="1" si="215"/>
        <v>-98.468382994762507</v>
      </c>
      <c r="I481" s="304">
        <f t="shared" ca="1" si="216"/>
        <v>98.738099265269085</v>
      </c>
      <c r="J481" s="306">
        <f t="shared" ca="1" si="217"/>
        <v>678.53524446899166</v>
      </c>
      <c r="K481" s="307">
        <f t="shared" ca="1" si="218"/>
        <v>-3.8655932110632052</v>
      </c>
      <c r="L481" s="304">
        <f t="shared" ca="1" si="203"/>
        <v>678.54625545902741</v>
      </c>
      <c r="M481" s="306">
        <f t="shared" ca="1" si="219"/>
        <v>-1.496865578822079</v>
      </c>
      <c r="N481" s="304">
        <f t="shared" ca="1" si="220"/>
        <v>-85.764080164912187</v>
      </c>
      <c r="P481" s="310">
        <f t="shared" ca="1" si="221"/>
        <v>23</v>
      </c>
      <c r="Q481" s="304">
        <f t="shared" ca="1" si="222"/>
        <v>0</v>
      </c>
      <c r="R481" s="306">
        <f t="shared" ca="1" si="223"/>
        <v>0</v>
      </c>
      <c r="S481" s="307">
        <f t="shared" ca="1" si="224"/>
        <v>4.341000000000002</v>
      </c>
      <c r="T481" s="304">
        <f t="shared" ca="1" si="204"/>
        <v>42.585210000000025</v>
      </c>
      <c r="U481" s="311">
        <f t="shared" ca="1" si="205"/>
        <v>0</v>
      </c>
      <c r="V481" s="306">
        <f t="shared" ca="1" si="206"/>
        <v>1.2254736267107651</v>
      </c>
      <c r="W481" s="304">
        <f t="shared" ca="1" si="207"/>
        <v>38.762869009655581</v>
      </c>
      <c r="Y481" s="314" t="str">
        <f t="shared" ca="1" si="225"/>
        <v/>
      </c>
      <c r="Z481" s="315" t="str">
        <f t="shared" ca="1" si="226"/>
        <v/>
      </c>
      <c r="AA481" s="316" t="str">
        <f t="shared" ca="1" si="227"/>
        <v/>
      </c>
      <c r="AC481" s="310" t="e">
        <f t="shared" ca="1" si="228"/>
        <v>#N/A</v>
      </c>
      <c r="AD481" s="323" t="e">
        <f t="shared" ca="1" si="229"/>
        <v>#N/A</v>
      </c>
      <c r="AE481" s="324" t="e">
        <f t="shared" ca="1" si="208"/>
        <v>#N/A</v>
      </c>
      <c r="AG481" s="306">
        <f t="shared" ca="1" si="230"/>
        <v>0.85374722659276259</v>
      </c>
      <c r="AH481" s="304">
        <f t="shared" ca="1" si="231"/>
        <v>-8.9294549199071742</v>
      </c>
    </row>
    <row r="482" spans="1:34" x14ac:dyDescent="0.2">
      <c r="A482" s="347">
        <f t="shared" ca="1" si="209"/>
        <v>1E-4</v>
      </c>
      <c r="B482" s="304">
        <f t="shared" ca="1" si="210"/>
        <v>28.610200000000116</v>
      </c>
      <c r="D482" s="306">
        <f t="shared" ca="1" si="211"/>
        <v>-0.65956185557093716</v>
      </c>
      <c r="E482" s="307">
        <f t="shared" ca="1" si="212"/>
        <v>-0.90491290726436446</v>
      </c>
      <c r="F482" s="304">
        <f t="shared" ca="1" si="213"/>
        <v>1.1197719460041058</v>
      </c>
      <c r="G482" s="306">
        <f t="shared" ca="1" si="214"/>
        <v>7.2930675894790609</v>
      </c>
      <c r="H482" s="307">
        <f t="shared" ca="1" si="215"/>
        <v>-98.468473486053227</v>
      </c>
      <c r="I482" s="304">
        <f t="shared" ca="1" si="216"/>
        <v>98.738184637648047</v>
      </c>
      <c r="J482" s="306">
        <f t="shared" ca="1" si="217"/>
        <v>678.53524446899166</v>
      </c>
      <c r="K482" s="307">
        <f t="shared" ca="1" si="218"/>
        <v>-3.875440053887246</v>
      </c>
      <c r="L482" s="304">
        <f t="shared" ca="1" si="203"/>
        <v>678.54631162670512</v>
      </c>
      <c r="M482" s="306">
        <f t="shared" ca="1" si="219"/>
        <v>-1.4968663126821737</v>
      </c>
      <c r="N482" s="304">
        <f t="shared" ca="1" si="220"/>
        <v>-85.764122211998369</v>
      </c>
      <c r="P482" s="310">
        <f t="shared" ca="1" si="221"/>
        <v>23</v>
      </c>
      <c r="Q482" s="304">
        <f t="shared" ca="1" si="222"/>
        <v>0</v>
      </c>
      <c r="R482" s="306">
        <f t="shared" ca="1" si="223"/>
        <v>0</v>
      </c>
      <c r="S482" s="307">
        <f t="shared" ca="1" si="224"/>
        <v>4.341000000000002</v>
      </c>
      <c r="T482" s="304">
        <f t="shared" ca="1" si="204"/>
        <v>42.585210000000025</v>
      </c>
      <c r="U482" s="311">
        <f t="shared" ca="1" si="205"/>
        <v>0</v>
      </c>
      <c r="V482" s="306">
        <f t="shared" ca="1" si="206"/>
        <v>1.225474833416023</v>
      </c>
      <c r="W482" s="304">
        <f t="shared" ca="1" si="207"/>
        <v>38.762974210395697</v>
      </c>
      <c r="Y482" s="314" t="str">
        <f t="shared" ca="1" si="225"/>
        <v/>
      </c>
      <c r="Z482" s="315" t="str">
        <f t="shared" ca="1" si="226"/>
        <v/>
      </c>
      <c r="AA482" s="316" t="str">
        <f t="shared" ca="1" si="227"/>
        <v/>
      </c>
      <c r="AC482" s="310" t="e">
        <f t="shared" ca="1" si="228"/>
        <v>#N/A</v>
      </c>
      <c r="AD482" s="323" t="e">
        <f t="shared" ca="1" si="229"/>
        <v>#N/A</v>
      </c>
      <c r="AE482" s="324" t="e">
        <f t="shared" ca="1" si="208"/>
        <v>#N/A</v>
      </c>
      <c r="AG482" s="306">
        <f t="shared" ca="1" si="230"/>
        <v>0.85372352377008909</v>
      </c>
      <c r="AH482" s="304">
        <f t="shared" ca="1" si="231"/>
        <v>-8.9294791544933343</v>
      </c>
    </row>
    <row r="483" spans="1:34" x14ac:dyDescent="0.2">
      <c r="A483" s="347">
        <f t="shared" ca="1" si="209"/>
        <v>1E-4</v>
      </c>
      <c r="B483" s="304">
        <f t="shared" ca="1" si="210"/>
        <v>28.610300000000116</v>
      </c>
      <c r="D483" s="306">
        <f t="shared" ca="1" si="211"/>
        <v>-0.65955711048714816</v>
      </c>
      <c r="E483" s="307">
        <f t="shared" ca="1" si="212"/>
        <v>-0.90488825522036898</v>
      </c>
      <c r="F483" s="304">
        <f t="shared" ca="1" si="213"/>
        <v>1.1197492292606948</v>
      </c>
      <c r="G483" s="306">
        <f t="shared" ca="1" si="214"/>
        <v>7.2930016337680126</v>
      </c>
      <c r="H483" s="307">
        <f t="shared" ca="1" si="215"/>
        <v>-98.468563974878748</v>
      </c>
      <c r="I483" s="304">
        <f t="shared" ca="1" si="216"/>
        <v>98.738270007656766</v>
      </c>
      <c r="J483" s="306">
        <f t="shared" ca="1" si="217"/>
        <v>678.53524446899166</v>
      </c>
      <c r="K483" s="307">
        <f t="shared" ca="1" si="218"/>
        <v>-3.8852869057602928</v>
      </c>
      <c r="L483" s="304">
        <f t="shared" ca="1" si="203"/>
        <v>678.54636793732402</v>
      </c>
      <c r="M483" s="306">
        <f t="shared" ca="1" si="219"/>
        <v>-1.4968670465343625</v>
      </c>
      <c r="N483" s="304">
        <f t="shared" ca="1" si="220"/>
        <v>-85.764164258631567</v>
      </c>
      <c r="P483" s="310">
        <f t="shared" ca="1" si="221"/>
        <v>23</v>
      </c>
      <c r="Q483" s="304">
        <f t="shared" ca="1" si="222"/>
        <v>0</v>
      </c>
      <c r="R483" s="306">
        <f t="shared" ca="1" si="223"/>
        <v>0</v>
      </c>
      <c r="S483" s="307">
        <f t="shared" ca="1" si="224"/>
        <v>4.341000000000002</v>
      </c>
      <c r="T483" s="304">
        <f t="shared" ca="1" si="204"/>
        <v>42.585210000000025</v>
      </c>
      <c r="U483" s="311">
        <f t="shared" ca="1" si="205"/>
        <v>0</v>
      </c>
      <c r="V483" s="306">
        <f t="shared" ca="1" si="206"/>
        <v>1.2254760401235785</v>
      </c>
      <c r="W483" s="304">
        <f t="shared" ca="1" si="207"/>
        <v>38.763079409537397</v>
      </c>
      <c r="Y483" s="314" t="str">
        <f t="shared" ca="1" si="225"/>
        <v/>
      </c>
      <c r="Z483" s="315" t="str">
        <f t="shared" ca="1" si="226"/>
        <v/>
      </c>
      <c r="AA483" s="316" t="str">
        <f t="shared" ca="1" si="227"/>
        <v/>
      </c>
      <c r="AC483" s="310" t="e">
        <f t="shared" ca="1" si="228"/>
        <v>#N/A</v>
      </c>
      <c r="AD483" s="323" t="e">
        <f t="shared" ca="1" si="229"/>
        <v>#N/A</v>
      </c>
      <c r="AE483" s="324" t="e">
        <f t="shared" ca="1" si="208"/>
        <v>#N/A</v>
      </c>
      <c r="AG483" s="306">
        <f t="shared" ca="1" si="230"/>
        <v>0.85369982130463029</v>
      </c>
      <c r="AH483" s="304">
        <f t="shared" ca="1" si="231"/>
        <v>-8.9295033887112822</v>
      </c>
    </row>
    <row r="484" spans="1:34" x14ac:dyDescent="0.2">
      <c r="A484" s="347">
        <f t="shared" ca="1" si="209"/>
        <v>1E-4</v>
      </c>
      <c r="B484" s="304">
        <f t="shared" ca="1" si="210"/>
        <v>28.610400000000116</v>
      </c>
      <c r="D484" s="306">
        <f t="shared" ca="1" si="211"/>
        <v>-0.65955236541073836</v>
      </c>
      <c r="E484" s="307">
        <f t="shared" ca="1" si="212"/>
        <v>-0.90486360355096451</v>
      </c>
      <c r="F484" s="304">
        <f t="shared" ca="1" si="213"/>
        <v>1.1197265129263203</v>
      </c>
      <c r="G484" s="306">
        <f t="shared" ca="1" si="214"/>
        <v>7.2929356785314718</v>
      </c>
      <c r="H484" s="307">
        <f t="shared" ca="1" si="215"/>
        <v>-98.468654461239097</v>
      </c>
      <c r="I484" s="304">
        <f t="shared" ca="1" si="216"/>
        <v>98.738355375295271</v>
      </c>
      <c r="J484" s="306">
        <f t="shared" ca="1" si="217"/>
        <v>678.53524446899166</v>
      </c>
      <c r="K484" s="307">
        <f t="shared" ca="1" si="218"/>
        <v>-3.8951337666820987</v>
      </c>
      <c r="L484" s="304">
        <f t="shared" ca="1" si="203"/>
        <v>678.54642439088468</v>
      </c>
      <c r="M484" s="306">
        <f t="shared" ca="1" si="219"/>
        <v>-1.4968677803786459</v>
      </c>
      <c r="N484" s="304">
        <f t="shared" ca="1" si="220"/>
        <v>-85.764206304811822</v>
      </c>
      <c r="P484" s="310">
        <f t="shared" ca="1" si="221"/>
        <v>23</v>
      </c>
      <c r="Q484" s="304">
        <f t="shared" ca="1" si="222"/>
        <v>0</v>
      </c>
      <c r="R484" s="306">
        <f t="shared" ca="1" si="223"/>
        <v>0</v>
      </c>
      <c r="S484" s="307">
        <f t="shared" ca="1" si="224"/>
        <v>4.341000000000002</v>
      </c>
      <c r="T484" s="304">
        <f t="shared" ca="1" si="204"/>
        <v>42.585210000000025</v>
      </c>
      <c r="U484" s="311">
        <f t="shared" ca="1" si="205"/>
        <v>0</v>
      </c>
      <c r="V484" s="306">
        <f t="shared" ca="1" si="206"/>
        <v>1.2254772468334312</v>
      </c>
      <c r="W484" s="304">
        <f t="shared" ca="1" si="207"/>
        <v>38.763184607080717</v>
      </c>
      <c r="Y484" s="314" t="str">
        <f t="shared" ca="1" si="225"/>
        <v/>
      </c>
      <c r="Z484" s="315" t="str">
        <f t="shared" ca="1" si="226"/>
        <v/>
      </c>
      <c r="AA484" s="316" t="str">
        <f t="shared" ca="1" si="227"/>
        <v/>
      </c>
      <c r="AC484" s="310" t="e">
        <f t="shared" ca="1" si="228"/>
        <v>#N/A</v>
      </c>
      <c r="AD484" s="323" t="e">
        <f t="shared" ca="1" si="229"/>
        <v>#N/A</v>
      </c>
      <c r="AE484" s="324" t="e">
        <f t="shared" ca="1" si="208"/>
        <v>#N/A</v>
      </c>
      <c r="AG484" s="306">
        <f t="shared" ca="1" si="230"/>
        <v>0.8536761191963862</v>
      </c>
      <c r="AH484" s="304">
        <f t="shared" ca="1" si="231"/>
        <v>-8.9295276225610181</v>
      </c>
    </row>
    <row r="485" spans="1:34" x14ac:dyDescent="0.2">
      <c r="A485" s="347">
        <f t="shared" ca="1" si="209"/>
        <v>1E-4</v>
      </c>
      <c r="B485" s="304">
        <f t="shared" ca="1" si="210"/>
        <v>28.610500000000116</v>
      </c>
      <c r="D485" s="306">
        <f t="shared" ca="1" si="211"/>
        <v>-0.65954762034170566</v>
      </c>
      <c r="E485" s="307">
        <f t="shared" ca="1" si="212"/>
        <v>-0.90483895225614219</v>
      </c>
      <c r="F485" s="304">
        <f t="shared" ca="1" si="213"/>
        <v>1.1197037970009747</v>
      </c>
      <c r="G485" s="306">
        <f t="shared" ca="1" si="214"/>
        <v>7.2928697237694378</v>
      </c>
      <c r="H485" s="307">
        <f t="shared" ca="1" si="215"/>
        <v>-98.468744945134318</v>
      </c>
      <c r="I485" s="304">
        <f t="shared" ca="1" si="216"/>
        <v>98.73844074056359</v>
      </c>
      <c r="J485" s="306">
        <f t="shared" ca="1" si="217"/>
        <v>678.53524446899166</v>
      </c>
      <c r="K485" s="307">
        <f t="shared" ca="1" si="218"/>
        <v>-3.9049806366524171</v>
      </c>
      <c r="L485" s="304">
        <f t="shared" ca="1" si="203"/>
        <v>678.54648098738744</v>
      </c>
      <c r="M485" s="306">
        <f t="shared" ca="1" si="219"/>
        <v>-1.4968685142150238</v>
      </c>
      <c r="N485" s="304">
        <f t="shared" ca="1" si="220"/>
        <v>-85.764248350539134</v>
      </c>
      <c r="P485" s="310">
        <f t="shared" ca="1" si="221"/>
        <v>23</v>
      </c>
      <c r="Q485" s="304">
        <f t="shared" ca="1" si="222"/>
        <v>0</v>
      </c>
      <c r="R485" s="306">
        <f t="shared" ca="1" si="223"/>
        <v>0</v>
      </c>
      <c r="S485" s="307">
        <f t="shared" ca="1" si="224"/>
        <v>4.341000000000002</v>
      </c>
      <c r="T485" s="304">
        <f t="shared" ca="1" si="204"/>
        <v>42.585210000000025</v>
      </c>
      <c r="U485" s="311">
        <f t="shared" ca="1" si="205"/>
        <v>0</v>
      </c>
      <c r="V485" s="306">
        <f t="shared" ca="1" si="206"/>
        <v>1.2254784535455816</v>
      </c>
      <c r="W485" s="304">
        <f t="shared" ca="1" si="207"/>
        <v>38.763289803025664</v>
      </c>
      <c r="Y485" s="314" t="str">
        <f t="shared" ca="1" si="225"/>
        <v/>
      </c>
      <c r="Z485" s="315" t="str">
        <f t="shared" ca="1" si="226"/>
        <v/>
      </c>
      <c r="AA485" s="316" t="str">
        <f t="shared" ca="1" si="227"/>
        <v/>
      </c>
      <c r="AC485" s="310" t="e">
        <f t="shared" ca="1" si="228"/>
        <v>#N/A</v>
      </c>
      <c r="AD485" s="323" t="e">
        <f t="shared" ca="1" si="229"/>
        <v>#N/A</v>
      </c>
      <c r="AE485" s="324" t="e">
        <f t="shared" ca="1" si="208"/>
        <v>#N/A</v>
      </c>
      <c r="AG485" s="306">
        <f t="shared" ca="1" si="230"/>
        <v>0.85365241744535325</v>
      </c>
      <c r="AH485" s="304">
        <f t="shared" ca="1" si="231"/>
        <v>-8.9295518560425471</v>
      </c>
    </row>
    <row r="486" spans="1:34" x14ac:dyDescent="0.2">
      <c r="A486" s="347">
        <f t="shared" ca="1" si="209"/>
        <v>1E-4</v>
      </c>
      <c r="B486" s="304">
        <f t="shared" ca="1" si="210"/>
        <v>28.610600000000115</v>
      </c>
      <c r="D486" s="306">
        <f t="shared" ca="1" si="211"/>
        <v>-0.6595428752800514</v>
      </c>
      <c r="E486" s="307">
        <f t="shared" ca="1" si="212"/>
        <v>-0.90481430133590024</v>
      </c>
      <c r="F486" s="304">
        <f t="shared" ca="1" si="213"/>
        <v>1.1196810814846567</v>
      </c>
      <c r="G486" s="306">
        <f t="shared" ca="1" si="214"/>
        <v>7.2928037694819094</v>
      </c>
      <c r="H486" s="307">
        <f t="shared" ca="1" si="215"/>
        <v>-98.468835426564453</v>
      </c>
      <c r="I486" s="304">
        <f t="shared" ca="1" si="216"/>
        <v>98.738526103461794</v>
      </c>
      <c r="J486" s="306">
        <f t="shared" ca="1" si="217"/>
        <v>678.53524446899166</v>
      </c>
      <c r="K486" s="307">
        <f t="shared" ca="1" si="218"/>
        <v>-3.9148275156710022</v>
      </c>
      <c r="L486" s="304">
        <f t="shared" ca="1" si="203"/>
        <v>678.54653772683253</v>
      </c>
      <c r="M486" s="306">
        <f t="shared" ca="1" si="219"/>
        <v>-1.496869248043496</v>
      </c>
      <c r="N486" s="304">
        <f t="shared" ca="1" si="220"/>
        <v>-85.764290395813475</v>
      </c>
      <c r="P486" s="310">
        <f t="shared" ca="1" si="221"/>
        <v>23</v>
      </c>
      <c r="Q486" s="304">
        <f t="shared" ca="1" si="222"/>
        <v>0</v>
      </c>
      <c r="R486" s="306">
        <f t="shared" ca="1" si="223"/>
        <v>0</v>
      </c>
      <c r="S486" s="307">
        <f t="shared" ca="1" si="224"/>
        <v>4.341000000000002</v>
      </c>
      <c r="T486" s="304">
        <f t="shared" ca="1" si="204"/>
        <v>42.585210000000025</v>
      </c>
      <c r="U486" s="311">
        <f t="shared" ca="1" si="205"/>
        <v>0</v>
      </c>
      <c r="V486" s="306">
        <f t="shared" ca="1" si="206"/>
        <v>1.2254796602600289</v>
      </c>
      <c r="W486" s="304">
        <f t="shared" ca="1" si="207"/>
        <v>38.763394997372266</v>
      </c>
      <c r="Y486" s="314" t="str">
        <f t="shared" ca="1" si="225"/>
        <v/>
      </c>
      <c r="Z486" s="315" t="str">
        <f t="shared" ca="1" si="226"/>
        <v/>
      </c>
      <c r="AA486" s="316" t="str">
        <f t="shared" ca="1" si="227"/>
        <v/>
      </c>
      <c r="AC486" s="310" t="e">
        <f t="shared" ca="1" si="228"/>
        <v>#N/A</v>
      </c>
      <c r="AD486" s="323" t="e">
        <f t="shared" ca="1" si="229"/>
        <v>#N/A</v>
      </c>
      <c r="AE486" s="324" t="e">
        <f t="shared" ca="1" si="208"/>
        <v>#N/A</v>
      </c>
      <c r="AG486" s="306">
        <f t="shared" ca="1" si="230"/>
        <v>0.85362871605152613</v>
      </c>
      <c r="AH486" s="304">
        <f t="shared" ca="1" si="231"/>
        <v>-8.9295760891558729</v>
      </c>
    </row>
    <row r="487" spans="1:34" x14ac:dyDescent="0.2">
      <c r="A487" s="347">
        <f t="shared" ca="1" si="209"/>
        <v>1E-4</v>
      </c>
      <c r="B487" s="304">
        <f t="shared" ca="1" si="210"/>
        <v>28.610700000000115</v>
      </c>
      <c r="D487" s="306">
        <f t="shared" ca="1" si="211"/>
        <v>-0.65953813022577989</v>
      </c>
      <c r="E487" s="307">
        <f t="shared" ca="1" si="212"/>
        <v>-0.90478965079023155</v>
      </c>
      <c r="F487" s="304">
        <f t="shared" ca="1" si="213"/>
        <v>1.1196583663773638</v>
      </c>
      <c r="G487" s="306">
        <f t="shared" ca="1" si="214"/>
        <v>7.2927378156688869</v>
      </c>
      <c r="H487" s="307">
        <f t="shared" ca="1" si="215"/>
        <v>-98.468925905529531</v>
      </c>
      <c r="I487" s="304">
        <f t="shared" ca="1" si="216"/>
        <v>98.738611463989869</v>
      </c>
      <c r="J487" s="306">
        <f t="shared" ca="1" si="217"/>
        <v>678.53524446899166</v>
      </c>
      <c r="K487" s="307">
        <f t="shared" ca="1" si="218"/>
        <v>-3.9246744037376069</v>
      </c>
      <c r="L487" s="304">
        <f t="shared" ca="1" si="203"/>
        <v>678.54659460922039</v>
      </c>
      <c r="M487" s="306">
        <f t="shared" ca="1" si="219"/>
        <v>-1.4968699818640629</v>
      </c>
      <c r="N487" s="304">
        <f t="shared" ca="1" si="220"/>
        <v>-85.764332440634888</v>
      </c>
      <c r="P487" s="310">
        <f t="shared" ca="1" si="221"/>
        <v>23</v>
      </c>
      <c r="Q487" s="304">
        <f t="shared" ca="1" si="222"/>
        <v>0</v>
      </c>
      <c r="R487" s="306">
        <f t="shared" ca="1" si="223"/>
        <v>0</v>
      </c>
      <c r="S487" s="307">
        <f t="shared" ca="1" si="224"/>
        <v>4.341000000000002</v>
      </c>
      <c r="T487" s="304">
        <f t="shared" ca="1" si="204"/>
        <v>42.585210000000025</v>
      </c>
      <c r="U487" s="311">
        <f t="shared" ca="1" si="205"/>
        <v>0</v>
      </c>
      <c r="V487" s="306">
        <f t="shared" ca="1" si="206"/>
        <v>1.2254808669767736</v>
      </c>
      <c r="W487" s="304">
        <f t="shared" ca="1" si="207"/>
        <v>38.76350019012051</v>
      </c>
      <c r="Y487" s="314" t="str">
        <f t="shared" ca="1" si="225"/>
        <v/>
      </c>
      <c r="Z487" s="315" t="str">
        <f t="shared" ca="1" si="226"/>
        <v/>
      </c>
      <c r="AA487" s="316" t="str">
        <f t="shared" ca="1" si="227"/>
        <v/>
      </c>
      <c r="AC487" s="310" t="e">
        <f t="shared" ca="1" si="228"/>
        <v>#N/A</v>
      </c>
      <c r="AD487" s="323" t="e">
        <f t="shared" ca="1" si="229"/>
        <v>#N/A</v>
      </c>
      <c r="AE487" s="324" t="e">
        <f t="shared" ca="1" si="208"/>
        <v>#N/A</v>
      </c>
      <c r="AG487" s="306">
        <f t="shared" ca="1" si="230"/>
        <v>0.85360501501489949</v>
      </c>
      <c r="AH487" s="304">
        <f t="shared" ca="1" si="231"/>
        <v>-8.9296003219010025</v>
      </c>
    </row>
    <row r="488" spans="1:34" x14ac:dyDescent="0.2">
      <c r="A488" s="347">
        <f t="shared" ca="1" si="209"/>
        <v>1E-4</v>
      </c>
      <c r="B488" s="304">
        <f t="shared" ca="1" si="210"/>
        <v>28.610800000000115</v>
      </c>
      <c r="D488" s="306">
        <f t="shared" ca="1" si="211"/>
        <v>-0.6595333851788876</v>
      </c>
      <c r="E488" s="307">
        <f t="shared" ca="1" si="212"/>
        <v>-0.90476500061914322</v>
      </c>
      <c r="F488" s="304">
        <f t="shared" ca="1" si="213"/>
        <v>1.1196356516790993</v>
      </c>
      <c r="G488" s="306">
        <f t="shared" ca="1" si="214"/>
        <v>7.2926718623303692</v>
      </c>
      <c r="H488" s="307">
        <f t="shared" ca="1" si="215"/>
        <v>-98.469016382029594</v>
      </c>
      <c r="I488" s="304">
        <f t="shared" ca="1" si="216"/>
        <v>98.738696822147887</v>
      </c>
      <c r="J488" s="306">
        <f t="shared" ca="1" si="217"/>
        <v>678.53524446899166</v>
      </c>
      <c r="K488" s="307">
        <f t="shared" ca="1" si="218"/>
        <v>-3.9345213008519848</v>
      </c>
      <c r="L488" s="304">
        <f t="shared" ca="1" si="203"/>
        <v>678.54665163455127</v>
      </c>
      <c r="M488" s="306">
        <f t="shared" ca="1" si="219"/>
        <v>-1.4968707156767249</v>
      </c>
      <c r="N488" s="304">
        <f t="shared" ca="1" si="220"/>
        <v>-85.764374485003373</v>
      </c>
      <c r="P488" s="310">
        <f t="shared" ca="1" si="221"/>
        <v>23</v>
      </c>
      <c r="Q488" s="304">
        <f t="shared" ca="1" si="222"/>
        <v>0</v>
      </c>
      <c r="R488" s="306">
        <f t="shared" ca="1" si="223"/>
        <v>0</v>
      </c>
      <c r="S488" s="307">
        <f t="shared" ca="1" si="224"/>
        <v>4.341000000000002</v>
      </c>
      <c r="T488" s="304">
        <f t="shared" ca="1" si="204"/>
        <v>42.585210000000025</v>
      </c>
      <c r="U488" s="311">
        <f t="shared" ca="1" si="205"/>
        <v>0</v>
      </c>
      <c r="V488" s="306">
        <f t="shared" ca="1" si="206"/>
        <v>1.2254820736958159</v>
      </c>
      <c r="W488" s="304">
        <f t="shared" ca="1" si="207"/>
        <v>38.763605381270459</v>
      </c>
      <c r="Y488" s="314" t="str">
        <f t="shared" ca="1" si="225"/>
        <v/>
      </c>
      <c r="Z488" s="315" t="str">
        <f t="shared" ca="1" si="226"/>
        <v/>
      </c>
      <c r="AA488" s="316" t="str">
        <f t="shared" ca="1" si="227"/>
        <v/>
      </c>
      <c r="AC488" s="310" t="e">
        <f t="shared" ca="1" si="228"/>
        <v>#N/A</v>
      </c>
      <c r="AD488" s="323" t="e">
        <f t="shared" ca="1" si="229"/>
        <v>#N/A</v>
      </c>
      <c r="AE488" s="324" t="e">
        <f t="shared" ca="1" si="208"/>
        <v>#N/A</v>
      </c>
      <c r="AG488" s="306">
        <f t="shared" ca="1" si="230"/>
        <v>0.85358131433547868</v>
      </c>
      <c r="AH488" s="304">
        <f t="shared" ca="1" si="231"/>
        <v>-8.9296245542779289</v>
      </c>
    </row>
    <row r="489" spans="1:34" x14ac:dyDescent="0.2">
      <c r="A489" s="347">
        <f t="shared" ca="1" si="209"/>
        <v>1E-4</v>
      </c>
      <c r="B489" s="304">
        <f t="shared" ca="1" si="210"/>
        <v>28.610900000000115</v>
      </c>
      <c r="D489" s="306">
        <f t="shared" ca="1" si="211"/>
        <v>-0.65952864013937562</v>
      </c>
      <c r="E489" s="307">
        <f t="shared" ca="1" si="212"/>
        <v>-0.90474035082261572</v>
      </c>
      <c r="F489" s="304">
        <f t="shared" ca="1" si="213"/>
        <v>1.119612937389848</v>
      </c>
      <c r="G489" s="306">
        <f t="shared" ca="1" si="214"/>
        <v>7.2926059094663556</v>
      </c>
      <c r="H489" s="307">
        <f t="shared" ca="1" si="215"/>
        <v>-98.46910685606467</v>
      </c>
      <c r="I489" s="304">
        <f t="shared" ca="1" si="216"/>
        <v>98.738782177935875</v>
      </c>
      <c r="J489" s="306">
        <f t="shared" ca="1" si="217"/>
        <v>678.53524446899166</v>
      </c>
      <c r="K489" s="307">
        <f t="shared" ca="1" si="218"/>
        <v>-3.9443682070138895</v>
      </c>
      <c r="L489" s="304">
        <f t="shared" ca="1" si="203"/>
        <v>678.54670880282572</v>
      </c>
      <c r="M489" s="306">
        <f t="shared" ca="1" si="219"/>
        <v>-1.4968714494814817</v>
      </c>
      <c r="N489" s="304">
        <f t="shared" ca="1" si="220"/>
        <v>-85.764416528918915</v>
      </c>
      <c r="P489" s="310">
        <f t="shared" ca="1" si="221"/>
        <v>23</v>
      </c>
      <c r="Q489" s="304">
        <f t="shared" ca="1" si="222"/>
        <v>0</v>
      </c>
      <c r="R489" s="306">
        <f t="shared" ca="1" si="223"/>
        <v>0</v>
      </c>
      <c r="S489" s="307">
        <f t="shared" ca="1" si="224"/>
        <v>4.341000000000002</v>
      </c>
      <c r="T489" s="304">
        <f t="shared" ca="1" si="204"/>
        <v>42.585210000000025</v>
      </c>
      <c r="U489" s="311">
        <f t="shared" ca="1" si="205"/>
        <v>0</v>
      </c>
      <c r="V489" s="306">
        <f t="shared" ca="1" si="206"/>
        <v>1.2254832804171547</v>
      </c>
      <c r="W489" s="304">
        <f t="shared" ca="1" si="207"/>
        <v>38.763710570822077</v>
      </c>
      <c r="Y489" s="314" t="str">
        <f t="shared" ca="1" si="225"/>
        <v/>
      </c>
      <c r="Z489" s="315" t="str">
        <f t="shared" ca="1" si="226"/>
        <v/>
      </c>
      <c r="AA489" s="316" t="str">
        <f t="shared" ca="1" si="227"/>
        <v/>
      </c>
      <c r="AC489" s="310" t="e">
        <f t="shared" ca="1" si="228"/>
        <v>#N/A</v>
      </c>
      <c r="AD489" s="323" t="e">
        <f t="shared" ca="1" si="229"/>
        <v>#N/A</v>
      </c>
      <c r="AE489" s="324" t="e">
        <f t="shared" ca="1" si="208"/>
        <v>#N/A</v>
      </c>
      <c r="AG489" s="306">
        <f t="shared" ca="1" si="230"/>
        <v>0.85355761401324592</v>
      </c>
      <c r="AH489" s="304">
        <f t="shared" ca="1" si="231"/>
        <v>-8.9296487862866716</v>
      </c>
    </row>
    <row r="490" spans="1:34" x14ac:dyDescent="0.2">
      <c r="A490" s="347">
        <f t="shared" ca="1" si="209"/>
        <v>1E-4</v>
      </c>
      <c r="B490" s="304">
        <f t="shared" ca="1" si="210"/>
        <v>28.611000000000114</v>
      </c>
      <c r="D490" s="306">
        <f t="shared" ca="1" si="211"/>
        <v>-0.65952389510724652</v>
      </c>
      <c r="E490" s="307">
        <f t="shared" ca="1" si="212"/>
        <v>-0.90471570140065793</v>
      </c>
      <c r="F490" s="304">
        <f t="shared" ca="1" si="213"/>
        <v>1.1195902235096191</v>
      </c>
      <c r="G490" s="306">
        <f t="shared" ca="1" si="214"/>
        <v>7.292539957076845</v>
      </c>
      <c r="H490" s="307">
        <f t="shared" ca="1" si="215"/>
        <v>-98.469197327634816</v>
      </c>
      <c r="I490" s="304">
        <f t="shared" ca="1" si="216"/>
        <v>98.738867531353861</v>
      </c>
      <c r="J490" s="306">
        <f t="shared" ca="1" si="217"/>
        <v>678.53524446899166</v>
      </c>
      <c r="K490" s="307">
        <f t="shared" ca="1" si="218"/>
        <v>-3.9542151222230744</v>
      </c>
      <c r="L490" s="304">
        <f t="shared" ca="1" si="203"/>
        <v>678.54676611404398</v>
      </c>
      <c r="M490" s="306">
        <f t="shared" ca="1" si="219"/>
        <v>-1.4968721832783334</v>
      </c>
      <c r="N490" s="304">
        <f t="shared" ca="1" si="220"/>
        <v>-85.764458572381542</v>
      </c>
      <c r="P490" s="310">
        <f t="shared" ca="1" si="221"/>
        <v>23</v>
      </c>
      <c r="Q490" s="304">
        <f t="shared" ca="1" si="222"/>
        <v>0</v>
      </c>
      <c r="R490" s="306">
        <f t="shared" ca="1" si="223"/>
        <v>0</v>
      </c>
      <c r="S490" s="307">
        <f t="shared" ca="1" si="224"/>
        <v>4.341000000000002</v>
      </c>
      <c r="T490" s="304">
        <f t="shared" ca="1" si="204"/>
        <v>42.585210000000025</v>
      </c>
      <c r="U490" s="311">
        <f t="shared" ca="1" si="205"/>
        <v>0</v>
      </c>
      <c r="V490" s="306">
        <f t="shared" ca="1" si="206"/>
        <v>1.2254844871407913</v>
      </c>
      <c r="W490" s="304">
        <f t="shared" ca="1" si="207"/>
        <v>38.763815758775436</v>
      </c>
      <c r="Y490" s="314" t="str">
        <f t="shared" ca="1" si="225"/>
        <v/>
      </c>
      <c r="Z490" s="315" t="str">
        <f t="shared" ca="1" si="226"/>
        <v/>
      </c>
      <c r="AA490" s="316" t="str">
        <f t="shared" ca="1" si="227"/>
        <v/>
      </c>
      <c r="AC490" s="310" t="e">
        <f t="shared" ca="1" si="228"/>
        <v>#N/A</v>
      </c>
      <c r="AD490" s="323" t="e">
        <f t="shared" ca="1" si="229"/>
        <v>#N/A</v>
      </c>
      <c r="AE490" s="324" t="e">
        <f t="shared" ca="1" si="208"/>
        <v>#N/A</v>
      </c>
      <c r="AG490" s="306">
        <f t="shared" ca="1" si="230"/>
        <v>0.85353391404821188</v>
      </c>
      <c r="AH490" s="304">
        <f t="shared" ca="1" si="231"/>
        <v>-8.9296730179272199</v>
      </c>
    </row>
    <row r="491" spans="1:34" x14ac:dyDescent="0.2">
      <c r="A491" s="347">
        <f t="shared" ca="1" si="209"/>
        <v>1E-4</v>
      </c>
      <c r="B491" s="304">
        <f t="shared" ca="1" si="210"/>
        <v>28.611100000000114</v>
      </c>
      <c r="D491" s="306">
        <f t="shared" ca="1" si="211"/>
        <v>-0.65951915008250106</v>
      </c>
      <c r="E491" s="307">
        <f t="shared" ca="1" si="212"/>
        <v>-0.90469105235325564</v>
      </c>
      <c r="F491" s="304">
        <f t="shared" ca="1" si="213"/>
        <v>1.1195675100384013</v>
      </c>
      <c r="G491" s="306">
        <f t="shared" ca="1" si="214"/>
        <v>7.2924740051618366</v>
      </c>
      <c r="H491" s="307">
        <f t="shared" ca="1" si="215"/>
        <v>-98.469287796740048</v>
      </c>
      <c r="I491" s="304">
        <f t="shared" ca="1" si="216"/>
        <v>98.73895288240189</v>
      </c>
      <c r="J491" s="306">
        <f t="shared" ca="1" si="217"/>
        <v>678.53524446899166</v>
      </c>
      <c r="K491" s="307">
        <f t="shared" ca="1" si="218"/>
        <v>-3.9640620464792931</v>
      </c>
      <c r="L491" s="304">
        <f t="shared" ca="1" si="203"/>
        <v>678.54682356820638</v>
      </c>
      <c r="M491" s="306">
        <f t="shared" ca="1" si="219"/>
        <v>-1.4968729170672801</v>
      </c>
      <c r="N491" s="304">
        <f t="shared" ca="1" si="220"/>
        <v>-85.764500615391242</v>
      </c>
      <c r="P491" s="310">
        <f t="shared" ca="1" si="221"/>
        <v>23</v>
      </c>
      <c r="Q491" s="304">
        <f t="shared" ca="1" si="222"/>
        <v>0</v>
      </c>
      <c r="R491" s="306">
        <f t="shared" ca="1" si="223"/>
        <v>0</v>
      </c>
      <c r="S491" s="307">
        <f t="shared" ca="1" si="224"/>
        <v>4.341000000000002</v>
      </c>
      <c r="T491" s="304">
        <f t="shared" ca="1" si="204"/>
        <v>42.585210000000025</v>
      </c>
      <c r="U491" s="311">
        <f t="shared" ca="1" si="205"/>
        <v>0</v>
      </c>
      <c r="V491" s="306">
        <f t="shared" ca="1" si="206"/>
        <v>1.2254856938667247</v>
      </c>
      <c r="W491" s="304">
        <f t="shared" ca="1" si="207"/>
        <v>38.763920945130508</v>
      </c>
      <c r="Y491" s="314" t="str">
        <f t="shared" ca="1" si="225"/>
        <v/>
      </c>
      <c r="Z491" s="315" t="str">
        <f t="shared" ca="1" si="226"/>
        <v/>
      </c>
      <c r="AA491" s="316" t="str">
        <f t="shared" ca="1" si="227"/>
        <v/>
      </c>
      <c r="AC491" s="310" t="e">
        <f t="shared" ca="1" si="228"/>
        <v>#N/A</v>
      </c>
      <c r="AD491" s="323" t="e">
        <f t="shared" ca="1" si="229"/>
        <v>#N/A</v>
      </c>
      <c r="AE491" s="324" t="e">
        <f t="shared" ca="1" si="208"/>
        <v>#N/A</v>
      </c>
      <c r="AG491" s="306">
        <f t="shared" ca="1" si="230"/>
        <v>0.85351021444036235</v>
      </c>
      <c r="AH491" s="304">
        <f t="shared" ca="1" si="231"/>
        <v>-8.9296972491995898</v>
      </c>
    </row>
    <row r="492" spans="1:34" x14ac:dyDescent="0.2">
      <c r="A492" s="347">
        <f t="shared" ca="1" si="209"/>
        <v>1E-4</v>
      </c>
      <c r="B492" s="304">
        <f t="shared" ca="1" si="210"/>
        <v>28.611200000000114</v>
      </c>
      <c r="D492" s="306">
        <f t="shared" ca="1" si="211"/>
        <v>-0.65951440506514003</v>
      </c>
      <c r="E492" s="307">
        <f t="shared" ca="1" si="212"/>
        <v>-0.90466640368041418</v>
      </c>
      <c r="F492" s="304">
        <f t="shared" ca="1" si="213"/>
        <v>1.1195447969761994</v>
      </c>
      <c r="G492" s="306">
        <f t="shared" ca="1" si="214"/>
        <v>7.2924080537213305</v>
      </c>
      <c r="H492" s="307">
        <f t="shared" ca="1" si="215"/>
        <v>-98.46937826338042</v>
      </c>
      <c r="I492" s="304">
        <f t="shared" ca="1" si="216"/>
        <v>98.739038231079988</v>
      </c>
      <c r="J492" s="306">
        <f t="shared" ca="1" si="217"/>
        <v>678.53524446899166</v>
      </c>
      <c r="K492" s="307">
        <f t="shared" ca="1" si="218"/>
        <v>-3.9739089797822991</v>
      </c>
      <c r="L492" s="304">
        <f t="shared" ca="1" si="203"/>
        <v>678.54688116531338</v>
      </c>
      <c r="M492" s="306">
        <f t="shared" ca="1" si="219"/>
        <v>-1.4968736508483222</v>
      </c>
      <c r="N492" s="304">
        <f t="shared" ca="1" si="220"/>
        <v>-85.764542657948041</v>
      </c>
      <c r="P492" s="310">
        <f t="shared" ca="1" si="221"/>
        <v>23</v>
      </c>
      <c r="Q492" s="304">
        <f t="shared" ca="1" si="222"/>
        <v>0</v>
      </c>
      <c r="R492" s="306">
        <f t="shared" ca="1" si="223"/>
        <v>0</v>
      </c>
      <c r="S492" s="307">
        <f t="shared" ca="1" si="224"/>
        <v>4.341000000000002</v>
      </c>
      <c r="T492" s="304">
        <f t="shared" ca="1" si="204"/>
        <v>42.585210000000025</v>
      </c>
      <c r="U492" s="311">
        <f t="shared" ca="1" si="205"/>
        <v>0</v>
      </c>
      <c r="V492" s="306">
        <f t="shared" ca="1" si="206"/>
        <v>1.225486900594956</v>
      </c>
      <c r="W492" s="304">
        <f t="shared" ca="1" si="207"/>
        <v>38.764026129887363</v>
      </c>
      <c r="Y492" s="314" t="str">
        <f t="shared" ca="1" si="225"/>
        <v/>
      </c>
      <c r="Z492" s="315" t="str">
        <f t="shared" ca="1" si="226"/>
        <v/>
      </c>
      <c r="AA492" s="316" t="str">
        <f t="shared" ca="1" si="227"/>
        <v/>
      </c>
      <c r="AC492" s="310" t="e">
        <f t="shared" ca="1" si="228"/>
        <v>#N/A</v>
      </c>
      <c r="AD492" s="323" t="e">
        <f t="shared" ca="1" si="229"/>
        <v>#N/A</v>
      </c>
      <c r="AE492" s="324" t="e">
        <f t="shared" ca="1" si="208"/>
        <v>#N/A</v>
      </c>
      <c r="AG492" s="306">
        <f t="shared" ca="1" si="230"/>
        <v>0.85348651518970087</v>
      </c>
      <c r="AH492" s="304">
        <f t="shared" ca="1" si="231"/>
        <v>-8.9297214801037761</v>
      </c>
    </row>
    <row r="493" spans="1:34" x14ac:dyDescent="0.2">
      <c r="A493" s="347">
        <f t="shared" ca="1" si="209"/>
        <v>1E-4</v>
      </c>
      <c r="B493" s="304">
        <f t="shared" ca="1" si="210"/>
        <v>28.611300000000114</v>
      </c>
      <c r="D493" s="306">
        <f t="shared" ca="1" si="211"/>
        <v>-0.65950966005516198</v>
      </c>
      <c r="E493" s="307">
        <f t="shared" ca="1" si="212"/>
        <v>-0.90464175538211578</v>
      </c>
      <c r="F493" s="304">
        <f t="shared" ca="1" si="213"/>
        <v>1.1195220843229985</v>
      </c>
      <c r="G493" s="306">
        <f t="shared" ca="1" si="214"/>
        <v>7.2923421027553248</v>
      </c>
      <c r="H493" s="307">
        <f t="shared" ca="1" si="215"/>
        <v>-98.469468727555963</v>
      </c>
      <c r="I493" s="304">
        <f t="shared" ca="1" si="216"/>
        <v>98.739123577388213</v>
      </c>
      <c r="J493" s="306">
        <f t="shared" ca="1" si="217"/>
        <v>678.53524446899166</v>
      </c>
      <c r="K493" s="307">
        <f t="shared" ca="1" si="218"/>
        <v>-3.9837559221318459</v>
      </c>
      <c r="L493" s="304">
        <f t="shared" ca="1" si="203"/>
        <v>678.54693890536521</v>
      </c>
      <c r="M493" s="306">
        <f t="shared" ca="1" si="219"/>
        <v>-1.4968743846214598</v>
      </c>
      <c r="N493" s="304">
        <f t="shared" ca="1" si="220"/>
        <v>-85.764584700051941</v>
      </c>
      <c r="P493" s="310">
        <f t="shared" ca="1" si="221"/>
        <v>23</v>
      </c>
      <c r="Q493" s="304">
        <f t="shared" ca="1" si="222"/>
        <v>0</v>
      </c>
      <c r="R493" s="306">
        <f t="shared" ca="1" si="223"/>
        <v>0</v>
      </c>
      <c r="S493" s="307">
        <f t="shared" ca="1" si="224"/>
        <v>4.341000000000002</v>
      </c>
      <c r="T493" s="304">
        <f t="shared" ca="1" si="204"/>
        <v>42.585210000000025</v>
      </c>
      <c r="U493" s="311">
        <f t="shared" ca="1" si="205"/>
        <v>0</v>
      </c>
      <c r="V493" s="306">
        <f t="shared" ca="1" si="206"/>
        <v>1.2254881073254835</v>
      </c>
      <c r="W493" s="304">
        <f t="shared" ca="1" si="207"/>
        <v>38.764131313045965</v>
      </c>
      <c r="Y493" s="314" t="str">
        <f t="shared" ca="1" si="225"/>
        <v/>
      </c>
      <c r="Z493" s="315" t="str">
        <f t="shared" ca="1" si="226"/>
        <v/>
      </c>
      <c r="AA493" s="316" t="str">
        <f t="shared" ca="1" si="227"/>
        <v/>
      </c>
      <c r="AC493" s="310" t="e">
        <f t="shared" ca="1" si="228"/>
        <v>#N/A</v>
      </c>
      <c r="AD493" s="323" t="e">
        <f t="shared" ca="1" si="229"/>
        <v>#N/A</v>
      </c>
      <c r="AE493" s="324" t="e">
        <f t="shared" ca="1" si="208"/>
        <v>#N/A</v>
      </c>
      <c r="AG493" s="306">
        <f t="shared" ca="1" si="230"/>
        <v>0.85346281629621146</v>
      </c>
      <c r="AH493" s="304">
        <f t="shared" ca="1" si="231"/>
        <v>-8.9297457106397946</v>
      </c>
    </row>
    <row r="494" spans="1:34" x14ac:dyDescent="0.2">
      <c r="A494" s="347">
        <f t="shared" ca="1" si="209"/>
        <v>1E-4</v>
      </c>
      <c r="B494" s="304">
        <f t="shared" ca="1" si="210"/>
        <v>28.611400000000113</v>
      </c>
      <c r="D494" s="306">
        <f t="shared" ca="1" si="211"/>
        <v>-0.6595049150525677</v>
      </c>
      <c r="E494" s="307">
        <f t="shared" ca="1" si="212"/>
        <v>-0.90461710745837109</v>
      </c>
      <c r="F494" s="304">
        <f t="shared" ca="1" si="213"/>
        <v>1.1194993720788076</v>
      </c>
      <c r="G494" s="306">
        <f t="shared" ca="1" si="214"/>
        <v>7.2922761522638195</v>
      </c>
      <c r="H494" s="307">
        <f t="shared" ca="1" si="215"/>
        <v>-98.469559189266704</v>
      </c>
      <c r="I494" s="304">
        <f t="shared" ca="1" si="216"/>
        <v>98.739208921326551</v>
      </c>
      <c r="J494" s="306">
        <f t="shared" ca="1" si="217"/>
        <v>678.53524446899166</v>
      </c>
      <c r="K494" s="307">
        <f t="shared" ca="1" si="218"/>
        <v>-3.9936028735276872</v>
      </c>
      <c r="L494" s="304">
        <f t="shared" ca="1" si="203"/>
        <v>678.54699678836232</v>
      </c>
      <c r="M494" s="306">
        <f t="shared" ca="1" si="219"/>
        <v>-1.4968751183866926</v>
      </c>
      <c r="N494" s="304">
        <f t="shared" ca="1" si="220"/>
        <v>-85.764626741702941</v>
      </c>
      <c r="P494" s="310">
        <f t="shared" ca="1" si="221"/>
        <v>23</v>
      </c>
      <c r="Q494" s="304">
        <f t="shared" ca="1" si="222"/>
        <v>0</v>
      </c>
      <c r="R494" s="306">
        <f t="shared" ca="1" si="223"/>
        <v>0</v>
      </c>
      <c r="S494" s="307">
        <f t="shared" ca="1" si="224"/>
        <v>4.341000000000002</v>
      </c>
      <c r="T494" s="304">
        <f t="shared" ca="1" si="204"/>
        <v>42.585210000000025</v>
      </c>
      <c r="U494" s="311">
        <f t="shared" ca="1" si="205"/>
        <v>0</v>
      </c>
      <c r="V494" s="306">
        <f t="shared" ca="1" si="206"/>
        <v>1.2254893140583087</v>
      </c>
      <c r="W494" s="304">
        <f t="shared" ca="1" si="207"/>
        <v>38.764236494606344</v>
      </c>
      <c r="Y494" s="314" t="str">
        <f t="shared" ca="1" si="225"/>
        <v/>
      </c>
      <c r="Z494" s="315" t="str">
        <f t="shared" ca="1" si="226"/>
        <v/>
      </c>
      <c r="AA494" s="316" t="str">
        <f t="shared" ca="1" si="227"/>
        <v/>
      </c>
      <c r="AC494" s="310" t="e">
        <f t="shared" ca="1" si="228"/>
        <v>#N/A</v>
      </c>
      <c r="AD494" s="323" t="e">
        <f t="shared" ca="1" si="229"/>
        <v>#N/A</v>
      </c>
      <c r="AE494" s="324" t="e">
        <f t="shared" ca="1" si="208"/>
        <v>#N/A</v>
      </c>
      <c r="AG494" s="306">
        <f t="shared" ca="1" si="230"/>
        <v>0.853439117759903</v>
      </c>
      <c r="AH494" s="304">
        <f t="shared" ca="1" si="231"/>
        <v>-8.9297699408076365</v>
      </c>
    </row>
    <row r="495" spans="1:34" x14ac:dyDescent="0.2">
      <c r="A495" s="347">
        <f t="shared" ca="1" si="209"/>
        <v>1E-4</v>
      </c>
      <c r="B495" s="304">
        <f t="shared" ca="1" si="210"/>
        <v>28.611500000000113</v>
      </c>
      <c r="D495" s="306">
        <f t="shared" ca="1" si="211"/>
        <v>-0.65950017005736139</v>
      </c>
      <c r="E495" s="307">
        <f t="shared" ca="1" si="212"/>
        <v>-0.90459245990917125</v>
      </c>
      <c r="F495" s="304">
        <f t="shared" ca="1" si="213"/>
        <v>1.1194766602436221</v>
      </c>
      <c r="G495" s="306">
        <f t="shared" ca="1" si="214"/>
        <v>7.2922102022468138</v>
      </c>
      <c r="H495" s="307">
        <f t="shared" ca="1" si="215"/>
        <v>-98.4696496485127</v>
      </c>
      <c r="I495" s="304">
        <f t="shared" ca="1" si="216"/>
        <v>98.7392942628951</v>
      </c>
      <c r="J495" s="306">
        <f t="shared" ca="1" si="217"/>
        <v>678.53524446899166</v>
      </c>
      <c r="K495" s="307">
        <f t="shared" ca="1" si="218"/>
        <v>-4.0034498339695759</v>
      </c>
      <c r="L495" s="304">
        <f t="shared" ca="1" si="203"/>
        <v>678.54705481430494</v>
      </c>
      <c r="M495" s="306">
        <f t="shared" ca="1" si="219"/>
        <v>-1.4968758521440211</v>
      </c>
      <c r="N495" s="304">
        <f t="shared" ca="1" si="220"/>
        <v>-85.76466878290104</v>
      </c>
      <c r="P495" s="310">
        <f t="shared" ca="1" si="221"/>
        <v>23</v>
      </c>
      <c r="Q495" s="304">
        <f t="shared" ca="1" si="222"/>
        <v>0</v>
      </c>
      <c r="R495" s="306">
        <f t="shared" ca="1" si="223"/>
        <v>0</v>
      </c>
      <c r="S495" s="307">
        <f t="shared" ca="1" si="224"/>
        <v>4.341000000000002</v>
      </c>
      <c r="T495" s="304">
        <f t="shared" ca="1" si="204"/>
        <v>42.585210000000025</v>
      </c>
      <c r="U495" s="311">
        <f t="shared" ca="1" si="205"/>
        <v>0</v>
      </c>
      <c r="V495" s="306">
        <f t="shared" ca="1" si="206"/>
        <v>1.225490520793431</v>
      </c>
      <c r="W495" s="304">
        <f t="shared" ca="1" si="207"/>
        <v>38.764341674568556</v>
      </c>
      <c r="Y495" s="314" t="str">
        <f t="shared" ca="1" si="225"/>
        <v/>
      </c>
      <c r="Z495" s="315" t="str">
        <f t="shared" ca="1" si="226"/>
        <v/>
      </c>
      <c r="AA495" s="316" t="str">
        <f t="shared" ca="1" si="227"/>
        <v/>
      </c>
      <c r="AC495" s="310" t="e">
        <f t="shared" ca="1" si="228"/>
        <v>#N/A</v>
      </c>
      <c r="AD495" s="323" t="e">
        <f t="shared" ca="1" si="229"/>
        <v>#N/A</v>
      </c>
      <c r="AE495" s="324" t="e">
        <f t="shared" ca="1" si="208"/>
        <v>#N/A</v>
      </c>
      <c r="AG495" s="306">
        <f t="shared" ca="1" si="230"/>
        <v>0.85341541958077194</v>
      </c>
      <c r="AH495" s="304">
        <f t="shared" ca="1" si="231"/>
        <v>-8.929794170607309</v>
      </c>
    </row>
    <row r="496" spans="1:34" x14ac:dyDescent="0.2">
      <c r="A496" s="347">
        <f t="shared" ca="1" si="209"/>
        <v>1E-4</v>
      </c>
      <c r="B496" s="304">
        <f t="shared" ca="1" si="210"/>
        <v>28.611600000000113</v>
      </c>
      <c r="D496" s="306">
        <f t="shared" ca="1" si="211"/>
        <v>-0.65949542506954106</v>
      </c>
      <c r="E496" s="307">
        <f t="shared" ca="1" si="212"/>
        <v>-0.90456781273450559</v>
      </c>
      <c r="F496" s="304">
        <f t="shared" ca="1" si="213"/>
        <v>1.1194539488174324</v>
      </c>
      <c r="G496" s="306">
        <f t="shared" ca="1" si="214"/>
        <v>7.2921442527043068</v>
      </c>
      <c r="H496" s="307">
        <f t="shared" ca="1" si="215"/>
        <v>-98.46974010529398</v>
      </c>
      <c r="I496" s="304">
        <f t="shared" ca="1" si="216"/>
        <v>98.739379602093877</v>
      </c>
      <c r="J496" s="306">
        <f t="shared" ca="1" si="217"/>
        <v>678.53524446899166</v>
      </c>
      <c r="K496" s="307">
        <f t="shared" ca="1" si="218"/>
        <v>-4.0132968034572665</v>
      </c>
      <c r="L496" s="304">
        <f t="shared" ca="1" si="203"/>
        <v>678.54711298319364</v>
      </c>
      <c r="M496" s="306">
        <f t="shared" ca="1" si="219"/>
        <v>-1.4968765858934452</v>
      </c>
      <c r="N496" s="304">
        <f t="shared" ca="1" si="220"/>
        <v>-85.764710823646269</v>
      </c>
      <c r="P496" s="310">
        <f t="shared" ca="1" si="221"/>
        <v>23</v>
      </c>
      <c r="Q496" s="304">
        <f t="shared" ca="1" si="222"/>
        <v>0</v>
      </c>
      <c r="R496" s="306">
        <f t="shared" ca="1" si="223"/>
        <v>0</v>
      </c>
      <c r="S496" s="307">
        <f t="shared" ca="1" si="224"/>
        <v>4.341000000000002</v>
      </c>
      <c r="T496" s="304">
        <f t="shared" ca="1" si="204"/>
        <v>42.585210000000025</v>
      </c>
      <c r="U496" s="311">
        <f t="shared" ca="1" si="205"/>
        <v>0</v>
      </c>
      <c r="V496" s="306">
        <f t="shared" ca="1" si="206"/>
        <v>1.2254917275308497</v>
      </c>
      <c r="W496" s="304">
        <f t="shared" ca="1" si="207"/>
        <v>38.764446852932558</v>
      </c>
      <c r="Y496" s="314" t="str">
        <f t="shared" ca="1" si="225"/>
        <v/>
      </c>
      <c r="Z496" s="315" t="str">
        <f t="shared" ca="1" si="226"/>
        <v/>
      </c>
      <c r="AA496" s="316" t="str">
        <f t="shared" ca="1" si="227"/>
        <v/>
      </c>
      <c r="AC496" s="310" t="e">
        <f t="shared" ca="1" si="228"/>
        <v>#N/A</v>
      </c>
      <c r="AD496" s="323" t="e">
        <f t="shared" ca="1" si="229"/>
        <v>#N/A</v>
      </c>
      <c r="AE496" s="324" t="e">
        <f t="shared" ca="1" si="208"/>
        <v>#N/A</v>
      </c>
      <c r="AG496" s="306">
        <f t="shared" ca="1" si="230"/>
        <v>0.85339172175880229</v>
      </c>
      <c r="AH496" s="304">
        <f t="shared" ca="1" si="231"/>
        <v>-8.9298184000388243</v>
      </c>
    </row>
    <row r="497" spans="1:34" x14ac:dyDescent="0.2">
      <c r="A497" s="347">
        <f t="shared" ca="1" si="209"/>
        <v>1E-4</v>
      </c>
      <c r="B497" s="304">
        <f t="shared" ca="1" si="210"/>
        <v>28.611700000000113</v>
      </c>
      <c r="D497" s="306">
        <f t="shared" ca="1" si="211"/>
        <v>-0.65949068008910761</v>
      </c>
      <c r="E497" s="307">
        <f t="shared" ca="1" si="212"/>
        <v>-0.90454316593438122</v>
      </c>
      <c r="F497" s="304">
        <f t="shared" ca="1" si="213"/>
        <v>1.1194312378002444</v>
      </c>
      <c r="G497" s="306">
        <f t="shared" ca="1" si="214"/>
        <v>7.2920783036362975</v>
      </c>
      <c r="H497" s="307">
        <f t="shared" ca="1" si="215"/>
        <v>-98.469830559610571</v>
      </c>
      <c r="I497" s="304">
        <f t="shared" ca="1" si="216"/>
        <v>98.739464938922879</v>
      </c>
      <c r="J497" s="306">
        <f t="shared" ca="1" si="217"/>
        <v>678.53524446899166</v>
      </c>
      <c r="K497" s="307">
        <f t="shared" ca="1" si="218"/>
        <v>-4.0231437819905116</v>
      </c>
      <c r="L497" s="304">
        <f t="shared" ca="1" si="203"/>
        <v>678.54717129502853</v>
      </c>
      <c r="M497" s="306">
        <f t="shared" ca="1" si="219"/>
        <v>-1.4968773196349652</v>
      </c>
      <c r="N497" s="304">
        <f t="shared" ca="1" si="220"/>
        <v>-85.764752863938611</v>
      </c>
      <c r="P497" s="310">
        <f t="shared" ca="1" si="221"/>
        <v>23</v>
      </c>
      <c r="Q497" s="304">
        <f t="shared" ca="1" si="222"/>
        <v>0</v>
      </c>
      <c r="R497" s="306">
        <f t="shared" ca="1" si="223"/>
        <v>0</v>
      </c>
      <c r="S497" s="307">
        <f t="shared" ca="1" si="224"/>
        <v>4.341000000000002</v>
      </c>
      <c r="T497" s="304">
        <f t="shared" ca="1" si="204"/>
        <v>42.585210000000025</v>
      </c>
      <c r="U497" s="311">
        <f t="shared" ca="1" si="205"/>
        <v>0</v>
      </c>
      <c r="V497" s="306">
        <f t="shared" ca="1" si="206"/>
        <v>1.225492934270566</v>
      </c>
      <c r="W497" s="304">
        <f t="shared" ca="1" si="207"/>
        <v>38.764552029698407</v>
      </c>
      <c r="Y497" s="314" t="str">
        <f t="shared" ca="1" si="225"/>
        <v/>
      </c>
      <c r="Z497" s="315" t="str">
        <f t="shared" ca="1" si="226"/>
        <v/>
      </c>
      <c r="AA497" s="316" t="str">
        <f t="shared" ca="1" si="227"/>
        <v/>
      </c>
      <c r="AC497" s="310" t="e">
        <f t="shared" ca="1" si="228"/>
        <v>#N/A</v>
      </c>
      <c r="AD497" s="323" t="e">
        <f t="shared" ca="1" si="229"/>
        <v>#N/A</v>
      </c>
      <c r="AE497" s="324" t="e">
        <f t="shared" ca="1" si="208"/>
        <v>#N/A</v>
      </c>
      <c r="AG497" s="306">
        <f t="shared" ca="1" si="230"/>
        <v>0.85336802429400294</v>
      </c>
      <c r="AH497" s="304">
        <f t="shared" ca="1" si="231"/>
        <v>-8.9298426291021755</v>
      </c>
    </row>
    <row r="498" spans="1:34" x14ac:dyDescent="0.2">
      <c r="A498" s="347">
        <f t="shared" ca="1" si="209"/>
        <v>1E-4</v>
      </c>
      <c r="B498" s="304">
        <f t="shared" ca="1" si="210"/>
        <v>28.611800000000112</v>
      </c>
      <c r="D498" s="306">
        <f t="shared" ca="1" si="211"/>
        <v>-0.65948593511606124</v>
      </c>
      <c r="E498" s="307">
        <f t="shared" ca="1" si="212"/>
        <v>-0.9045185195087857</v>
      </c>
      <c r="F498" s="304">
        <f t="shared" ca="1" si="213"/>
        <v>1.1194085271920486</v>
      </c>
      <c r="G498" s="306">
        <f t="shared" ca="1" si="214"/>
        <v>7.292012355042786</v>
      </c>
      <c r="H498" s="307">
        <f t="shared" ca="1" si="215"/>
        <v>-98.469921011462517</v>
      </c>
      <c r="I498" s="304">
        <f t="shared" ca="1" si="216"/>
        <v>98.739550273382164</v>
      </c>
      <c r="J498" s="306">
        <f t="shared" ca="1" si="217"/>
        <v>678.53524446899166</v>
      </c>
      <c r="K498" s="307">
        <f t="shared" ca="1" si="218"/>
        <v>-4.0329907695690652</v>
      </c>
      <c r="L498" s="304">
        <f t="shared" ca="1" si="203"/>
        <v>678.54722974981019</v>
      </c>
      <c r="M498" s="306">
        <f t="shared" ca="1" si="219"/>
        <v>-1.496878053368581</v>
      </c>
      <c r="N498" s="304">
        <f t="shared" ca="1" si="220"/>
        <v>-85.764794903778096</v>
      </c>
      <c r="P498" s="310">
        <f t="shared" ca="1" si="221"/>
        <v>23</v>
      </c>
      <c r="Q498" s="304">
        <f t="shared" ca="1" si="222"/>
        <v>0</v>
      </c>
      <c r="R498" s="306">
        <f t="shared" ca="1" si="223"/>
        <v>0</v>
      </c>
      <c r="S498" s="307">
        <f t="shared" ca="1" si="224"/>
        <v>4.341000000000002</v>
      </c>
      <c r="T498" s="304">
        <f t="shared" ca="1" si="204"/>
        <v>42.585210000000025</v>
      </c>
      <c r="U498" s="311">
        <f t="shared" ca="1" si="205"/>
        <v>0</v>
      </c>
      <c r="V498" s="306">
        <f t="shared" ca="1" si="206"/>
        <v>1.2254941410125797</v>
      </c>
      <c r="W498" s="304">
        <f t="shared" ca="1" si="207"/>
        <v>38.764657204866126</v>
      </c>
      <c r="Y498" s="314" t="str">
        <f t="shared" ca="1" si="225"/>
        <v/>
      </c>
      <c r="Z498" s="315" t="str">
        <f t="shared" ca="1" si="226"/>
        <v/>
      </c>
      <c r="AA498" s="316" t="str">
        <f t="shared" ca="1" si="227"/>
        <v/>
      </c>
      <c r="AC498" s="310" t="e">
        <f t="shared" ca="1" si="228"/>
        <v>#N/A</v>
      </c>
      <c r="AD498" s="323" t="e">
        <f t="shared" ca="1" si="229"/>
        <v>#N/A</v>
      </c>
      <c r="AE498" s="324" t="e">
        <f t="shared" ca="1" si="208"/>
        <v>#N/A</v>
      </c>
      <c r="AG498" s="306">
        <f t="shared" ca="1" si="230"/>
        <v>0.85334432718636499</v>
      </c>
      <c r="AH498" s="304">
        <f t="shared" ca="1" si="231"/>
        <v>-8.9298668577973714</v>
      </c>
    </row>
    <row r="499" spans="1:34" x14ac:dyDescent="0.2">
      <c r="A499" s="347">
        <f t="shared" ca="1" si="209"/>
        <v>1E-4</v>
      </c>
      <c r="B499" s="304">
        <f t="shared" ca="1" si="210"/>
        <v>28.611900000000112</v>
      </c>
      <c r="D499" s="306">
        <f t="shared" ca="1" si="211"/>
        <v>-0.65948119015040385</v>
      </c>
      <c r="E499" s="307">
        <f t="shared" ca="1" si="212"/>
        <v>-0.9044938734577137</v>
      </c>
      <c r="F499" s="304">
        <f t="shared" ca="1" si="213"/>
        <v>1.1193858169928417</v>
      </c>
      <c r="G499" s="306">
        <f t="shared" ca="1" si="214"/>
        <v>7.2919464069237714</v>
      </c>
      <c r="H499" s="307">
        <f t="shared" ca="1" si="215"/>
        <v>-98.470011460849861</v>
      </c>
      <c r="I499" s="304">
        <f t="shared" ca="1" si="216"/>
        <v>98.73963560547179</v>
      </c>
      <c r="J499" s="306">
        <f t="shared" ca="1" si="217"/>
        <v>678.53524446899166</v>
      </c>
      <c r="K499" s="307">
        <f t="shared" ca="1" si="218"/>
        <v>-4.0428377661926804</v>
      </c>
      <c r="L499" s="304">
        <f t="shared" ca="1" si="203"/>
        <v>678.54728834753882</v>
      </c>
      <c r="M499" s="306">
        <f t="shared" ca="1" si="219"/>
        <v>-1.4968787870942928</v>
      </c>
      <c r="N499" s="304">
        <f t="shared" ca="1" si="220"/>
        <v>-85.764836943164696</v>
      </c>
      <c r="P499" s="310">
        <f t="shared" ca="1" si="221"/>
        <v>23</v>
      </c>
      <c r="Q499" s="304">
        <f t="shared" ca="1" si="222"/>
        <v>0</v>
      </c>
      <c r="R499" s="306">
        <f t="shared" ca="1" si="223"/>
        <v>0</v>
      </c>
      <c r="S499" s="307">
        <f t="shared" ca="1" si="224"/>
        <v>4.341000000000002</v>
      </c>
      <c r="T499" s="304">
        <f t="shared" ca="1" si="204"/>
        <v>42.585210000000025</v>
      </c>
      <c r="U499" s="311">
        <f t="shared" ca="1" si="205"/>
        <v>0</v>
      </c>
      <c r="V499" s="306">
        <f t="shared" ca="1" si="206"/>
        <v>1.2254953477568897</v>
      </c>
      <c r="W499" s="304">
        <f t="shared" ca="1" si="207"/>
        <v>38.764762378435698</v>
      </c>
      <c r="Y499" s="314" t="str">
        <f t="shared" ca="1" si="225"/>
        <v/>
      </c>
      <c r="Z499" s="315" t="str">
        <f t="shared" ca="1" si="226"/>
        <v/>
      </c>
      <c r="AA499" s="316" t="str">
        <f t="shared" ca="1" si="227"/>
        <v/>
      </c>
      <c r="AC499" s="310" t="e">
        <f t="shared" ca="1" si="228"/>
        <v>#N/A</v>
      </c>
      <c r="AD499" s="323" t="e">
        <f t="shared" ca="1" si="229"/>
        <v>#N/A</v>
      </c>
      <c r="AE499" s="324" t="e">
        <f t="shared" ca="1" si="208"/>
        <v>#N/A</v>
      </c>
      <c r="AG499" s="306">
        <f t="shared" ca="1" si="230"/>
        <v>0.85332063043588136</v>
      </c>
      <c r="AH499" s="304">
        <f t="shared" ca="1" si="231"/>
        <v>-8.929891086124421</v>
      </c>
    </row>
    <row r="500" spans="1:34" x14ac:dyDescent="0.2">
      <c r="A500" s="347">
        <f t="shared" ca="1" si="209"/>
        <v>1E-4</v>
      </c>
      <c r="B500" s="304">
        <f t="shared" ca="1" si="210"/>
        <v>28.612000000000112</v>
      </c>
      <c r="D500" s="306">
        <f t="shared" ca="1" si="211"/>
        <v>-0.65947644519213666</v>
      </c>
      <c r="E500" s="307">
        <f t="shared" ca="1" si="212"/>
        <v>-0.90446922778117056</v>
      </c>
      <c r="F500" s="304">
        <f t="shared" ca="1" si="213"/>
        <v>1.1193631072026289</v>
      </c>
      <c r="G500" s="306">
        <f t="shared" ca="1" si="214"/>
        <v>7.2918804592792519</v>
      </c>
      <c r="H500" s="307">
        <f t="shared" ca="1" si="215"/>
        <v>-98.470101907772644</v>
      </c>
      <c r="I500" s="304">
        <f t="shared" ca="1" si="216"/>
        <v>98.73972093519177</v>
      </c>
      <c r="J500" s="306">
        <f t="shared" ca="1" si="217"/>
        <v>678.53524446899166</v>
      </c>
      <c r="K500" s="307">
        <f t="shared" ca="1" si="218"/>
        <v>-4.0526847718611112</v>
      </c>
      <c r="L500" s="304">
        <f t="shared" ca="1" si="203"/>
        <v>678.54734708821491</v>
      </c>
      <c r="M500" s="306">
        <f t="shared" ca="1" si="219"/>
        <v>-1.4968795208121008</v>
      </c>
      <c r="N500" s="304">
        <f t="shared" ca="1" si="220"/>
        <v>-85.764878982098452</v>
      </c>
      <c r="P500" s="310">
        <f t="shared" ca="1" si="221"/>
        <v>23</v>
      </c>
      <c r="Q500" s="304">
        <f t="shared" ca="1" si="222"/>
        <v>0</v>
      </c>
      <c r="R500" s="306">
        <f t="shared" ca="1" si="223"/>
        <v>0</v>
      </c>
      <c r="S500" s="307">
        <f t="shared" ca="1" si="224"/>
        <v>4.341000000000002</v>
      </c>
      <c r="T500" s="304">
        <f t="shared" ca="1" si="204"/>
        <v>42.585210000000025</v>
      </c>
      <c r="U500" s="311">
        <f t="shared" ca="1" si="205"/>
        <v>0</v>
      </c>
      <c r="V500" s="306">
        <f t="shared" ca="1" si="206"/>
        <v>1.2254965545034968</v>
      </c>
      <c r="W500" s="304">
        <f t="shared" ca="1" si="207"/>
        <v>38.764867550407168</v>
      </c>
      <c r="Y500" s="314" t="str">
        <f t="shared" ca="1" si="225"/>
        <v/>
      </c>
      <c r="Z500" s="315" t="str">
        <f t="shared" ca="1" si="226"/>
        <v/>
      </c>
      <c r="AA500" s="316" t="str">
        <f t="shared" ca="1" si="227"/>
        <v/>
      </c>
      <c r="AC500" s="310" t="e">
        <f t="shared" ca="1" si="228"/>
        <v>#N/A</v>
      </c>
      <c r="AD500" s="323" t="e">
        <f t="shared" ca="1" si="229"/>
        <v>#N/A</v>
      </c>
      <c r="AE500" s="324" t="e">
        <f t="shared" ca="1" si="208"/>
        <v>#N/A</v>
      </c>
      <c r="AG500" s="306">
        <f t="shared" ca="1" si="230"/>
        <v>0.85329693404255735</v>
      </c>
      <c r="AH500" s="304">
        <f t="shared" ca="1" si="231"/>
        <v>-8.929915314083317</v>
      </c>
    </row>
    <row r="501" spans="1:34" x14ac:dyDescent="0.2">
      <c r="A501" s="347">
        <f t="shared" ca="1" si="209"/>
        <v>1E-4</v>
      </c>
      <c r="B501" s="304">
        <f t="shared" ca="1" si="210"/>
        <v>28.612100000000112</v>
      </c>
      <c r="D501" s="306">
        <f t="shared" ca="1" si="211"/>
        <v>-0.65947170024125767</v>
      </c>
      <c r="E501" s="307">
        <f t="shared" ca="1" si="212"/>
        <v>-0.90444458247914383</v>
      </c>
      <c r="F501" s="304">
        <f t="shared" ca="1" si="213"/>
        <v>1.1193403978213992</v>
      </c>
      <c r="G501" s="306">
        <f t="shared" ca="1" si="214"/>
        <v>7.2918145121092275</v>
      </c>
      <c r="H501" s="307">
        <f t="shared" ca="1" si="215"/>
        <v>-98.470192352230896</v>
      </c>
      <c r="I501" s="304">
        <f t="shared" ca="1" si="216"/>
        <v>98.73980626254216</v>
      </c>
      <c r="J501" s="306">
        <f t="shared" ca="1" si="217"/>
        <v>678.53524446899166</v>
      </c>
      <c r="K501" s="307">
        <f t="shared" ca="1" si="218"/>
        <v>-4.0625317865741115</v>
      </c>
      <c r="L501" s="304">
        <f t="shared" ca="1" si="203"/>
        <v>678.54740597183866</v>
      </c>
      <c r="M501" s="306">
        <f t="shared" ca="1" si="219"/>
        <v>-1.496880254522005</v>
      </c>
      <c r="N501" s="304">
        <f t="shared" ca="1" si="220"/>
        <v>-85.764921020579351</v>
      </c>
      <c r="P501" s="310">
        <f t="shared" ca="1" si="221"/>
        <v>23</v>
      </c>
      <c r="Q501" s="304">
        <f t="shared" ca="1" si="222"/>
        <v>0</v>
      </c>
      <c r="R501" s="306">
        <f t="shared" ca="1" si="223"/>
        <v>0</v>
      </c>
      <c r="S501" s="307">
        <f t="shared" ca="1" si="224"/>
        <v>4.341000000000002</v>
      </c>
      <c r="T501" s="304">
        <f t="shared" ca="1" si="204"/>
        <v>42.585210000000025</v>
      </c>
      <c r="U501" s="311">
        <f t="shared" ca="1" si="205"/>
        <v>0</v>
      </c>
      <c r="V501" s="306">
        <f t="shared" ca="1" si="206"/>
        <v>1.225497761252401</v>
      </c>
      <c r="W501" s="304">
        <f t="shared" ca="1" si="207"/>
        <v>38.764972720780555</v>
      </c>
      <c r="Y501" s="314" t="str">
        <f t="shared" ca="1" si="225"/>
        <v/>
      </c>
      <c r="Z501" s="315" t="str">
        <f t="shared" ca="1" si="226"/>
        <v/>
      </c>
      <c r="AA501" s="316" t="str">
        <f t="shared" ca="1" si="227"/>
        <v/>
      </c>
      <c r="AC501" s="310" t="e">
        <f t="shared" ca="1" si="228"/>
        <v>#N/A</v>
      </c>
      <c r="AD501" s="323" t="e">
        <f t="shared" ca="1" si="229"/>
        <v>#N/A</v>
      </c>
      <c r="AE501" s="324" t="e">
        <f t="shared" ca="1" si="208"/>
        <v>#N/A</v>
      </c>
      <c r="AG501" s="306">
        <f t="shared" ca="1" si="230"/>
        <v>0.85327323800638055</v>
      </c>
      <c r="AH501" s="304">
        <f t="shared" ca="1" si="231"/>
        <v>-8.9299395416740737</v>
      </c>
    </row>
    <row r="502" spans="1:34" x14ac:dyDescent="0.2">
      <c r="A502" s="347">
        <f t="shared" ca="1" si="209"/>
        <v>1E-4</v>
      </c>
      <c r="B502" s="304">
        <f t="shared" ca="1" si="210"/>
        <v>28.612200000000112</v>
      </c>
      <c r="D502" s="306">
        <f t="shared" ca="1" si="211"/>
        <v>-0.65946695529777044</v>
      </c>
      <c r="E502" s="307">
        <f t="shared" ca="1" si="212"/>
        <v>-0.90441993755163175</v>
      </c>
      <c r="F502" s="304">
        <f t="shared" ca="1" si="213"/>
        <v>1.1193176888491529</v>
      </c>
      <c r="G502" s="306">
        <f t="shared" ca="1" si="214"/>
        <v>7.2917485654136973</v>
      </c>
      <c r="H502" s="307">
        <f t="shared" ca="1" si="215"/>
        <v>-98.470282794224644</v>
      </c>
      <c r="I502" s="304">
        <f t="shared" ca="1" si="216"/>
        <v>98.739891587522962</v>
      </c>
      <c r="J502" s="306">
        <f t="shared" ca="1" si="217"/>
        <v>678.53524446899166</v>
      </c>
      <c r="K502" s="307">
        <f t="shared" ca="1" si="218"/>
        <v>-4.0723788103314345</v>
      </c>
      <c r="L502" s="304">
        <f t="shared" ca="1" si="203"/>
        <v>678.54746499841053</v>
      </c>
      <c r="M502" s="306">
        <f t="shared" ca="1" si="219"/>
        <v>-1.4968809882240053</v>
      </c>
      <c r="N502" s="304">
        <f t="shared" ca="1" si="220"/>
        <v>-85.764963058607378</v>
      </c>
      <c r="P502" s="310">
        <f t="shared" ca="1" si="221"/>
        <v>23</v>
      </c>
      <c r="Q502" s="304">
        <f t="shared" ca="1" si="222"/>
        <v>0</v>
      </c>
      <c r="R502" s="306">
        <f t="shared" ca="1" si="223"/>
        <v>0</v>
      </c>
      <c r="S502" s="307">
        <f t="shared" ca="1" si="224"/>
        <v>4.341000000000002</v>
      </c>
      <c r="T502" s="304">
        <f t="shared" ca="1" si="204"/>
        <v>42.585210000000025</v>
      </c>
      <c r="U502" s="311">
        <f t="shared" ca="1" si="205"/>
        <v>0</v>
      </c>
      <c r="V502" s="306">
        <f t="shared" ca="1" si="206"/>
        <v>1.2254989680036019</v>
      </c>
      <c r="W502" s="304">
        <f t="shared" ca="1" si="207"/>
        <v>38.765077889555847</v>
      </c>
      <c r="Y502" s="314" t="str">
        <f t="shared" ca="1" si="225"/>
        <v/>
      </c>
      <c r="Z502" s="315" t="str">
        <f t="shared" ca="1" si="226"/>
        <v/>
      </c>
      <c r="AA502" s="316" t="str">
        <f t="shared" ca="1" si="227"/>
        <v/>
      </c>
      <c r="AC502" s="310" t="e">
        <f t="shared" ca="1" si="228"/>
        <v>#N/A</v>
      </c>
      <c r="AD502" s="323" t="e">
        <f t="shared" ca="1" si="229"/>
        <v>#N/A</v>
      </c>
      <c r="AE502" s="324" t="e">
        <f t="shared" ca="1" si="208"/>
        <v>#N/A</v>
      </c>
      <c r="AG502" s="306">
        <f t="shared" ca="1" si="230"/>
        <v>0.85324954232734918</v>
      </c>
      <c r="AH502" s="304">
        <f t="shared" ca="1" si="231"/>
        <v>-8.9299637688966911</v>
      </c>
    </row>
    <row r="503" spans="1:34" x14ac:dyDescent="0.2">
      <c r="A503" s="347">
        <f t="shared" ca="1" si="209"/>
        <v>1E-4</v>
      </c>
      <c r="B503" s="304">
        <f t="shared" ca="1" si="210"/>
        <v>28.612300000000111</v>
      </c>
      <c r="D503" s="306">
        <f t="shared" ca="1" si="211"/>
        <v>-0.65946221036167674</v>
      </c>
      <c r="E503" s="307">
        <f t="shared" ca="1" si="212"/>
        <v>-0.9043952929986343</v>
      </c>
      <c r="F503" s="304">
        <f t="shared" ca="1" si="213"/>
        <v>1.1192949802858914</v>
      </c>
      <c r="G503" s="306">
        <f t="shared" ca="1" si="214"/>
        <v>7.2916826191926614</v>
      </c>
      <c r="H503" s="307">
        <f t="shared" ca="1" si="215"/>
        <v>-98.470373233753946</v>
      </c>
      <c r="I503" s="304">
        <f t="shared" ca="1" si="216"/>
        <v>98.739976910134232</v>
      </c>
      <c r="J503" s="306">
        <f t="shared" ca="1" si="217"/>
        <v>678.53524446899166</v>
      </c>
      <c r="K503" s="307">
        <f t="shared" ca="1" si="218"/>
        <v>-4.0822258431328331</v>
      </c>
      <c r="L503" s="304">
        <f t="shared" ca="1" si="203"/>
        <v>678.54752416793076</v>
      </c>
      <c r="M503" s="306">
        <f t="shared" ca="1" si="219"/>
        <v>-1.4968817219181023</v>
      </c>
      <c r="N503" s="304">
        <f t="shared" ca="1" si="220"/>
        <v>-85.765005096182591</v>
      </c>
      <c r="P503" s="310">
        <f t="shared" ca="1" si="221"/>
        <v>23</v>
      </c>
      <c r="Q503" s="304">
        <f t="shared" ca="1" si="222"/>
        <v>0</v>
      </c>
      <c r="R503" s="306">
        <f t="shared" ca="1" si="223"/>
        <v>0</v>
      </c>
      <c r="S503" s="307">
        <f t="shared" ca="1" si="224"/>
        <v>4.341000000000002</v>
      </c>
      <c r="T503" s="304">
        <f t="shared" ca="1" si="204"/>
        <v>42.585210000000025</v>
      </c>
      <c r="U503" s="311">
        <f t="shared" ca="1" si="205"/>
        <v>0</v>
      </c>
      <c r="V503" s="306">
        <f t="shared" ca="1" si="206"/>
        <v>1.2255001747570999</v>
      </c>
      <c r="W503" s="304">
        <f t="shared" ca="1" si="207"/>
        <v>38.7651830567331</v>
      </c>
      <c r="Y503" s="314" t="str">
        <f t="shared" ca="1" si="225"/>
        <v/>
      </c>
      <c r="Z503" s="315" t="str">
        <f t="shared" ca="1" si="226"/>
        <v/>
      </c>
      <c r="AA503" s="316" t="str">
        <f t="shared" ca="1" si="227"/>
        <v/>
      </c>
      <c r="AC503" s="310" t="e">
        <f t="shared" ca="1" si="228"/>
        <v>#N/A</v>
      </c>
      <c r="AD503" s="323" t="e">
        <f t="shared" ca="1" si="229"/>
        <v>#N/A</v>
      </c>
      <c r="AE503" s="324" t="e">
        <f t="shared" ca="1" si="208"/>
        <v>#N/A</v>
      </c>
      <c r="AG503" s="306">
        <f t="shared" ca="1" si="230"/>
        <v>0.85322584700546145</v>
      </c>
      <c r="AH503" s="304">
        <f t="shared" ca="1" si="231"/>
        <v>-8.929987995751171</v>
      </c>
    </row>
    <row r="504" spans="1:34" x14ac:dyDescent="0.2">
      <c r="A504" s="347">
        <f t="shared" ca="1" si="209"/>
        <v>1E-4</v>
      </c>
      <c r="B504" s="304">
        <f t="shared" ca="1" si="210"/>
        <v>28.612400000000111</v>
      </c>
      <c r="D504" s="306">
        <f t="shared" ca="1" si="211"/>
        <v>-0.65945746543297235</v>
      </c>
      <c r="E504" s="307">
        <f t="shared" ca="1" si="212"/>
        <v>-0.90437064882013729</v>
      </c>
      <c r="F504" s="304">
        <f t="shared" ca="1" si="213"/>
        <v>1.1192722721316006</v>
      </c>
      <c r="G504" s="306">
        <f t="shared" ca="1" si="214"/>
        <v>7.2916166734461179</v>
      </c>
      <c r="H504" s="307">
        <f t="shared" ca="1" si="215"/>
        <v>-98.47046367081883</v>
      </c>
      <c r="I504" s="304">
        <f t="shared" ca="1" si="216"/>
        <v>98.740062230376012</v>
      </c>
      <c r="J504" s="306">
        <f t="shared" ca="1" si="217"/>
        <v>678.53524446899166</v>
      </c>
      <c r="K504" s="307">
        <f t="shared" ca="1" si="218"/>
        <v>-4.0920728849780614</v>
      </c>
      <c r="L504" s="304">
        <f t="shared" ca="1" si="203"/>
        <v>678.54758348039991</v>
      </c>
      <c r="M504" s="306">
        <f t="shared" ca="1" si="219"/>
        <v>-1.4968824556042957</v>
      </c>
      <c r="N504" s="304">
        <f t="shared" ca="1" si="220"/>
        <v>-85.765047133304961</v>
      </c>
      <c r="P504" s="310">
        <f t="shared" ca="1" si="221"/>
        <v>23</v>
      </c>
      <c r="Q504" s="304">
        <f t="shared" ca="1" si="222"/>
        <v>0</v>
      </c>
      <c r="R504" s="306">
        <f t="shared" ca="1" si="223"/>
        <v>0</v>
      </c>
      <c r="S504" s="307">
        <f t="shared" ca="1" si="224"/>
        <v>4.341000000000002</v>
      </c>
      <c r="T504" s="304">
        <f t="shared" ca="1" si="204"/>
        <v>42.585210000000025</v>
      </c>
      <c r="U504" s="311">
        <f t="shared" ca="1" si="205"/>
        <v>0</v>
      </c>
      <c r="V504" s="306">
        <f t="shared" ca="1" si="206"/>
        <v>1.2255013815128946</v>
      </c>
      <c r="W504" s="304">
        <f t="shared" ca="1" si="207"/>
        <v>38.7652882223123</v>
      </c>
      <c r="Y504" s="314" t="str">
        <f t="shared" ca="1" si="225"/>
        <v/>
      </c>
      <c r="Z504" s="315" t="str">
        <f t="shared" ca="1" si="226"/>
        <v/>
      </c>
      <c r="AA504" s="316" t="str">
        <f t="shared" ca="1" si="227"/>
        <v/>
      </c>
      <c r="AC504" s="310" t="e">
        <f t="shared" ca="1" si="228"/>
        <v>#N/A</v>
      </c>
      <c r="AD504" s="323" t="e">
        <f t="shared" ca="1" si="229"/>
        <v>#N/A</v>
      </c>
      <c r="AE504" s="324" t="e">
        <f t="shared" ca="1" si="208"/>
        <v>#N/A</v>
      </c>
      <c r="AG504" s="306">
        <f t="shared" ca="1" si="230"/>
        <v>0.85320215204071381</v>
      </c>
      <c r="AH504" s="304">
        <f t="shared" ca="1" si="231"/>
        <v>-8.9300122222375222</v>
      </c>
    </row>
    <row r="505" spans="1:34" x14ac:dyDescent="0.2">
      <c r="A505" s="347">
        <f t="shared" ca="1" si="209"/>
        <v>1E-4</v>
      </c>
      <c r="B505" s="304">
        <f t="shared" ca="1" si="210"/>
        <v>28.612500000000111</v>
      </c>
      <c r="D505" s="306">
        <f t="shared" ca="1" si="211"/>
        <v>-0.6594527205116627</v>
      </c>
      <c r="E505" s="307">
        <f t="shared" ca="1" si="212"/>
        <v>-0.90434600501614959</v>
      </c>
      <c r="F505" s="304">
        <f t="shared" ca="1" si="213"/>
        <v>1.1192495643862912</v>
      </c>
      <c r="G505" s="306">
        <f t="shared" ca="1" si="214"/>
        <v>7.2915507281740668</v>
      </c>
      <c r="H505" s="307">
        <f t="shared" ca="1" si="215"/>
        <v>-98.470554105419339</v>
      </c>
      <c r="I505" s="304">
        <f t="shared" ca="1" si="216"/>
        <v>98.740147548248331</v>
      </c>
      <c r="J505" s="306">
        <f t="shared" ca="1" si="217"/>
        <v>678.53524446899166</v>
      </c>
      <c r="K505" s="307">
        <f t="shared" ca="1" si="218"/>
        <v>-4.1019199358668734</v>
      </c>
      <c r="L505" s="304">
        <f t="shared" ca="1" si="203"/>
        <v>678.54764293581809</v>
      </c>
      <c r="M505" s="306">
        <f t="shared" ca="1" si="219"/>
        <v>-1.4968831892825858</v>
      </c>
      <c r="N505" s="304">
        <f t="shared" ca="1" si="220"/>
        <v>-85.765089169974502</v>
      </c>
      <c r="P505" s="310">
        <f t="shared" ca="1" si="221"/>
        <v>23</v>
      </c>
      <c r="Q505" s="304">
        <f t="shared" ca="1" si="222"/>
        <v>0</v>
      </c>
      <c r="R505" s="306">
        <f t="shared" ca="1" si="223"/>
        <v>0</v>
      </c>
      <c r="S505" s="307">
        <f t="shared" ca="1" si="224"/>
        <v>4.341000000000002</v>
      </c>
      <c r="T505" s="304">
        <f t="shared" ca="1" si="204"/>
        <v>42.585210000000025</v>
      </c>
      <c r="U505" s="311">
        <f t="shared" ca="1" si="205"/>
        <v>0</v>
      </c>
      <c r="V505" s="306">
        <f t="shared" ca="1" si="206"/>
        <v>1.2255025882709862</v>
      </c>
      <c r="W505" s="304">
        <f t="shared" ca="1" si="207"/>
        <v>38.765393386293482</v>
      </c>
      <c r="Y505" s="314" t="str">
        <f t="shared" ca="1" si="225"/>
        <v/>
      </c>
      <c r="Z505" s="315" t="str">
        <f t="shared" ca="1" si="226"/>
        <v/>
      </c>
      <c r="AA505" s="316" t="str">
        <f t="shared" ca="1" si="227"/>
        <v/>
      </c>
      <c r="AC505" s="310" t="e">
        <f t="shared" ca="1" si="228"/>
        <v>#N/A</v>
      </c>
      <c r="AD505" s="323" t="e">
        <f t="shared" ca="1" si="229"/>
        <v>#N/A</v>
      </c>
      <c r="AE505" s="324" t="e">
        <f t="shared" ca="1" si="208"/>
        <v>#N/A</v>
      </c>
      <c r="AG505" s="306">
        <f t="shared" ca="1" si="230"/>
        <v>0.85317845743310095</v>
      </c>
      <c r="AH505" s="304">
        <f t="shared" ca="1" si="231"/>
        <v>-8.9300364483557431</v>
      </c>
    </row>
    <row r="506" spans="1:34" x14ac:dyDescent="0.2">
      <c r="A506" s="347">
        <f t="shared" ca="1" si="209"/>
        <v>1E-4</v>
      </c>
      <c r="B506" s="304">
        <f t="shared" ca="1" si="210"/>
        <v>28.612600000000111</v>
      </c>
      <c r="D506" s="306">
        <f t="shared" ca="1" si="211"/>
        <v>-0.65944797559774571</v>
      </c>
      <c r="E506" s="307">
        <f t="shared" ca="1" si="212"/>
        <v>-0.90432136158665877</v>
      </c>
      <c r="F506" s="304">
        <f t="shared" ca="1" si="213"/>
        <v>1.119226857049952</v>
      </c>
      <c r="G506" s="306">
        <f t="shared" ca="1" si="214"/>
        <v>7.2914847833765073</v>
      </c>
      <c r="H506" s="307">
        <f t="shared" ca="1" si="215"/>
        <v>-98.470644537555501</v>
      </c>
      <c r="I506" s="304">
        <f t="shared" ca="1" si="216"/>
        <v>98.740232863751245</v>
      </c>
      <c r="J506" s="306">
        <f t="shared" ca="1" si="217"/>
        <v>678.53524446899166</v>
      </c>
      <c r="K506" s="307">
        <f t="shared" ca="1" si="218"/>
        <v>-4.1117669957990222</v>
      </c>
      <c r="L506" s="304">
        <f t="shared" ca="1" si="203"/>
        <v>678.54770253418587</v>
      </c>
      <c r="M506" s="306">
        <f t="shared" ca="1" si="219"/>
        <v>-1.4968839229529727</v>
      </c>
      <c r="N506" s="304">
        <f t="shared" ca="1" si="220"/>
        <v>-85.765131206191228</v>
      </c>
      <c r="P506" s="310">
        <f t="shared" ca="1" si="221"/>
        <v>23</v>
      </c>
      <c r="Q506" s="304">
        <f t="shared" ca="1" si="222"/>
        <v>0</v>
      </c>
      <c r="R506" s="306">
        <f t="shared" ca="1" si="223"/>
        <v>0</v>
      </c>
      <c r="S506" s="307">
        <f t="shared" ca="1" si="224"/>
        <v>4.341000000000002</v>
      </c>
      <c r="T506" s="304">
        <f t="shared" ca="1" si="204"/>
        <v>42.585210000000025</v>
      </c>
      <c r="U506" s="311">
        <f t="shared" ca="1" si="205"/>
        <v>0</v>
      </c>
      <c r="V506" s="306">
        <f t="shared" ca="1" si="206"/>
        <v>1.2255037950313747</v>
      </c>
      <c r="W506" s="304">
        <f t="shared" ca="1" si="207"/>
        <v>38.765498548676682</v>
      </c>
      <c r="Y506" s="314" t="str">
        <f t="shared" ca="1" si="225"/>
        <v/>
      </c>
      <c r="Z506" s="315" t="str">
        <f t="shared" ca="1" si="226"/>
        <v/>
      </c>
      <c r="AA506" s="316" t="str">
        <f t="shared" ca="1" si="227"/>
        <v/>
      </c>
      <c r="AC506" s="310" t="e">
        <f t="shared" ca="1" si="228"/>
        <v>#N/A</v>
      </c>
      <c r="AD506" s="323" t="e">
        <f t="shared" ca="1" si="229"/>
        <v>#N/A</v>
      </c>
      <c r="AE506" s="324" t="e">
        <f t="shared" ca="1" si="208"/>
        <v>#N/A</v>
      </c>
      <c r="AG506" s="306">
        <f t="shared" ca="1" si="230"/>
        <v>0.85315476318262107</v>
      </c>
      <c r="AH506" s="304">
        <f t="shared" ca="1" si="231"/>
        <v>-8.9300606741058424</v>
      </c>
    </row>
    <row r="507" spans="1:34" x14ac:dyDescent="0.2">
      <c r="A507" s="347">
        <f t="shared" ca="1" si="209"/>
        <v>1E-4</v>
      </c>
      <c r="B507" s="304">
        <f t="shared" ca="1" si="210"/>
        <v>28.61270000000011</v>
      </c>
      <c r="D507" s="306">
        <f t="shared" ca="1" si="211"/>
        <v>-0.65944323069122368</v>
      </c>
      <c r="E507" s="307">
        <f t="shared" ca="1" si="212"/>
        <v>-0.90429671853165416</v>
      </c>
      <c r="F507" s="304">
        <f t="shared" ca="1" si="213"/>
        <v>1.1192041501225753</v>
      </c>
      <c r="G507" s="306">
        <f t="shared" ca="1" si="214"/>
        <v>7.2914188390534385</v>
      </c>
      <c r="H507" s="307">
        <f t="shared" ca="1" si="215"/>
        <v>-98.470734967227358</v>
      </c>
      <c r="I507" s="304">
        <f t="shared" ca="1" si="216"/>
        <v>98.740318176884742</v>
      </c>
      <c r="J507" s="306">
        <f t="shared" ca="1" si="217"/>
        <v>678.53524446899166</v>
      </c>
      <c r="K507" s="307">
        <f t="shared" ca="1" si="218"/>
        <v>-4.1216140647742616</v>
      </c>
      <c r="L507" s="304">
        <f t="shared" ca="1" si="203"/>
        <v>678.54776227550349</v>
      </c>
      <c r="M507" s="306">
        <f t="shared" ca="1" si="219"/>
        <v>-1.4968846566154563</v>
      </c>
      <c r="N507" s="304">
        <f t="shared" ca="1" si="220"/>
        <v>-85.765173241955125</v>
      </c>
      <c r="P507" s="310">
        <f t="shared" ca="1" si="221"/>
        <v>23</v>
      </c>
      <c r="Q507" s="304">
        <f t="shared" ca="1" si="222"/>
        <v>0</v>
      </c>
      <c r="R507" s="306">
        <f t="shared" ca="1" si="223"/>
        <v>0</v>
      </c>
      <c r="S507" s="307">
        <f t="shared" ca="1" si="224"/>
        <v>4.341000000000002</v>
      </c>
      <c r="T507" s="304">
        <f t="shared" ca="1" si="204"/>
        <v>42.585210000000025</v>
      </c>
      <c r="U507" s="311">
        <f t="shared" ca="1" si="205"/>
        <v>0</v>
      </c>
      <c r="V507" s="306">
        <f t="shared" ca="1" si="206"/>
        <v>1.2255050017940599</v>
      </c>
      <c r="W507" s="304">
        <f t="shared" ca="1" si="207"/>
        <v>38.765603709461878</v>
      </c>
      <c r="Y507" s="314" t="str">
        <f t="shared" ca="1" si="225"/>
        <v/>
      </c>
      <c r="Z507" s="315" t="str">
        <f t="shared" ca="1" si="226"/>
        <v/>
      </c>
      <c r="AA507" s="316" t="str">
        <f t="shared" ca="1" si="227"/>
        <v/>
      </c>
      <c r="AC507" s="310" t="e">
        <f t="shared" ca="1" si="228"/>
        <v>#N/A</v>
      </c>
      <c r="AD507" s="323" t="e">
        <f t="shared" ca="1" si="229"/>
        <v>#N/A</v>
      </c>
      <c r="AE507" s="324" t="e">
        <f t="shared" ca="1" si="208"/>
        <v>#N/A</v>
      </c>
      <c r="AG507" s="306">
        <f t="shared" ca="1" si="230"/>
        <v>0.85313106928925997</v>
      </c>
      <c r="AH507" s="304">
        <f t="shared" ca="1" si="231"/>
        <v>-8.930084899487829</v>
      </c>
    </row>
    <row r="508" spans="1:34" x14ac:dyDescent="0.2">
      <c r="A508" s="347">
        <f t="shared" ca="1" si="209"/>
        <v>1E-4</v>
      </c>
      <c r="B508" s="304">
        <f t="shared" ca="1" si="210"/>
        <v>28.61280000000011</v>
      </c>
      <c r="D508" s="306">
        <f t="shared" ca="1" si="211"/>
        <v>-0.65943848579209718</v>
      </c>
      <c r="E508" s="307">
        <f t="shared" ca="1" si="212"/>
        <v>-0.90427207585114466</v>
      </c>
      <c r="F508" s="304">
        <f t="shared" ca="1" si="213"/>
        <v>1.1191814436041692</v>
      </c>
      <c r="G508" s="306">
        <f t="shared" ca="1" si="214"/>
        <v>7.2913528952048594</v>
      </c>
      <c r="H508" s="307">
        <f t="shared" ca="1" si="215"/>
        <v>-98.470825394434939</v>
      </c>
      <c r="I508" s="304">
        <f t="shared" ca="1" si="216"/>
        <v>98.740403487648891</v>
      </c>
      <c r="J508" s="306">
        <f t="shared" ca="1" si="217"/>
        <v>678.53524446899166</v>
      </c>
      <c r="K508" s="307">
        <f t="shared" ca="1" si="218"/>
        <v>-4.1314611427923449</v>
      </c>
      <c r="L508" s="304">
        <f t="shared" ca="1" si="203"/>
        <v>678.54782215977139</v>
      </c>
      <c r="M508" s="306">
        <f t="shared" ca="1" si="219"/>
        <v>-1.4968853902700372</v>
      </c>
      <c r="N508" s="304">
        <f t="shared" ca="1" si="220"/>
        <v>-85.765215277266236</v>
      </c>
      <c r="P508" s="310">
        <f t="shared" ca="1" si="221"/>
        <v>23</v>
      </c>
      <c r="Q508" s="304">
        <f t="shared" ca="1" si="222"/>
        <v>0</v>
      </c>
      <c r="R508" s="306">
        <f t="shared" ca="1" si="223"/>
        <v>0</v>
      </c>
      <c r="S508" s="307">
        <f t="shared" ca="1" si="224"/>
        <v>4.341000000000002</v>
      </c>
      <c r="T508" s="304">
        <f t="shared" ca="1" si="204"/>
        <v>42.585210000000025</v>
      </c>
      <c r="U508" s="311">
        <f t="shared" ca="1" si="205"/>
        <v>0</v>
      </c>
      <c r="V508" s="306">
        <f t="shared" ca="1" si="206"/>
        <v>1.2255062085590416</v>
      </c>
      <c r="W508" s="304">
        <f t="shared" ca="1" si="207"/>
        <v>38.765708868649085</v>
      </c>
      <c r="Y508" s="314" t="str">
        <f t="shared" ca="1" si="225"/>
        <v/>
      </c>
      <c r="Z508" s="315" t="str">
        <f t="shared" ca="1" si="226"/>
        <v/>
      </c>
      <c r="AA508" s="316" t="str">
        <f t="shared" ca="1" si="227"/>
        <v/>
      </c>
      <c r="AC508" s="310" t="e">
        <f t="shared" ca="1" si="228"/>
        <v>#N/A</v>
      </c>
      <c r="AD508" s="323" t="e">
        <f t="shared" ca="1" si="229"/>
        <v>#N/A</v>
      </c>
      <c r="AE508" s="324" t="e">
        <f t="shared" ca="1" si="208"/>
        <v>#N/A</v>
      </c>
      <c r="AG508" s="306">
        <f t="shared" ca="1" si="230"/>
        <v>0.85310737575303008</v>
      </c>
      <c r="AH508" s="304">
        <f t="shared" ca="1" si="231"/>
        <v>-8.9301091245016959</v>
      </c>
    </row>
    <row r="509" spans="1:34" x14ac:dyDescent="0.2">
      <c r="A509" s="347">
        <f t="shared" ca="1" si="209"/>
        <v>1E-4</v>
      </c>
      <c r="B509" s="304">
        <f t="shared" ca="1" si="210"/>
        <v>28.61290000000011</v>
      </c>
      <c r="D509" s="306">
        <f t="shared" ca="1" si="211"/>
        <v>-0.659433740900364</v>
      </c>
      <c r="E509" s="307">
        <f t="shared" ca="1" si="212"/>
        <v>-0.90424743354512849</v>
      </c>
      <c r="F509" s="304">
        <f t="shared" ca="1" si="213"/>
        <v>1.1191587374947307</v>
      </c>
      <c r="G509" s="306">
        <f t="shared" ca="1" si="214"/>
        <v>7.2912869518307692</v>
      </c>
      <c r="H509" s="307">
        <f t="shared" ca="1" si="215"/>
        <v>-98.470915819178288</v>
      </c>
      <c r="I509" s="304">
        <f t="shared" ca="1" si="216"/>
        <v>98.740488796043707</v>
      </c>
      <c r="J509" s="306">
        <f t="shared" ca="1" si="217"/>
        <v>678.53524446899166</v>
      </c>
      <c r="K509" s="307">
        <f t="shared" ca="1" si="218"/>
        <v>-4.1413082298530259</v>
      </c>
      <c r="L509" s="304">
        <f t="shared" ca="1" si="203"/>
        <v>678.5478821869898</v>
      </c>
      <c r="M509" s="306">
        <f t="shared" ca="1" si="219"/>
        <v>-1.4968861239167151</v>
      </c>
      <c r="N509" s="304">
        <f t="shared" ca="1" si="220"/>
        <v>-85.765257312124533</v>
      </c>
      <c r="P509" s="310">
        <f t="shared" ca="1" si="221"/>
        <v>23</v>
      </c>
      <c r="Q509" s="304">
        <f t="shared" ca="1" si="222"/>
        <v>0</v>
      </c>
      <c r="R509" s="306">
        <f t="shared" ca="1" si="223"/>
        <v>0</v>
      </c>
      <c r="S509" s="307">
        <f t="shared" ca="1" si="224"/>
        <v>4.341000000000002</v>
      </c>
      <c r="T509" s="304">
        <f t="shared" ca="1" si="204"/>
        <v>42.585210000000025</v>
      </c>
      <c r="U509" s="311">
        <f t="shared" ca="1" si="205"/>
        <v>0</v>
      </c>
      <c r="V509" s="306">
        <f t="shared" ca="1" si="206"/>
        <v>1.2255074153263206</v>
      </c>
      <c r="W509" s="304">
        <f t="shared" ca="1" si="207"/>
        <v>38.765814026238353</v>
      </c>
      <c r="Y509" s="314" t="str">
        <f t="shared" ca="1" si="225"/>
        <v/>
      </c>
      <c r="Z509" s="315" t="str">
        <f t="shared" ca="1" si="226"/>
        <v/>
      </c>
      <c r="AA509" s="316" t="str">
        <f t="shared" ca="1" si="227"/>
        <v/>
      </c>
      <c r="AC509" s="310" t="e">
        <f t="shared" ca="1" si="228"/>
        <v>#N/A</v>
      </c>
      <c r="AD509" s="323" t="e">
        <f t="shared" ca="1" si="229"/>
        <v>#N/A</v>
      </c>
      <c r="AE509" s="324" t="e">
        <f t="shared" ca="1" si="208"/>
        <v>#N/A</v>
      </c>
      <c r="AG509" s="306">
        <f t="shared" ca="1" si="230"/>
        <v>0.85308368257392431</v>
      </c>
      <c r="AH509" s="304">
        <f t="shared" ca="1" si="231"/>
        <v>-8.9301333491474466</v>
      </c>
    </row>
    <row r="510" spans="1:34" x14ac:dyDescent="0.2">
      <c r="A510" s="347">
        <f t="shared" ca="1" si="209"/>
        <v>1E-4</v>
      </c>
      <c r="B510" s="304">
        <f t="shared" ca="1" si="210"/>
        <v>28.61300000000011</v>
      </c>
      <c r="D510" s="306">
        <f t="shared" ca="1" si="211"/>
        <v>-0.65942899601602878</v>
      </c>
      <c r="E510" s="307">
        <f t="shared" ca="1" si="212"/>
        <v>-0.90422279161358787</v>
      </c>
      <c r="F510" s="304">
        <f t="shared" ca="1" si="213"/>
        <v>1.1191360317942487</v>
      </c>
      <c r="G510" s="306">
        <f t="shared" ca="1" si="214"/>
        <v>7.291221008931168</v>
      </c>
      <c r="H510" s="307">
        <f t="shared" ca="1" si="215"/>
        <v>-98.471006241457445</v>
      </c>
      <c r="I510" s="304">
        <f t="shared" ca="1" si="216"/>
        <v>98.74057410206926</v>
      </c>
      <c r="J510" s="306">
        <f t="shared" ca="1" si="217"/>
        <v>678.53524446899166</v>
      </c>
      <c r="K510" s="307">
        <f t="shared" ca="1" si="218"/>
        <v>-4.1511553259560579</v>
      </c>
      <c r="L510" s="304">
        <f t="shared" ca="1" si="203"/>
        <v>678.54794235715906</v>
      </c>
      <c r="M510" s="306">
        <f t="shared" ca="1" si="219"/>
        <v>-1.4968868575554899</v>
      </c>
      <c r="N510" s="304">
        <f t="shared" ca="1" si="220"/>
        <v>-85.765299346530014</v>
      </c>
      <c r="P510" s="310">
        <f t="shared" ca="1" si="221"/>
        <v>23</v>
      </c>
      <c r="Q510" s="304">
        <f t="shared" ca="1" si="222"/>
        <v>0</v>
      </c>
      <c r="R510" s="306">
        <f t="shared" ca="1" si="223"/>
        <v>0</v>
      </c>
      <c r="S510" s="307">
        <f t="shared" ca="1" si="224"/>
        <v>4.341000000000002</v>
      </c>
      <c r="T510" s="304">
        <f t="shared" ca="1" si="204"/>
        <v>42.585210000000025</v>
      </c>
      <c r="U510" s="311">
        <f t="shared" ca="1" si="205"/>
        <v>0</v>
      </c>
      <c r="V510" s="306">
        <f t="shared" ca="1" si="206"/>
        <v>1.2255086220958957</v>
      </c>
      <c r="W510" s="304">
        <f t="shared" ca="1" si="207"/>
        <v>38.765919182229695</v>
      </c>
      <c r="Y510" s="314" t="str">
        <f t="shared" ca="1" si="225"/>
        <v/>
      </c>
      <c r="Z510" s="315" t="str">
        <f t="shared" ca="1" si="226"/>
        <v/>
      </c>
      <c r="AA510" s="316" t="str">
        <f t="shared" ca="1" si="227"/>
        <v/>
      </c>
      <c r="AC510" s="310" t="e">
        <f t="shared" ca="1" si="228"/>
        <v>#N/A</v>
      </c>
      <c r="AD510" s="323" t="e">
        <f t="shared" ca="1" si="229"/>
        <v>#N/A</v>
      </c>
      <c r="AE510" s="324" t="e">
        <f t="shared" ca="1" si="208"/>
        <v>#N/A</v>
      </c>
      <c r="AG510" s="306">
        <f t="shared" ca="1" si="230"/>
        <v>0.85305998975192843</v>
      </c>
      <c r="AH510" s="304">
        <f t="shared" ca="1" si="231"/>
        <v>-8.9301575734250953</v>
      </c>
    </row>
    <row r="511" spans="1:34" x14ac:dyDescent="0.2">
      <c r="A511" s="347">
        <f t="shared" ca="1" si="209"/>
        <v>1E-4</v>
      </c>
      <c r="B511" s="304">
        <f t="shared" ca="1" si="210"/>
        <v>28.613100000000109</v>
      </c>
      <c r="D511" s="306">
        <f t="shared" ca="1" si="211"/>
        <v>-0.65942425113909253</v>
      </c>
      <c r="E511" s="307">
        <f t="shared" ca="1" si="212"/>
        <v>-0.90419815005652815</v>
      </c>
      <c r="F511" s="304">
        <f t="shared" ca="1" si="213"/>
        <v>1.1191133265027278</v>
      </c>
      <c r="G511" s="306">
        <f t="shared" ca="1" si="214"/>
        <v>7.2911550665060538</v>
      </c>
      <c r="H511" s="307">
        <f t="shared" ca="1" si="215"/>
        <v>-98.471096661272455</v>
      </c>
      <c r="I511" s="304">
        <f t="shared" ca="1" si="216"/>
        <v>98.740659405725566</v>
      </c>
      <c r="J511" s="306">
        <f t="shared" ca="1" si="217"/>
        <v>678.53524446899166</v>
      </c>
      <c r="K511" s="307">
        <f t="shared" ca="1" si="218"/>
        <v>-4.1610024311011946</v>
      </c>
      <c r="L511" s="304">
        <f t="shared" ca="1" si="203"/>
        <v>678.54800267027974</v>
      </c>
      <c r="M511" s="306">
        <f t="shared" ca="1" si="219"/>
        <v>-1.4968875911863624</v>
      </c>
      <c r="N511" s="304">
        <f t="shared" ca="1" si="220"/>
        <v>-85.765341380482724</v>
      </c>
      <c r="P511" s="310">
        <f t="shared" ca="1" si="221"/>
        <v>23</v>
      </c>
      <c r="Q511" s="304">
        <f t="shared" ca="1" si="222"/>
        <v>0</v>
      </c>
      <c r="R511" s="306">
        <f t="shared" ca="1" si="223"/>
        <v>0</v>
      </c>
      <c r="S511" s="307">
        <f t="shared" ca="1" si="224"/>
        <v>4.341000000000002</v>
      </c>
      <c r="T511" s="304">
        <f t="shared" ca="1" si="204"/>
        <v>42.585210000000025</v>
      </c>
      <c r="U511" s="311">
        <f t="shared" ca="1" si="205"/>
        <v>0</v>
      </c>
      <c r="V511" s="306">
        <f t="shared" ca="1" si="206"/>
        <v>1.2255098288677679</v>
      </c>
      <c r="W511" s="304">
        <f t="shared" ca="1" si="207"/>
        <v>38.766024336623111</v>
      </c>
      <c r="Y511" s="314" t="str">
        <f t="shared" ca="1" si="225"/>
        <v/>
      </c>
      <c r="Z511" s="315" t="str">
        <f t="shared" ca="1" si="226"/>
        <v/>
      </c>
      <c r="AA511" s="316" t="str">
        <f t="shared" ca="1" si="227"/>
        <v/>
      </c>
      <c r="AC511" s="310" t="e">
        <f t="shared" ca="1" si="228"/>
        <v>#N/A</v>
      </c>
      <c r="AD511" s="323" t="e">
        <f t="shared" ca="1" si="229"/>
        <v>#N/A</v>
      </c>
      <c r="AE511" s="324" t="e">
        <f t="shared" ca="1" si="208"/>
        <v>#N/A</v>
      </c>
      <c r="AG511" s="306">
        <f t="shared" ca="1" si="230"/>
        <v>0.85303629728704777</v>
      </c>
      <c r="AH511" s="304">
        <f t="shared" ca="1" si="231"/>
        <v>-8.9301817973346402</v>
      </c>
    </row>
    <row r="512" spans="1:34" x14ac:dyDescent="0.2">
      <c r="A512" s="347">
        <f t="shared" ca="1" si="209"/>
        <v>1E-4</v>
      </c>
      <c r="B512" s="304">
        <f t="shared" ca="1" si="210"/>
        <v>28.613200000000109</v>
      </c>
      <c r="D512" s="306">
        <f t="shared" ca="1" si="211"/>
        <v>-0.65941950626955115</v>
      </c>
      <c r="E512" s="307">
        <f t="shared" ca="1" si="212"/>
        <v>-0.90417350887393866</v>
      </c>
      <c r="F512" s="304">
        <f t="shared" ca="1" si="213"/>
        <v>1.1190906216201568</v>
      </c>
      <c r="G512" s="306">
        <f t="shared" ca="1" si="214"/>
        <v>7.2910891245554268</v>
      </c>
      <c r="H512" s="307">
        <f t="shared" ca="1" si="215"/>
        <v>-98.471187078623345</v>
      </c>
      <c r="I512" s="304">
        <f t="shared" ca="1" si="216"/>
        <v>98.740744707012652</v>
      </c>
      <c r="J512" s="306">
        <f t="shared" ca="1" si="217"/>
        <v>678.53524446899166</v>
      </c>
      <c r="K512" s="307">
        <f t="shared" ca="1" si="218"/>
        <v>-4.1708495452881893</v>
      </c>
      <c r="L512" s="304">
        <f t="shared" ca="1" si="203"/>
        <v>678.54806312635196</v>
      </c>
      <c r="M512" s="306">
        <f t="shared" ca="1" si="219"/>
        <v>-1.4968883248093321</v>
      </c>
      <c r="N512" s="304">
        <f t="shared" ca="1" si="220"/>
        <v>-85.765383413982647</v>
      </c>
      <c r="P512" s="310">
        <f t="shared" ca="1" si="221"/>
        <v>23</v>
      </c>
      <c r="Q512" s="304">
        <f t="shared" ca="1" si="222"/>
        <v>0</v>
      </c>
      <c r="R512" s="306">
        <f t="shared" ca="1" si="223"/>
        <v>0</v>
      </c>
      <c r="S512" s="307">
        <f t="shared" ca="1" si="224"/>
        <v>4.341000000000002</v>
      </c>
      <c r="T512" s="304">
        <f t="shared" ca="1" si="204"/>
        <v>42.585210000000025</v>
      </c>
      <c r="U512" s="311">
        <f t="shared" ca="1" si="205"/>
        <v>0</v>
      </c>
      <c r="V512" s="306">
        <f t="shared" ca="1" si="206"/>
        <v>1.2255110356419368</v>
      </c>
      <c r="W512" s="304">
        <f t="shared" ca="1" si="207"/>
        <v>38.766129489418638</v>
      </c>
      <c r="Y512" s="314" t="str">
        <f t="shared" ca="1" si="225"/>
        <v/>
      </c>
      <c r="Z512" s="315" t="str">
        <f t="shared" ca="1" si="226"/>
        <v/>
      </c>
      <c r="AA512" s="316" t="str">
        <f t="shared" ca="1" si="227"/>
        <v/>
      </c>
      <c r="AC512" s="310" t="e">
        <f t="shared" ca="1" si="228"/>
        <v>#N/A</v>
      </c>
      <c r="AD512" s="323" t="e">
        <f t="shared" ca="1" si="229"/>
        <v>#N/A</v>
      </c>
      <c r="AE512" s="324" t="e">
        <f t="shared" ca="1" si="208"/>
        <v>#N/A</v>
      </c>
      <c r="AG512" s="306">
        <f t="shared" ca="1" si="230"/>
        <v>0.85301260517927524</v>
      </c>
      <c r="AH512" s="304">
        <f t="shared" ca="1" si="231"/>
        <v>-8.9302060208760867</v>
      </c>
    </row>
    <row r="513" spans="1:34" x14ac:dyDescent="0.2">
      <c r="A513" s="347">
        <f t="shared" ca="1" si="209"/>
        <v>1E-4</v>
      </c>
      <c r="B513" s="304">
        <f t="shared" ca="1" si="210"/>
        <v>28.613300000000109</v>
      </c>
      <c r="D513" s="306">
        <f t="shared" ca="1" si="211"/>
        <v>-0.65941476140741051</v>
      </c>
      <c r="E513" s="307">
        <f t="shared" ca="1" si="212"/>
        <v>-0.9041488680658194</v>
      </c>
      <c r="F513" s="304">
        <f t="shared" ca="1" si="213"/>
        <v>1.1190679171465396</v>
      </c>
      <c r="G513" s="306">
        <f t="shared" ca="1" si="214"/>
        <v>7.291023183079286</v>
      </c>
      <c r="H513" s="307">
        <f t="shared" ca="1" si="215"/>
        <v>-98.471277493510158</v>
      </c>
      <c r="I513" s="304">
        <f t="shared" ca="1" si="216"/>
        <v>98.740830005930576</v>
      </c>
      <c r="J513" s="306">
        <f t="shared" ca="1" si="217"/>
        <v>678.53524446899166</v>
      </c>
      <c r="K513" s="307">
        <f t="shared" ca="1" si="218"/>
        <v>-4.1806966685167959</v>
      </c>
      <c r="L513" s="304">
        <f t="shared" ca="1" si="203"/>
        <v>678.54812372537617</v>
      </c>
      <c r="M513" s="306">
        <f t="shared" ca="1" si="219"/>
        <v>-1.4968890584243992</v>
      </c>
      <c r="N513" s="304">
        <f t="shared" ca="1" si="220"/>
        <v>-85.765425447029784</v>
      </c>
      <c r="P513" s="310">
        <f t="shared" ca="1" si="221"/>
        <v>23</v>
      </c>
      <c r="Q513" s="304">
        <f t="shared" ca="1" si="222"/>
        <v>0</v>
      </c>
      <c r="R513" s="306">
        <f t="shared" ca="1" si="223"/>
        <v>0</v>
      </c>
      <c r="S513" s="307">
        <f t="shared" ca="1" si="224"/>
        <v>4.341000000000002</v>
      </c>
      <c r="T513" s="304">
        <f t="shared" ca="1" si="204"/>
        <v>42.585210000000025</v>
      </c>
      <c r="U513" s="311">
        <f t="shared" ca="1" si="205"/>
        <v>0</v>
      </c>
      <c r="V513" s="306">
        <f t="shared" ca="1" si="206"/>
        <v>1.2255122424184022</v>
      </c>
      <c r="W513" s="304">
        <f t="shared" ca="1" si="207"/>
        <v>38.766234640616283</v>
      </c>
      <c r="Y513" s="314" t="str">
        <f t="shared" ca="1" si="225"/>
        <v/>
      </c>
      <c r="Z513" s="315" t="str">
        <f t="shared" ca="1" si="226"/>
        <v/>
      </c>
      <c r="AA513" s="316" t="str">
        <f t="shared" ca="1" si="227"/>
        <v/>
      </c>
      <c r="AC513" s="310" t="e">
        <f t="shared" ca="1" si="228"/>
        <v>#N/A</v>
      </c>
      <c r="AD513" s="323" t="e">
        <f t="shared" ca="1" si="229"/>
        <v>#N/A</v>
      </c>
      <c r="AE513" s="324" t="e">
        <f t="shared" ca="1" si="208"/>
        <v>#N/A</v>
      </c>
      <c r="AG513" s="306">
        <f t="shared" ca="1" si="230"/>
        <v>0.8529889134286055</v>
      </c>
      <c r="AH513" s="304">
        <f t="shared" ca="1" si="231"/>
        <v>-8.9302302440494401</v>
      </c>
    </row>
    <row r="514" spans="1:34" x14ac:dyDescent="0.2">
      <c r="A514" s="347">
        <f t="shared" ca="1" si="209"/>
        <v>1E-4</v>
      </c>
      <c r="B514" s="304">
        <f t="shared" ca="1" si="210"/>
        <v>28.613400000000109</v>
      </c>
      <c r="D514" s="306">
        <f t="shared" ca="1" si="211"/>
        <v>-0.65941001655266995</v>
      </c>
      <c r="E514" s="307">
        <f t="shared" ca="1" si="212"/>
        <v>-0.90412422763216505</v>
      </c>
      <c r="F514" s="304">
        <f t="shared" ca="1" si="213"/>
        <v>1.1190452130818715</v>
      </c>
      <c r="G514" s="306">
        <f t="shared" ca="1" si="214"/>
        <v>7.2909572420776305</v>
      </c>
      <c r="H514" s="307">
        <f t="shared" ca="1" si="215"/>
        <v>-98.471367905932922</v>
      </c>
      <c r="I514" s="304">
        <f t="shared" ca="1" si="216"/>
        <v>98.740915302479365</v>
      </c>
      <c r="J514" s="306">
        <f t="shared" ca="1" si="217"/>
        <v>678.53524446899166</v>
      </c>
      <c r="K514" s="307">
        <f t="shared" ca="1" si="218"/>
        <v>-4.1905438007867684</v>
      </c>
      <c r="L514" s="304">
        <f t="shared" ca="1" si="203"/>
        <v>678.54818446735283</v>
      </c>
      <c r="M514" s="306">
        <f t="shared" ca="1" si="219"/>
        <v>-1.4968897920315642</v>
      </c>
      <c r="N514" s="304">
        <f t="shared" ca="1" si="220"/>
        <v>-85.765467479624164</v>
      </c>
      <c r="P514" s="310">
        <f t="shared" ca="1" si="221"/>
        <v>23</v>
      </c>
      <c r="Q514" s="304">
        <f t="shared" ca="1" si="222"/>
        <v>0</v>
      </c>
      <c r="R514" s="306">
        <f t="shared" ca="1" si="223"/>
        <v>0</v>
      </c>
      <c r="S514" s="307">
        <f t="shared" ca="1" si="224"/>
        <v>4.341000000000002</v>
      </c>
      <c r="T514" s="304">
        <f t="shared" ca="1" si="204"/>
        <v>42.585210000000025</v>
      </c>
      <c r="U514" s="311">
        <f t="shared" ca="1" si="205"/>
        <v>0</v>
      </c>
      <c r="V514" s="306">
        <f t="shared" ca="1" si="206"/>
        <v>1.2255134491971638</v>
      </c>
      <c r="W514" s="304">
        <f t="shared" ca="1" si="207"/>
        <v>38.766339790216058</v>
      </c>
      <c r="Y514" s="314" t="str">
        <f t="shared" ca="1" si="225"/>
        <v/>
      </c>
      <c r="Z514" s="315" t="str">
        <f t="shared" ca="1" si="226"/>
        <v/>
      </c>
      <c r="AA514" s="316" t="str">
        <f t="shared" ca="1" si="227"/>
        <v/>
      </c>
      <c r="AC514" s="310" t="e">
        <f t="shared" ca="1" si="228"/>
        <v>#N/A</v>
      </c>
      <c r="AD514" s="323" t="e">
        <f t="shared" ca="1" si="229"/>
        <v>#N/A</v>
      </c>
      <c r="AE514" s="324" t="e">
        <f t="shared" ca="1" si="208"/>
        <v>#N/A</v>
      </c>
      <c r="AG514" s="306">
        <f t="shared" ca="1" si="230"/>
        <v>0.85296522203503855</v>
      </c>
      <c r="AH514" s="304">
        <f t="shared" ca="1" si="231"/>
        <v>-8.9302544668547021</v>
      </c>
    </row>
    <row r="515" spans="1:34" x14ac:dyDescent="0.2">
      <c r="A515" s="347">
        <f t="shared" ca="1" si="209"/>
        <v>1E-4</v>
      </c>
      <c r="B515" s="304">
        <f t="shared" ca="1" si="210"/>
        <v>28.613500000000109</v>
      </c>
      <c r="D515" s="306">
        <f t="shared" ca="1" si="211"/>
        <v>-0.65940527170532759</v>
      </c>
      <c r="E515" s="307">
        <f t="shared" ca="1" si="212"/>
        <v>-0.90409958757297382</v>
      </c>
      <c r="F515" s="304">
        <f t="shared" ca="1" si="213"/>
        <v>1.1190225094261501</v>
      </c>
      <c r="G515" s="306">
        <f t="shared" ca="1" si="214"/>
        <v>7.2908913015504604</v>
      </c>
      <c r="H515" s="307">
        <f t="shared" ca="1" si="215"/>
        <v>-98.471458315891681</v>
      </c>
      <c r="I515" s="304">
        <f t="shared" ca="1" si="216"/>
        <v>98.741000596659021</v>
      </c>
      <c r="J515" s="306">
        <f t="shared" ca="1" si="217"/>
        <v>678.53524446899166</v>
      </c>
      <c r="K515" s="307">
        <f t="shared" ca="1" si="218"/>
        <v>-4.2003909420978598</v>
      </c>
      <c r="L515" s="304">
        <f t="shared" ca="1" si="203"/>
        <v>678.54824535228204</v>
      </c>
      <c r="M515" s="306">
        <f t="shared" ca="1" si="219"/>
        <v>-1.4968905256308269</v>
      </c>
      <c r="N515" s="304">
        <f t="shared" ca="1" si="220"/>
        <v>-85.765509511765757</v>
      </c>
      <c r="P515" s="310">
        <f t="shared" ca="1" si="221"/>
        <v>23</v>
      </c>
      <c r="Q515" s="304">
        <f t="shared" ca="1" si="222"/>
        <v>0</v>
      </c>
      <c r="R515" s="306">
        <f t="shared" ca="1" si="223"/>
        <v>0</v>
      </c>
      <c r="S515" s="307">
        <f t="shared" ca="1" si="224"/>
        <v>4.341000000000002</v>
      </c>
      <c r="T515" s="304">
        <f t="shared" ca="1" si="204"/>
        <v>42.585210000000025</v>
      </c>
      <c r="U515" s="311">
        <f t="shared" ca="1" si="205"/>
        <v>0</v>
      </c>
      <c r="V515" s="306">
        <f t="shared" ca="1" si="206"/>
        <v>1.2255146559782224</v>
      </c>
      <c r="W515" s="304">
        <f t="shared" ca="1" si="207"/>
        <v>38.766444938217973</v>
      </c>
      <c r="Y515" s="314" t="str">
        <f t="shared" ca="1" si="225"/>
        <v/>
      </c>
      <c r="Z515" s="315" t="str">
        <f t="shared" ca="1" si="226"/>
        <v/>
      </c>
      <c r="AA515" s="316" t="str">
        <f t="shared" ca="1" si="227"/>
        <v/>
      </c>
      <c r="AC515" s="310" t="e">
        <f t="shared" ca="1" si="228"/>
        <v>#N/A</v>
      </c>
      <c r="AD515" s="323" t="e">
        <f t="shared" ca="1" si="229"/>
        <v>#N/A</v>
      </c>
      <c r="AE515" s="324" t="e">
        <f t="shared" ca="1" si="208"/>
        <v>#N/A</v>
      </c>
      <c r="AG515" s="306">
        <f t="shared" ca="1" si="230"/>
        <v>0.85294153099856551</v>
      </c>
      <c r="AH515" s="304">
        <f t="shared" ca="1" si="231"/>
        <v>-8.9302786892918782</v>
      </c>
    </row>
    <row r="516" spans="1:34" x14ac:dyDescent="0.2">
      <c r="A516" s="347">
        <f t="shared" ca="1" si="209"/>
        <v>1E-4</v>
      </c>
      <c r="B516" s="304">
        <f t="shared" ca="1" si="210"/>
        <v>28.613600000000108</v>
      </c>
      <c r="D516" s="306">
        <f t="shared" ca="1" si="211"/>
        <v>-0.6594005268653863</v>
      </c>
      <c r="E516" s="307">
        <f t="shared" ca="1" si="212"/>
        <v>-0.90407494788824394</v>
      </c>
      <c r="F516" s="304">
        <f t="shared" ca="1" si="213"/>
        <v>1.1189998061793756</v>
      </c>
      <c r="G516" s="306">
        <f t="shared" ca="1" si="214"/>
        <v>7.2908253614977738</v>
      </c>
      <c r="H516" s="307">
        <f t="shared" ca="1" si="215"/>
        <v>-98.471548723386476</v>
      </c>
      <c r="I516" s="304">
        <f t="shared" ca="1" si="216"/>
        <v>98.741085888469627</v>
      </c>
      <c r="J516" s="306">
        <f t="shared" ca="1" si="217"/>
        <v>678.53524446899166</v>
      </c>
      <c r="K516" s="307">
        <f t="shared" ca="1" si="218"/>
        <v>-4.2102380924498233</v>
      </c>
      <c r="L516" s="304">
        <f t="shared" ref="L516:L579" ca="1" si="232">SQRT(pos_x^2+pos_z^2)</f>
        <v>678.54830638016438</v>
      </c>
      <c r="M516" s="306">
        <f t="shared" ca="1" si="219"/>
        <v>-1.4968912592221875</v>
      </c>
      <c r="N516" s="304">
        <f t="shared" ca="1" si="220"/>
        <v>-85.765551543454606</v>
      </c>
      <c r="P516" s="310">
        <f t="shared" ca="1" si="221"/>
        <v>23</v>
      </c>
      <c r="Q516" s="304">
        <f t="shared" ca="1" si="222"/>
        <v>0</v>
      </c>
      <c r="R516" s="306">
        <f t="shared" ca="1" si="223"/>
        <v>0</v>
      </c>
      <c r="S516" s="307">
        <f t="shared" ca="1" si="224"/>
        <v>4.341000000000002</v>
      </c>
      <c r="T516" s="304">
        <f t="shared" ref="T516:T579" ca="1" si="233">m*g</f>
        <v>42.585210000000025</v>
      </c>
      <c r="U516" s="311">
        <f t="shared" ref="U516:U579" ca="1" si="234">IF(pos_xz&lt;L_rampe,Poids*COS(Beta),0)</f>
        <v>0</v>
      </c>
      <c r="V516" s="306">
        <f t="shared" ref="V516:V579" ca="1" si="235">Rho_moyen*(20000-Alt_rampe-pos_z)/(20000+Alt_rampe+pos_z)</f>
        <v>1.2255158627615779</v>
      </c>
      <c r="W516" s="304">
        <f t="shared" ref="W516:W579" ca="1" si="236">1/2*Rho*Sref*Cx*vit_xz^2</f>
        <v>38.766550084622089</v>
      </c>
      <c r="Y516" s="314" t="str">
        <f t="shared" ca="1" si="225"/>
        <v/>
      </c>
      <c r="Z516" s="315" t="str">
        <f t="shared" ca="1" si="226"/>
        <v/>
      </c>
      <c r="AA516" s="316" t="str">
        <f t="shared" ca="1" si="227"/>
        <v/>
      </c>
      <c r="AC516" s="310" t="e">
        <f t="shared" ca="1" si="228"/>
        <v>#N/A</v>
      </c>
      <c r="AD516" s="323" t="e">
        <f t="shared" ca="1" si="229"/>
        <v>#N/A</v>
      </c>
      <c r="AE516" s="324" t="e">
        <f t="shared" ref="AE516:AE579" ca="1" si="237">IF(t&lt;T_para, pos_z, NA())</f>
        <v>#N/A</v>
      </c>
      <c r="AG516" s="306">
        <f t="shared" ca="1" si="230"/>
        <v>0.85291784031919349</v>
      </c>
      <c r="AH516" s="304">
        <f t="shared" ca="1" si="231"/>
        <v>-8.9303029113609664</v>
      </c>
    </row>
    <row r="517" spans="1:34" x14ac:dyDescent="0.2">
      <c r="A517" s="347">
        <f t="shared" ref="A517:A580" ca="1" si="238">IF(B516+0.01&lt;=T_ini+ROUNDUP(Temps_fin_propu,0), 0.01, IF(K516&gt;0, 0.1, 0.0001))</f>
        <v>1E-4</v>
      </c>
      <c r="B517" s="304">
        <f t="shared" ref="B517:B580" ca="1" si="239">B516+pas</f>
        <v>28.613700000000108</v>
      </c>
      <c r="D517" s="306">
        <f t="shared" ref="D517:D580" ca="1" si="240">IF(AND(L516&lt;L_rampe,Poussee&lt;Poids*SIN(M516)),0,(-W516+Poussee)/m*COS(M516)-U516/m*SIN(M516))</f>
        <v>-0.6593957820328471</v>
      </c>
      <c r="E517" s="307">
        <f t="shared" ref="E517:E580" ca="1" si="241">IF(AND(L516&lt;L_rampe,Poussee&lt;Poids*SIN(M516)),0,(-W516+Poussee)/m*SIN(M516)+U516/m*COS(M516)-Poids/m)</f>
        <v>-0.90405030857795765</v>
      </c>
      <c r="F517" s="304">
        <f t="shared" ref="F517:F580" ca="1" si="242">SQRT(acc_x^2+acc_z^2)</f>
        <v>1.1189771033415341</v>
      </c>
      <c r="G517" s="306">
        <f t="shared" ref="G517:G580" ca="1" si="243">G516+acc_x*pas</f>
        <v>7.2907594219195708</v>
      </c>
      <c r="H517" s="307">
        <f t="shared" ref="H517:H580" ca="1" si="244">H516+acc_z*pas</f>
        <v>-98.471639128417337</v>
      </c>
      <c r="I517" s="304">
        <f t="shared" ref="I517:I580" ca="1" si="245">SQRT(vit_x^2+vit_z^2)</f>
        <v>98.741171177911198</v>
      </c>
      <c r="J517" s="306">
        <f t="shared" ref="J517:J580" ca="1" si="246">J516+0.5*(vit_x+G516)*pas*(K516&gt;=0)</f>
        <v>678.53524446899166</v>
      </c>
      <c r="K517" s="307">
        <f t="shared" ref="K517:K580" ca="1" si="247">K516+0.5*(vit_z+H516)*pas</f>
        <v>-4.2200852518424137</v>
      </c>
      <c r="L517" s="304">
        <f t="shared" ca="1" si="232"/>
        <v>678.54836755100007</v>
      </c>
      <c r="M517" s="306">
        <f t="shared" ref="M517:M580" ca="1" si="248">IF(AND(L516&gt;L_rampe,G517&gt;0),ATAN2(G517,H517),$M$4)</f>
        <v>-1.4968919928056459</v>
      </c>
      <c r="N517" s="304">
        <f t="shared" ref="N517:N580" ca="1" si="249">DEGREES(Beta)</f>
        <v>-85.765593574690698</v>
      </c>
      <c r="P517" s="310">
        <f t="shared" ref="P517:P580" ca="1" si="250">MATCH(t-pas/2-T_ini,CdP_t)</f>
        <v>23</v>
      </c>
      <c r="Q517" s="304">
        <f t="shared" ref="Q517:Q580" ca="1" si="251">(INDEX(CdP,2,i_P+1)-INDEX(CdP,2,i_P+0))/(INDEX(CdP,1,i_P+1)-INDEX(CdP,1,i_P+0))*(t-pas/2-T_ini-INDEX(CdP,1,i_P+0))+INDEX(CdP,2,i_P+0)</f>
        <v>0</v>
      </c>
      <c r="R517" s="306">
        <f t="shared" ref="R517:R580" ca="1" si="252">Poussee/(g*ISP)</f>
        <v>0</v>
      </c>
      <c r="S517" s="307">
        <f t="shared" ref="S517:S580" ca="1" si="253">S516-Débit*pas</f>
        <v>4.341000000000002</v>
      </c>
      <c r="T517" s="304">
        <f t="shared" ca="1" si="233"/>
        <v>42.585210000000025</v>
      </c>
      <c r="U517" s="311">
        <f t="shared" ca="1" si="234"/>
        <v>0</v>
      </c>
      <c r="V517" s="306">
        <f t="shared" ca="1" si="235"/>
        <v>1.2255170695472295</v>
      </c>
      <c r="W517" s="304">
        <f t="shared" ca="1" si="236"/>
        <v>38.766655229428373</v>
      </c>
      <c r="Y517" s="314" t="str">
        <f t="shared" ref="Y517:Y580" ca="1" si="254">IF(AND(pos_z&lt;=0,K516&gt;0),"Impact balistique","") &amp; IF(AND(H518&lt;0,vit_z&gt;=0),"Apogée","") &amp; IF(AND(Poussee=0,Q516&gt;0),"Fin de propulsion","") &amp; IF(AND(L518&gt;L_rampe,pos_xz&lt;=L_rampe),"Sortie de rampe","")</f>
        <v/>
      </c>
      <c r="Z517" s="315" t="str">
        <f t="shared" ref="Z517:Z580" ca="1" si="255">IF(ABS(t-T_para)&lt;pas/2,"Para","")</f>
        <v/>
      </c>
      <c r="AA517" s="316" t="str">
        <f t="shared" ref="AA517:AA580" ca="1" si="256">IF(ABS(t-T_satellite)&lt;pas/2,"Satellite","")</f>
        <v/>
      </c>
      <c r="AC517" s="310" t="e">
        <f t="shared" ref="AC517:AC580" ca="1" si="257">IF(ABS(t-ROUND(t,0))&lt;0.001,t,NA())</f>
        <v>#N/A</v>
      </c>
      <c r="AD517" s="323" t="e">
        <f t="shared" ref="AD517:AD580" ca="1" si="258">IF(ABS(t-ROUND(t,0))&lt;0.001,pos_x,NA())</f>
        <v>#N/A</v>
      </c>
      <c r="AE517" s="324" t="e">
        <f t="shared" ca="1" si="237"/>
        <v>#N/A</v>
      </c>
      <c r="AG517" s="306">
        <f t="shared" ref="AG517:AG580" ca="1" si="259">IF(AND(L516&lt;L_rampe,Poussee&lt;Poids*SIN(M516)),0,(-W516+Poussee)/m-Poids*SIN(M516)/m)</f>
        <v>0.85289414999690116</v>
      </c>
      <c r="AH517" s="304">
        <f t="shared" ref="AH517:AH580" ca="1" si="260">IF(AND(L516&lt;L_rampe,Poussee&lt;Poids*SIN(M516)), g*SIN(M516), (-W516+Poussee)/m)</f>
        <v>-8.9303271330619847</v>
      </c>
    </row>
    <row r="518" spans="1:34" x14ac:dyDescent="0.2">
      <c r="A518" s="347">
        <f t="shared" ca="1" si="238"/>
        <v>1E-4</v>
      </c>
      <c r="B518" s="304">
        <f t="shared" ca="1" si="239"/>
        <v>28.613800000000108</v>
      </c>
      <c r="D518" s="306">
        <f t="shared" ca="1" si="240"/>
        <v>-0.65939103720771053</v>
      </c>
      <c r="E518" s="307">
        <f t="shared" ca="1" si="241"/>
        <v>-0.90402566964212738</v>
      </c>
      <c r="F518" s="304">
        <f t="shared" ca="1" si="242"/>
        <v>1.1189544009126364</v>
      </c>
      <c r="G518" s="306">
        <f t="shared" ca="1" si="243"/>
        <v>7.2906934828158496</v>
      </c>
      <c r="H518" s="307">
        <f t="shared" ca="1" si="244"/>
        <v>-98.471729530984305</v>
      </c>
      <c r="I518" s="304">
        <f t="shared" ca="1" si="245"/>
        <v>98.741256464983763</v>
      </c>
      <c r="J518" s="306">
        <f t="shared" ca="1" si="246"/>
        <v>678.53524446899166</v>
      </c>
      <c r="K518" s="307">
        <f t="shared" ca="1" si="247"/>
        <v>-4.2299324202753841</v>
      </c>
      <c r="L518" s="304">
        <f t="shared" ca="1" si="232"/>
        <v>678.54842886478957</v>
      </c>
      <c r="M518" s="306">
        <f t="shared" ca="1" si="248"/>
        <v>-1.4968927263812024</v>
      </c>
      <c r="N518" s="304">
        <f t="shared" ca="1" si="249"/>
        <v>-85.765635605474046</v>
      </c>
      <c r="P518" s="310">
        <f t="shared" ca="1" si="250"/>
        <v>23</v>
      </c>
      <c r="Q518" s="304">
        <f t="shared" ca="1" si="251"/>
        <v>0</v>
      </c>
      <c r="R518" s="306">
        <f t="shared" ca="1" si="252"/>
        <v>0</v>
      </c>
      <c r="S518" s="307">
        <f t="shared" ca="1" si="253"/>
        <v>4.341000000000002</v>
      </c>
      <c r="T518" s="304">
        <f t="shared" ca="1" si="233"/>
        <v>42.585210000000025</v>
      </c>
      <c r="U518" s="311">
        <f t="shared" ca="1" si="234"/>
        <v>0</v>
      </c>
      <c r="V518" s="306">
        <f t="shared" ca="1" si="235"/>
        <v>1.2255182763351775</v>
      </c>
      <c r="W518" s="304">
        <f t="shared" ca="1" si="236"/>
        <v>38.766760372636853</v>
      </c>
      <c r="Y518" s="314" t="str">
        <f t="shared" ca="1" si="254"/>
        <v/>
      </c>
      <c r="Z518" s="315" t="str">
        <f t="shared" ca="1" si="255"/>
        <v/>
      </c>
      <c r="AA518" s="316" t="str">
        <f t="shared" ca="1" si="256"/>
        <v/>
      </c>
      <c r="AC518" s="310" t="e">
        <f t="shared" ca="1" si="257"/>
        <v>#N/A</v>
      </c>
      <c r="AD518" s="323" t="e">
        <f t="shared" ca="1" si="258"/>
        <v>#N/A</v>
      </c>
      <c r="AE518" s="324" t="e">
        <f t="shared" ca="1" si="237"/>
        <v>#N/A</v>
      </c>
      <c r="AG518" s="306">
        <f t="shared" ca="1" si="259"/>
        <v>0.85287046003170097</v>
      </c>
      <c r="AH518" s="304">
        <f t="shared" ca="1" si="260"/>
        <v>-8.9303513543949222</v>
      </c>
    </row>
    <row r="519" spans="1:34" x14ac:dyDescent="0.2">
      <c r="A519" s="347">
        <f t="shared" ca="1" si="238"/>
        <v>1E-4</v>
      </c>
      <c r="B519" s="304">
        <f t="shared" ca="1" si="239"/>
        <v>28.613900000000108</v>
      </c>
      <c r="D519" s="306">
        <f t="shared" ca="1" si="240"/>
        <v>-0.65938629238997637</v>
      </c>
      <c r="E519" s="307">
        <f t="shared" ca="1" si="241"/>
        <v>-0.90400103108074603</v>
      </c>
      <c r="F519" s="304">
        <f t="shared" ca="1" si="242"/>
        <v>1.1189316988926765</v>
      </c>
      <c r="G519" s="306">
        <f t="shared" ca="1" si="243"/>
        <v>7.2906275441866102</v>
      </c>
      <c r="H519" s="307">
        <f t="shared" ca="1" si="244"/>
        <v>-98.47181993108741</v>
      </c>
      <c r="I519" s="304">
        <f t="shared" ca="1" si="245"/>
        <v>98.741341749687379</v>
      </c>
      <c r="J519" s="306">
        <f t="shared" ca="1" si="246"/>
        <v>678.53524446899166</v>
      </c>
      <c r="K519" s="307">
        <f t="shared" ca="1" si="247"/>
        <v>-4.2397795977484876</v>
      </c>
      <c r="L519" s="304">
        <f t="shared" ca="1" si="232"/>
        <v>678.54849032153322</v>
      </c>
      <c r="M519" s="306">
        <f t="shared" ca="1" si="248"/>
        <v>-1.496893459948857</v>
      </c>
      <c r="N519" s="304">
        <f t="shared" ca="1" si="249"/>
        <v>-85.765677635804636</v>
      </c>
      <c r="P519" s="310">
        <f t="shared" ca="1" si="250"/>
        <v>23</v>
      </c>
      <c r="Q519" s="304">
        <f t="shared" ca="1" si="251"/>
        <v>0</v>
      </c>
      <c r="R519" s="306">
        <f t="shared" ca="1" si="252"/>
        <v>0</v>
      </c>
      <c r="S519" s="307">
        <f t="shared" ca="1" si="253"/>
        <v>4.341000000000002</v>
      </c>
      <c r="T519" s="304">
        <f t="shared" ca="1" si="233"/>
        <v>42.585210000000025</v>
      </c>
      <c r="U519" s="311">
        <f t="shared" ca="1" si="234"/>
        <v>0</v>
      </c>
      <c r="V519" s="306">
        <f t="shared" ca="1" si="235"/>
        <v>1.2255194831254221</v>
      </c>
      <c r="W519" s="304">
        <f t="shared" ca="1" si="236"/>
        <v>38.766865514247563</v>
      </c>
      <c r="Y519" s="314" t="str">
        <f t="shared" ca="1" si="254"/>
        <v/>
      </c>
      <c r="Z519" s="315" t="str">
        <f t="shared" ca="1" si="255"/>
        <v/>
      </c>
      <c r="AA519" s="316" t="str">
        <f t="shared" ca="1" si="256"/>
        <v/>
      </c>
      <c r="AC519" s="310" t="e">
        <f t="shared" ca="1" si="257"/>
        <v>#N/A</v>
      </c>
      <c r="AD519" s="323" t="e">
        <f t="shared" ca="1" si="258"/>
        <v>#N/A</v>
      </c>
      <c r="AE519" s="324" t="e">
        <f t="shared" ca="1" si="237"/>
        <v>#N/A</v>
      </c>
      <c r="AG519" s="306">
        <f t="shared" ca="1" si="259"/>
        <v>0.85284677042358581</v>
      </c>
      <c r="AH519" s="304">
        <f t="shared" ca="1" si="260"/>
        <v>-8.9303755753597862</v>
      </c>
    </row>
    <row r="520" spans="1:34" x14ac:dyDescent="0.2">
      <c r="A520" s="347">
        <f t="shared" ca="1" si="238"/>
        <v>1E-4</v>
      </c>
      <c r="B520" s="304">
        <f t="shared" ca="1" si="239"/>
        <v>28.614000000000107</v>
      </c>
      <c r="D520" s="306">
        <f t="shared" ca="1" si="240"/>
        <v>-0.65938154757964695</v>
      </c>
      <c r="E520" s="307">
        <f t="shared" ca="1" si="241"/>
        <v>-0.90397639289380116</v>
      </c>
      <c r="F520" s="304">
        <f t="shared" ca="1" si="242"/>
        <v>1.1189089972816459</v>
      </c>
      <c r="G520" s="306">
        <f t="shared" ca="1" si="243"/>
        <v>7.2905616060318525</v>
      </c>
      <c r="H520" s="307">
        <f t="shared" ca="1" si="244"/>
        <v>-98.471910328726693</v>
      </c>
      <c r="I520" s="304">
        <f t="shared" ca="1" si="245"/>
        <v>98.74142703202206</v>
      </c>
      <c r="J520" s="306">
        <f t="shared" ca="1" si="246"/>
        <v>678.53524446899166</v>
      </c>
      <c r="K520" s="307">
        <f t="shared" ca="1" si="247"/>
        <v>-4.2496267842614781</v>
      </c>
      <c r="L520" s="304">
        <f t="shared" ca="1" si="232"/>
        <v>678.54855192123125</v>
      </c>
      <c r="M520" s="306">
        <f t="shared" ca="1" si="248"/>
        <v>-1.4968941935086102</v>
      </c>
      <c r="N520" s="304">
        <f t="shared" ca="1" si="249"/>
        <v>-85.765719665682511</v>
      </c>
      <c r="P520" s="310">
        <f t="shared" ca="1" si="250"/>
        <v>23</v>
      </c>
      <c r="Q520" s="304">
        <f t="shared" ca="1" si="251"/>
        <v>0</v>
      </c>
      <c r="R520" s="306">
        <f t="shared" ca="1" si="252"/>
        <v>0</v>
      </c>
      <c r="S520" s="307">
        <f t="shared" ca="1" si="253"/>
        <v>4.341000000000002</v>
      </c>
      <c r="T520" s="304">
        <f t="shared" ca="1" si="233"/>
        <v>42.585210000000025</v>
      </c>
      <c r="U520" s="311">
        <f t="shared" ca="1" si="234"/>
        <v>0</v>
      </c>
      <c r="V520" s="306">
        <f t="shared" ca="1" si="235"/>
        <v>1.2255206899179631</v>
      </c>
      <c r="W520" s="304">
        <f t="shared" ca="1" si="236"/>
        <v>38.766970654260511</v>
      </c>
      <c r="Y520" s="314" t="str">
        <f t="shared" ca="1" si="254"/>
        <v/>
      </c>
      <c r="Z520" s="315" t="str">
        <f t="shared" ca="1" si="255"/>
        <v/>
      </c>
      <c r="AA520" s="316" t="str">
        <f t="shared" ca="1" si="256"/>
        <v/>
      </c>
      <c r="AC520" s="310" t="e">
        <f t="shared" ca="1" si="257"/>
        <v>#N/A</v>
      </c>
      <c r="AD520" s="323" t="e">
        <f t="shared" ca="1" si="258"/>
        <v>#N/A</v>
      </c>
      <c r="AE520" s="324" t="e">
        <f t="shared" ca="1" si="237"/>
        <v>#N/A</v>
      </c>
      <c r="AG520" s="306">
        <f t="shared" ca="1" si="259"/>
        <v>0.85282308117254502</v>
      </c>
      <c r="AH520" s="304">
        <f t="shared" ca="1" si="260"/>
        <v>-8.9303997959565873</v>
      </c>
    </row>
    <row r="521" spans="1:34" x14ac:dyDescent="0.2">
      <c r="A521" s="347">
        <f t="shared" ca="1" si="238"/>
        <v>1E-4</v>
      </c>
      <c r="B521" s="304">
        <f t="shared" ca="1" si="239"/>
        <v>28.614100000000107</v>
      </c>
      <c r="D521" s="306">
        <f t="shared" ca="1" si="240"/>
        <v>-0.65937680277671962</v>
      </c>
      <c r="E521" s="307">
        <f t="shared" ca="1" si="241"/>
        <v>-0.90395175508129455</v>
      </c>
      <c r="F521" s="304">
        <f t="shared" ca="1" si="242"/>
        <v>1.1188862960795443</v>
      </c>
      <c r="G521" s="306">
        <f t="shared" ca="1" si="243"/>
        <v>7.2904956683515749</v>
      </c>
      <c r="H521" s="307">
        <f t="shared" ca="1" si="244"/>
        <v>-98.472000723902198</v>
      </c>
      <c r="I521" s="304">
        <f t="shared" ca="1" si="245"/>
        <v>98.741512311987847</v>
      </c>
      <c r="J521" s="306">
        <f t="shared" ca="1" si="246"/>
        <v>678.53524446899166</v>
      </c>
      <c r="K521" s="307">
        <f t="shared" ca="1" si="247"/>
        <v>-4.2594739798141097</v>
      </c>
      <c r="L521" s="304">
        <f t="shared" ca="1" si="232"/>
        <v>678.54861366388411</v>
      </c>
      <c r="M521" s="306">
        <f t="shared" ca="1" si="248"/>
        <v>-1.4968949270604615</v>
      </c>
      <c r="N521" s="304">
        <f t="shared" ca="1" si="249"/>
        <v>-85.765761695107642</v>
      </c>
      <c r="P521" s="310">
        <f t="shared" ca="1" si="250"/>
        <v>23</v>
      </c>
      <c r="Q521" s="304">
        <f t="shared" ca="1" si="251"/>
        <v>0</v>
      </c>
      <c r="R521" s="306">
        <f t="shared" ca="1" si="252"/>
        <v>0</v>
      </c>
      <c r="S521" s="307">
        <f t="shared" ca="1" si="253"/>
        <v>4.341000000000002</v>
      </c>
      <c r="T521" s="304">
        <f t="shared" ca="1" si="233"/>
        <v>42.585210000000025</v>
      </c>
      <c r="U521" s="311">
        <f t="shared" ca="1" si="234"/>
        <v>0</v>
      </c>
      <c r="V521" s="306">
        <f t="shared" ca="1" si="235"/>
        <v>1.225521896712801</v>
      </c>
      <c r="W521" s="304">
        <f t="shared" ca="1" si="236"/>
        <v>38.767075792675712</v>
      </c>
      <c r="Y521" s="314" t="str">
        <f t="shared" ca="1" si="254"/>
        <v/>
      </c>
      <c r="Z521" s="315" t="str">
        <f t="shared" ca="1" si="255"/>
        <v/>
      </c>
      <c r="AA521" s="316" t="str">
        <f t="shared" ca="1" si="256"/>
        <v/>
      </c>
      <c r="AC521" s="310" t="e">
        <f t="shared" ca="1" si="257"/>
        <v>#N/A</v>
      </c>
      <c r="AD521" s="323" t="e">
        <f t="shared" ca="1" si="258"/>
        <v>#N/A</v>
      </c>
      <c r="AE521" s="324" t="e">
        <f t="shared" ca="1" si="237"/>
        <v>#N/A</v>
      </c>
      <c r="AG521" s="306">
        <f t="shared" ca="1" si="259"/>
        <v>0.85279939227858215</v>
      </c>
      <c r="AH521" s="304">
        <f t="shared" ca="1" si="260"/>
        <v>-8.9304240161853237</v>
      </c>
    </row>
    <row r="522" spans="1:34" x14ac:dyDescent="0.2">
      <c r="A522" s="347">
        <f t="shared" ca="1" si="238"/>
        <v>1E-4</v>
      </c>
      <c r="B522" s="304">
        <f t="shared" ca="1" si="239"/>
        <v>28.614200000000107</v>
      </c>
      <c r="D522" s="306">
        <f t="shared" ca="1" si="240"/>
        <v>-0.65937205798120024</v>
      </c>
      <c r="E522" s="307">
        <f t="shared" ca="1" si="241"/>
        <v>-0.90392711764322087</v>
      </c>
      <c r="F522" s="304">
        <f t="shared" ca="1" si="242"/>
        <v>1.1188635952863712</v>
      </c>
      <c r="G522" s="306">
        <f t="shared" ca="1" si="243"/>
        <v>7.2904297311457764</v>
      </c>
      <c r="H522" s="307">
        <f t="shared" ca="1" si="244"/>
        <v>-98.472091116613967</v>
      </c>
      <c r="I522" s="304">
        <f t="shared" ca="1" si="245"/>
        <v>98.741597589584799</v>
      </c>
      <c r="J522" s="306">
        <f t="shared" ca="1" si="246"/>
        <v>678.53524446899166</v>
      </c>
      <c r="K522" s="307">
        <f t="shared" ca="1" si="247"/>
        <v>-4.2693211844061354</v>
      </c>
      <c r="L522" s="304">
        <f t="shared" ca="1" si="232"/>
        <v>678.54867554949215</v>
      </c>
      <c r="M522" s="306">
        <f t="shared" ca="1" si="248"/>
        <v>-1.4968956606044115</v>
      </c>
      <c r="N522" s="304">
        <f t="shared" ca="1" si="249"/>
        <v>-85.765803724080072</v>
      </c>
      <c r="P522" s="310">
        <f t="shared" ca="1" si="250"/>
        <v>23</v>
      </c>
      <c r="Q522" s="304">
        <f t="shared" ca="1" si="251"/>
        <v>0</v>
      </c>
      <c r="R522" s="306">
        <f t="shared" ca="1" si="252"/>
        <v>0</v>
      </c>
      <c r="S522" s="307">
        <f t="shared" ca="1" si="253"/>
        <v>4.341000000000002</v>
      </c>
      <c r="T522" s="304">
        <f t="shared" ca="1" si="233"/>
        <v>42.585210000000025</v>
      </c>
      <c r="U522" s="311">
        <f t="shared" ca="1" si="234"/>
        <v>0</v>
      </c>
      <c r="V522" s="306">
        <f t="shared" ca="1" si="235"/>
        <v>1.2255231035099345</v>
      </c>
      <c r="W522" s="304">
        <f t="shared" ca="1" si="236"/>
        <v>38.767180929493193</v>
      </c>
      <c r="Y522" s="314" t="str">
        <f t="shared" ca="1" si="254"/>
        <v/>
      </c>
      <c r="Z522" s="315" t="str">
        <f t="shared" ca="1" si="255"/>
        <v/>
      </c>
      <c r="AA522" s="316" t="str">
        <f t="shared" ca="1" si="256"/>
        <v/>
      </c>
      <c r="AC522" s="310" t="e">
        <f t="shared" ca="1" si="257"/>
        <v>#N/A</v>
      </c>
      <c r="AD522" s="323" t="e">
        <f t="shared" ca="1" si="258"/>
        <v>#N/A</v>
      </c>
      <c r="AE522" s="324" t="e">
        <f t="shared" ca="1" si="237"/>
        <v>#N/A</v>
      </c>
      <c r="AG522" s="306">
        <f t="shared" ca="1" si="259"/>
        <v>0.85277570374168832</v>
      </c>
      <c r="AH522" s="304">
        <f t="shared" ca="1" si="260"/>
        <v>-8.9304482360460025</v>
      </c>
    </row>
    <row r="523" spans="1:34" x14ac:dyDescent="0.2">
      <c r="A523" s="347">
        <f t="shared" ca="1" si="238"/>
        <v>1E-4</v>
      </c>
      <c r="B523" s="304">
        <f t="shared" ca="1" si="239"/>
        <v>28.614300000000107</v>
      </c>
      <c r="D523" s="306">
        <f t="shared" ca="1" si="240"/>
        <v>-0.65936731319308428</v>
      </c>
      <c r="E523" s="307">
        <f t="shared" ca="1" si="241"/>
        <v>-0.90390248057957656</v>
      </c>
      <c r="F523" s="304">
        <f t="shared" ca="1" si="242"/>
        <v>1.1188408949021209</v>
      </c>
      <c r="G523" s="306">
        <f t="shared" ca="1" si="243"/>
        <v>7.290363794414457</v>
      </c>
      <c r="H523" s="307">
        <f t="shared" ca="1" si="244"/>
        <v>-98.472181506862029</v>
      </c>
      <c r="I523" s="304">
        <f t="shared" ca="1" si="245"/>
        <v>98.741682864812915</v>
      </c>
      <c r="J523" s="306">
        <f t="shared" ca="1" si="246"/>
        <v>678.53524446899166</v>
      </c>
      <c r="K523" s="307">
        <f t="shared" ca="1" si="247"/>
        <v>-4.2791683980373092</v>
      </c>
      <c r="L523" s="304">
        <f t="shared" ca="1" si="232"/>
        <v>678.54873757805569</v>
      </c>
      <c r="M523" s="306">
        <f t="shared" ca="1" si="248"/>
        <v>-1.4968963941404601</v>
      </c>
      <c r="N523" s="304">
        <f t="shared" ca="1" si="249"/>
        <v>-85.765845752599773</v>
      </c>
      <c r="P523" s="310">
        <f t="shared" ca="1" si="250"/>
        <v>23</v>
      </c>
      <c r="Q523" s="304">
        <f t="shared" ca="1" si="251"/>
        <v>0</v>
      </c>
      <c r="R523" s="306">
        <f t="shared" ca="1" si="252"/>
        <v>0</v>
      </c>
      <c r="S523" s="307">
        <f t="shared" ca="1" si="253"/>
        <v>4.341000000000002</v>
      </c>
      <c r="T523" s="304">
        <f t="shared" ca="1" si="233"/>
        <v>42.585210000000025</v>
      </c>
      <c r="U523" s="311">
        <f t="shared" ca="1" si="234"/>
        <v>0</v>
      </c>
      <c r="V523" s="306">
        <f t="shared" ca="1" si="235"/>
        <v>1.2255243103093649</v>
      </c>
      <c r="W523" s="304">
        <f t="shared" ca="1" si="236"/>
        <v>38.76728606471297</v>
      </c>
      <c r="Y523" s="314" t="str">
        <f t="shared" ca="1" si="254"/>
        <v/>
      </c>
      <c r="Z523" s="315" t="str">
        <f t="shared" ca="1" si="255"/>
        <v/>
      </c>
      <c r="AA523" s="316" t="str">
        <f t="shared" ca="1" si="256"/>
        <v/>
      </c>
      <c r="AC523" s="310" t="e">
        <f t="shared" ca="1" si="257"/>
        <v>#N/A</v>
      </c>
      <c r="AD523" s="323" t="e">
        <f t="shared" ca="1" si="258"/>
        <v>#N/A</v>
      </c>
      <c r="AE523" s="324" t="e">
        <f t="shared" ca="1" si="237"/>
        <v>#N/A</v>
      </c>
      <c r="AG523" s="306">
        <f t="shared" ca="1" si="259"/>
        <v>0.85275201556186353</v>
      </c>
      <c r="AH523" s="304">
        <f t="shared" ca="1" si="260"/>
        <v>-8.9304724555386255</v>
      </c>
    </row>
    <row r="524" spans="1:34" x14ac:dyDescent="0.2">
      <c r="A524" s="347">
        <f t="shared" ca="1" si="238"/>
        <v>1E-4</v>
      </c>
      <c r="B524" s="304">
        <f t="shared" ca="1" si="239"/>
        <v>28.614400000000106</v>
      </c>
      <c r="D524" s="306">
        <f t="shared" ca="1" si="240"/>
        <v>-0.65936256841237562</v>
      </c>
      <c r="E524" s="307">
        <f t="shared" ca="1" si="241"/>
        <v>-0.9038778438903563</v>
      </c>
      <c r="F524" s="304">
        <f t="shared" ca="1" si="242"/>
        <v>1.1188181949267915</v>
      </c>
      <c r="G524" s="306">
        <f t="shared" ca="1" si="243"/>
        <v>7.2902978581576159</v>
      </c>
      <c r="H524" s="307">
        <f t="shared" ca="1" si="244"/>
        <v>-98.472271894646411</v>
      </c>
      <c r="I524" s="304">
        <f t="shared" ca="1" si="245"/>
        <v>98.741768137672253</v>
      </c>
      <c r="J524" s="306">
        <f t="shared" ca="1" si="246"/>
        <v>678.53524446899166</v>
      </c>
      <c r="K524" s="307">
        <f t="shared" ca="1" si="247"/>
        <v>-4.2890156207073842</v>
      </c>
      <c r="L524" s="304">
        <f t="shared" ca="1" si="232"/>
        <v>678.5487997495751</v>
      </c>
      <c r="M524" s="306">
        <f t="shared" ca="1" si="248"/>
        <v>-1.4968971276686074</v>
      </c>
      <c r="N524" s="304">
        <f t="shared" ca="1" si="249"/>
        <v>-85.765887780666773</v>
      </c>
      <c r="P524" s="310">
        <f t="shared" ca="1" si="250"/>
        <v>23</v>
      </c>
      <c r="Q524" s="304">
        <f t="shared" ca="1" si="251"/>
        <v>0</v>
      </c>
      <c r="R524" s="306">
        <f t="shared" ca="1" si="252"/>
        <v>0</v>
      </c>
      <c r="S524" s="307">
        <f t="shared" ca="1" si="253"/>
        <v>4.341000000000002</v>
      </c>
      <c r="T524" s="304">
        <f t="shared" ca="1" si="233"/>
        <v>42.585210000000025</v>
      </c>
      <c r="U524" s="311">
        <f t="shared" ca="1" si="234"/>
        <v>0</v>
      </c>
      <c r="V524" s="306">
        <f t="shared" ca="1" si="235"/>
        <v>1.2255255171110915</v>
      </c>
      <c r="W524" s="304">
        <f t="shared" ca="1" si="236"/>
        <v>38.767391198335055</v>
      </c>
      <c r="Y524" s="314" t="str">
        <f t="shared" ca="1" si="254"/>
        <v/>
      </c>
      <c r="Z524" s="315" t="str">
        <f t="shared" ca="1" si="255"/>
        <v/>
      </c>
      <c r="AA524" s="316" t="str">
        <f t="shared" ca="1" si="256"/>
        <v/>
      </c>
      <c r="AC524" s="310" t="e">
        <f t="shared" ca="1" si="257"/>
        <v>#N/A</v>
      </c>
      <c r="AD524" s="323" t="e">
        <f t="shared" ca="1" si="258"/>
        <v>#N/A</v>
      </c>
      <c r="AE524" s="324" t="e">
        <f t="shared" ca="1" si="237"/>
        <v>#N/A</v>
      </c>
      <c r="AG524" s="306">
        <f t="shared" ca="1" si="259"/>
        <v>0.85272832773910068</v>
      </c>
      <c r="AH524" s="304">
        <f t="shared" ca="1" si="260"/>
        <v>-8.9304966746631997</v>
      </c>
    </row>
    <row r="525" spans="1:34" x14ac:dyDescent="0.2">
      <c r="A525" s="347">
        <f t="shared" ca="1" si="238"/>
        <v>1E-4</v>
      </c>
      <c r="B525" s="304">
        <f t="shared" ca="1" si="239"/>
        <v>28.614500000000106</v>
      </c>
      <c r="D525" s="306">
        <f t="shared" ca="1" si="240"/>
        <v>-0.65935782363907391</v>
      </c>
      <c r="E525" s="307">
        <f t="shared" ca="1" si="241"/>
        <v>-0.90385320757555654</v>
      </c>
      <c r="F525" s="304">
        <f t="shared" ca="1" si="242"/>
        <v>1.11879549536038</v>
      </c>
      <c r="G525" s="306">
        <f t="shared" ca="1" si="243"/>
        <v>7.2902319223752521</v>
      </c>
      <c r="H525" s="307">
        <f t="shared" ca="1" si="244"/>
        <v>-98.472362279967172</v>
      </c>
      <c r="I525" s="304">
        <f t="shared" ca="1" si="245"/>
        <v>98.741853408162839</v>
      </c>
      <c r="J525" s="306">
        <f t="shared" ca="1" si="246"/>
        <v>678.53524446899166</v>
      </c>
      <c r="K525" s="307">
        <f t="shared" ca="1" si="247"/>
        <v>-4.2988628524161152</v>
      </c>
      <c r="L525" s="304">
        <f t="shared" ca="1" si="232"/>
        <v>678.54886206405081</v>
      </c>
      <c r="M525" s="306">
        <f t="shared" ca="1" si="248"/>
        <v>-1.4968978611888535</v>
      </c>
      <c r="N525" s="304">
        <f t="shared" ca="1" si="249"/>
        <v>-85.765929808281058</v>
      </c>
      <c r="P525" s="310">
        <f t="shared" ca="1" si="250"/>
        <v>23</v>
      </c>
      <c r="Q525" s="304">
        <f t="shared" ca="1" si="251"/>
        <v>0</v>
      </c>
      <c r="R525" s="306">
        <f t="shared" ca="1" si="252"/>
        <v>0</v>
      </c>
      <c r="S525" s="307">
        <f t="shared" ca="1" si="253"/>
        <v>4.341000000000002</v>
      </c>
      <c r="T525" s="304">
        <f t="shared" ca="1" si="233"/>
        <v>42.585210000000025</v>
      </c>
      <c r="U525" s="311">
        <f t="shared" ca="1" si="234"/>
        <v>0</v>
      </c>
      <c r="V525" s="306">
        <f t="shared" ca="1" si="235"/>
        <v>1.2255267239151144</v>
      </c>
      <c r="W525" s="304">
        <f t="shared" ca="1" si="236"/>
        <v>38.767496330359457</v>
      </c>
      <c r="Y525" s="314" t="str">
        <f t="shared" ca="1" si="254"/>
        <v/>
      </c>
      <c r="Z525" s="315" t="str">
        <f t="shared" ca="1" si="255"/>
        <v/>
      </c>
      <c r="AA525" s="316" t="str">
        <f t="shared" ca="1" si="256"/>
        <v/>
      </c>
      <c r="AC525" s="310" t="e">
        <f t="shared" ca="1" si="257"/>
        <v>#N/A</v>
      </c>
      <c r="AD525" s="323" t="e">
        <f t="shared" ca="1" si="258"/>
        <v>#N/A</v>
      </c>
      <c r="AE525" s="324" t="e">
        <f t="shared" ca="1" si="237"/>
        <v>#N/A</v>
      </c>
      <c r="AG525" s="306">
        <f t="shared" ca="1" si="259"/>
        <v>0.85270464027339798</v>
      </c>
      <c r="AH525" s="304">
        <f t="shared" ca="1" si="260"/>
        <v>-8.9305208934197271</v>
      </c>
    </row>
    <row r="526" spans="1:34" x14ac:dyDescent="0.2">
      <c r="A526" s="347">
        <f t="shared" ca="1" si="238"/>
        <v>1E-4</v>
      </c>
      <c r="B526" s="304">
        <f t="shared" ca="1" si="239"/>
        <v>28.614600000000106</v>
      </c>
      <c r="D526" s="306">
        <f t="shared" ca="1" si="240"/>
        <v>-0.65935307887318073</v>
      </c>
      <c r="E526" s="307">
        <f t="shared" ca="1" si="241"/>
        <v>-0.90382857163517549</v>
      </c>
      <c r="F526" s="304">
        <f t="shared" ca="1" si="242"/>
        <v>1.1187727962028862</v>
      </c>
      <c r="G526" s="306">
        <f t="shared" ca="1" si="243"/>
        <v>7.2901659870673647</v>
      </c>
      <c r="H526" s="307">
        <f t="shared" ca="1" si="244"/>
        <v>-98.472452662824338</v>
      </c>
      <c r="I526" s="304">
        <f t="shared" ca="1" si="245"/>
        <v>98.741938676284732</v>
      </c>
      <c r="J526" s="306">
        <f t="shared" ca="1" si="246"/>
        <v>678.53524446899166</v>
      </c>
      <c r="K526" s="307">
        <f t="shared" ca="1" si="247"/>
        <v>-4.3087100931632545</v>
      </c>
      <c r="L526" s="304">
        <f t="shared" ca="1" si="232"/>
        <v>678.54892452148295</v>
      </c>
      <c r="M526" s="306">
        <f t="shared" ca="1" si="248"/>
        <v>-1.4968985947011986</v>
      </c>
      <c r="N526" s="304">
        <f t="shared" ca="1" si="249"/>
        <v>-85.765971835442656</v>
      </c>
      <c r="P526" s="310">
        <f t="shared" ca="1" si="250"/>
        <v>23</v>
      </c>
      <c r="Q526" s="304">
        <f t="shared" ca="1" si="251"/>
        <v>0</v>
      </c>
      <c r="R526" s="306">
        <f t="shared" ca="1" si="252"/>
        <v>0</v>
      </c>
      <c r="S526" s="307">
        <f t="shared" ca="1" si="253"/>
        <v>4.341000000000002</v>
      </c>
      <c r="T526" s="304">
        <f t="shared" ca="1" si="233"/>
        <v>42.585210000000025</v>
      </c>
      <c r="U526" s="311">
        <f t="shared" ca="1" si="234"/>
        <v>0</v>
      </c>
      <c r="V526" s="306">
        <f t="shared" ca="1" si="235"/>
        <v>1.225527930721434</v>
      </c>
      <c r="W526" s="304">
        <f t="shared" ca="1" si="236"/>
        <v>38.767601460786238</v>
      </c>
      <c r="Y526" s="314" t="str">
        <f t="shared" ca="1" si="254"/>
        <v/>
      </c>
      <c r="Z526" s="315" t="str">
        <f t="shared" ca="1" si="255"/>
        <v/>
      </c>
      <c r="AA526" s="316" t="str">
        <f t="shared" ca="1" si="256"/>
        <v/>
      </c>
      <c r="AC526" s="310" t="e">
        <f t="shared" ca="1" si="257"/>
        <v>#N/A</v>
      </c>
      <c r="AD526" s="323" t="e">
        <f t="shared" ca="1" si="258"/>
        <v>#N/A</v>
      </c>
      <c r="AE526" s="324" t="e">
        <f t="shared" ca="1" si="237"/>
        <v>#N/A</v>
      </c>
      <c r="AG526" s="306">
        <f t="shared" ca="1" si="259"/>
        <v>0.85268095316475367</v>
      </c>
      <c r="AH526" s="304">
        <f t="shared" ca="1" si="260"/>
        <v>-8.9305451118082093</v>
      </c>
    </row>
    <row r="527" spans="1:34" x14ac:dyDescent="0.2">
      <c r="A527" s="347">
        <f t="shared" ca="1" si="238"/>
        <v>1E-4</v>
      </c>
      <c r="B527" s="304">
        <f t="shared" ca="1" si="239"/>
        <v>28.614700000000106</v>
      </c>
      <c r="D527" s="306">
        <f t="shared" ca="1" si="240"/>
        <v>-0.65934833411469662</v>
      </c>
      <c r="E527" s="307">
        <f t="shared" ca="1" si="241"/>
        <v>-0.90380393606919718</v>
      </c>
      <c r="F527" s="304">
        <f t="shared" ca="1" si="242"/>
        <v>1.118750097454297</v>
      </c>
      <c r="G527" s="306">
        <f t="shared" ca="1" si="243"/>
        <v>7.290100052233953</v>
      </c>
      <c r="H527" s="307">
        <f t="shared" ca="1" si="244"/>
        <v>-98.472543043217939</v>
      </c>
      <c r="I527" s="304">
        <f t="shared" ca="1" si="245"/>
        <v>98.742023942037918</v>
      </c>
      <c r="J527" s="306">
        <f t="shared" ca="1" si="246"/>
        <v>678.53524446899166</v>
      </c>
      <c r="K527" s="307">
        <f t="shared" ca="1" si="247"/>
        <v>-4.3185573429485569</v>
      </c>
      <c r="L527" s="304">
        <f t="shared" ca="1" si="232"/>
        <v>678.54898712187219</v>
      </c>
      <c r="M527" s="306">
        <f t="shared" ca="1" si="248"/>
        <v>-1.4968993282056426</v>
      </c>
      <c r="N527" s="304">
        <f t="shared" ca="1" si="249"/>
        <v>-85.766013862151553</v>
      </c>
      <c r="P527" s="310">
        <f t="shared" ca="1" si="250"/>
        <v>23</v>
      </c>
      <c r="Q527" s="304">
        <f t="shared" ca="1" si="251"/>
        <v>0</v>
      </c>
      <c r="R527" s="306">
        <f t="shared" ca="1" si="252"/>
        <v>0</v>
      </c>
      <c r="S527" s="307">
        <f t="shared" ca="1" si="253"/>
        <v>4.341000000000002</v>
      </c>
      <c r="T527" s="304">
        <f t="shared" ca="1" si="233"/>
        <v>42.585210000000025</v>
      </c>
      <c r="U527" s="311">
        <f t="shared" ca="1" si="234"/>
        <v>0</v>
      </c>
      <c r="V527" s="306">
        <f t="shared" ca="1" si="235"/>
        <v>1.2255291375300494</v>
      </c>
      <c r="W527" s="304">
        <f t="shared" ca="1" si="236"/>
        <v>38.767706589615337</v>
      </c>
      <c r="Y527" s="314" t="str">
        <f t="shared" ca="1" si="254"/>
        <v/>
      </c>
      <c r="Z527" s="315" t="str">
        <f t="shared" ca="1" si="255"/>
        <v/>
      </c>
      <c r="AA527" s="316" t="str">
        <f t="shared" ca="1" si="256"/>
        <v/>
      </c>
      <c r="AC527" s="310" t="e">
        <f t="shared" ca="1" si="257"/>
        <v>#N/A</v>
      </c>
      <c r="AD527" s="323" t="e">
        <f t="shared" ca="1" si="258"/>
        <v>#N/A</v>
      </c>
      <c r="AE527" s="324" t="e">
        <f t="shared" ca="1" si="237"/>
        <v>#N/A</v>
      </c>
      <c r="AG527" s="306">
        <f t="shared" ca="1" si="259"/>
        <v>0.85265726641314998</v>
      </c>
      <c r="AH527" s="304">
        <f t="shared" ca="1" si="260"/>
        <v>-8.9305693298286624</v>
      </c>
    </row>
    <row r="528" spans="1:34" x14ac:dyDescent="0.2">
      <c r="A528" s="347">
        <f t="shared" ca="1" si="238"/>
        <v>1E-4</v>
      </c>
      <c r="B528" s="304">
        <f t="shared" ca="1" si="239"/>
        <v>28.614800000000105</v>
      </c>
      <c r="D528" s="306">
        <f t="shared" ca="1" si="240"/>
        <v>-0.65934358936362147</v>
      </c>
      <c r="E528" s="307">
        <f t="shared" ca="1" si="241"/>
        <v>-0.90377930087763936</v>
      </c>
      <c r="F528" s="304">
        <f t="shared" ca="1" si="242"/>
        <v>1.1187273991146272</v>
      </c>
      <c r="G528" s="306">
        <f t="shared" ca="1" si="243"/>
        <v>7.2900341178750168</v>
      </c>
      <c r="H528" s="307">
        <f t="shared" ca="1" si="244"/>
        <v>-98.472633421148032</v>
      </c>
      <c r="I528" s="304">
        <f t="shared" ca="1" si="245"/>
        <v>98.742109205422494</v>
      </c>
      <c r="J528" s="306">
        <f t="shared" ca="1" si="246"/>
        <v>678.53524446899166</v>
      </c>
      <c r="K528" s="307">
        <f t="shared" ca="1" si="247"/>
        <v>-4.3284046017717754</v>
      </c>
      <c r="L528" s="304">
        <f t="shared" ca="1" si="232"/>
        <v>678.54904986521865</v>
      </c>
      <c r="M528" s="306">
        <f t="shared" ca="1" si="248"/>
        <v>-1.4969000617021859</v>
      </c>
      <c r="N528" s="304">
        <f t="shared" ca="1" si="249"/>
        <v>-85.766055888407763</v>
      </c>
      <c r="P528" s="310">
        <f t="shared" ca="1" si="250"/>
        <v>23</v>
      </c>
      <c r="Q528" s="304">
        <f t="shared" ca="1" si="251"/>
        <v>0</v>
      </c>
      <c r="R528" s="306">
        <f t="shared" ca="1" si="252"/>
        <v>0</v>
      </c>
      <c r="S528" s="307">
        <f t="shared" ca="1" si="253"/>
        <v>4.341000000000002</v>
      </c>
      <c r="T528" s="304">
        <f t="shared" ca="1" si="233"/>
        <v>42.585210000000025</v>
      </c>
      <c r="U528" s="311">
        <f t="shared" ca="1" si="234"/>
        <v>0</v>
      </c>
      <c r="V528" s="306">
        <f t="shared" ca="1" si="235"/>
        <v>1.2255303443409615</v>
      </c>
      <c r="W528" s="304">
        <f t="shared" ca="1" si="236"/>
        <v>38.767811716846857</v>
      </c>
      <c r="Y528" s="314" t="str">
        <f t="shared" ca="1" si="254"/>
        <v/>
      </c>
      <c r="Z528" s="315" t="str">
        <f t="shared" ca="1" si="255"/>
        <v/>
      </c>
      <c r="AA528" s="316" t="str">
        <f t="shared" ca="1" si="256"/>
        <v/>
      </c>
      <c r="AC528" s="310" t="e">
        <f t="shared" ca="1" si="257"/>
        <v>#N/A</v>
      </c>
      <c r="AD528" s="323" t="e">
        <f t="shared" ca="1" si="258"/>
        <v>#N/A</v>
      </c>
      <c r="AE528" s="324" t="e">
        <f t="shared" ca="1" si="237"/>
        <v>#N/A</v>
      </c>
      <c r="AG528" s="306">
        <f t="shared" ca="1" si="259"/>
        <v>0.85263358001860823</v>
      </c>
      <c r="AH528" s="304">
        <f t="shared" ca="1" si="260"/>
        <v>-8.9305935474810685</v>
      </c>
    </row>
    <row r="529" spans="1:34" x14ac:dyDescent="0.2">
      <c r="A529" s="347">
        <f t="shared" ca="1" si="238"/>
        <v>1E-4</v>
      </c>
      <c r="B529" s="304">
        <f t="shared" ca="1" si="239"/>
        <v>28.614900000000105</v>
      </c>
      <c r="D529" s="306">
        <f t="shared" ca="1" si="240"/>
        <v>-0.65933884461995695</v>
      </c>
      <c r="E529" s="307">
        <f t="shared" ca="1" si="241"/>
        <v>-0.90375466606047716</v>
      </c>
      <c r="F529" s="304">
        <f t="shared" ca="1" si="242"/>
        <v>1.1187047011838578</v>
      </c>
      <c r="G529" s="306">
        <f t="shared" ca="1" si="243"/>
        <v>7.2899681839905544</v>
      </c>
      <c r="H529" s="307">
        <f t="shared" ca="1" si="244"/>
        <v>-98.472723796614645</v>
      </c>
      <c r="I529" s="304">
        <f t="shared" ca="1" si="245"/>
        <v>98.742194466438463</v>
      </c>
      <c r="J529" s="306">
        <f t="shared" ca="1" si="246"/>
        <v>678.53524446899166</v>
      </c>
      <c r="K529" s="307">
        <f t="shared" ca="1" si="247"/>
        <v>-4.3382518696326633</v>
      </c>
      <c r="L529" s="304">
        <f t="shared" ca="1" si="232"/>
        <v>678.54911275152267</v>
      </c>
      <c r="M529" s="306">
        <f t="shared" ca="1" si="248"/>
        <v>-1.4969007951908284</v>
      </c>
      <c r="N529" s="304">
        <f t="shared" ca="1" si="249"/>
        <v>-85.766097914211301</v>
      </c>
      <c r="P529" s="310">
        <f t="shared" ca="1" si="250"/>
        <v>23</v>
      </c>
      <c r="Q529" s="304">
        <f t="shared" ca="1" si="251"/>
        <v>0</v>
      </c>
      <c r="R529" s="306">
        <f t="shared" ca="1" si="252"/>
        <v>0</v>
      </c>
      <c r="S529" s="307">
        <f t="shared" ca="1" si="253"/>
        <v>4.341000000000002</v>
      </c>
      <c r="T529" s="304">
        <f t="shared" ca="1" si="233"/>
        <v>42.585210000000025</v>
      </c>
      <c r="U529" s="311">
        <f t="shared" ca="1" si="234"/>
        <v>0</v>
      </c>
      <c r="V529" s="306">
        <f t="shared" ca="1" si="235"/>
        <v>1.2255315511541698</v>
      </c>
      <c r="W529" s="304">
        <f t="shared" ca="1" si="236"/>
        <v>38.767916842480766</v>
      </c>
      <c r="Y529" s="314" t="str">
        <f t="shared" ca="1" si="254"/>
        <v/>
      </c>
      <c r="Z529" s="315" t="str">
        <f t="shared" ca="1" si="255"/>
        <v/>
      </c>
      <c r="AA529" s="316" t="str">
        <f t="shared" ca="1" si="256"/>
        <v/>
      </c>
      <c r="AC529" s="310" t="e">
        <f t="shared" ca="1" si="257"/>
        <v>#N/A</v>
      </c>
      <c r="AD529" s="323" t="e">
        <f t="shared" ca="1" si="258"/>
        <v>#N/A</v>
      </c>
      <c r="AE529" s="324" t="e">
        <f t="shared" ca="1" si="237"/>
        <v>#N/A</v>
      </c>
      <c r="AG529" s="306">
        <f t="shared" ca="1" si="259"/>
        <v>0.85260989398110176</v>
      </c>
      <c r="AH529" s="304">
        <f t="shared" ca="1" si="260"/>
        <v>-8.9306177647654543</v>
      </c>
    </row>
    <row r="530" spans="1:34" x14ac:dyDescent="0.2">
      <c r="A530" s="347">
        <f t="shared" ca="1" si="238"/>
        <v>1E-4</v>
      </c>
      <c r="B530" s="304">
        <f t="shared" ca="1" si="239"/>
        <v>28.615000000000105</v>
      </c>
      <c r="D530" s="306">
        <f t="shared" ca="1" si="240"/>
        <v>-0.65933409988370384</v>
      </c>
      <c r="E530" s="307">
        <f t="shared" ca="1" si="241"/>
        <v>-0.90373003161771592</v>
      </c>
      <c r="F530" s="304">
        <f t="shared" ca="1" si="242"/>
        <v>1.1186820036619931</v>
      </c>
      <c r="G530" s="306">
        <f t="shared" ca="1" si="243"/>
        <v>7.2899022505805657</v>
      </c>
      <c r="H530" s="307">
        <f t="shared" ca="1" si="244"/>
        <v>-98.472814169617806</v>
      </c>
      <c r="I530" s="304">
        <f t="shared" ca="1" si="245"/>
        <v>98.742279725085851</v>
      </c>
      <c r="J530" s="306">
        <f t="shared" ca="1" si="246"/>
        <v>678.53524446899166</v>
      </c>
      <c r="K530" s="307">
        <f t="shared" ca="1" si="247"/>
        <v>-4.3480991465309753</v>
      </c>
      <c r="L530" s="304">
        <f t="shared" ca="1" si="232"/>
        <v>678.54917578078482</v>
      </c>
      <c r="M530" s="306">
        <f t="shared" ca="1" si="248"/>
        <v>-1.4969015286715703</v>
      </c>
      <c r="N530" s="304">
        <f t="shared" ca="1" si="249"/>
        <v>-85.766139939562166</v>
      </c>
      <c r="P530" s="310">
        <f t="shared" ca="1" si="250"/>
        <v>23</v>
      </c>
      <c r="Q530" s="304">
        <f t="shared" ca="1" si="251"/>
        <v>0</v>
      </c>
      <c r="R530" s="306">
        <f t="shared" ca="1" si="252"/>
        <v>0</v>
      </c>
      <c r="S530" s="307">
        <f t="shared" ca="1" si="253"/>
        <v>4.341000000000002</v>
      </c>
      <c r="T530" s="304">
        <f t="shared" ca="1" si="233"/>
        <v>42.585210000000025</v>
      </c>
      <c r="U530" s="311">
        <f t="shared" ca="1" si="234"/>
        <v>0</v>
      </c>
      <c r="V530" s="306">
        <f t="shared" ca="1" si="235"/>
        <v>1.2255327579696738</v>
      </c>
      <c r="W530" s="304">
        <f t="shared" ca="1" si="236"/>
        <v>38.768021966517054</v>
      </c>
      <c r="Y530" s="314" t="str">
        <f t="shared" ca="1" si="254"/>
        <v/>
      </c>
      <c r="Z530" s="315" t="str">
        <f t="shared" ca="1" si="255"/>
        <v/>
      </c>
      <c r="AA530" s="316" t="str">
        <f t="shared" ca="1" si="256"/>
        <v/>
      </c>
      <c r="AC530" s="310" t="e">
        <f t="shared" ca="1" si="257"/>
        <v>#N/A</v>
      </c>
      <c r="AD530" s="323" t="e">
        <f t="shared" ca="1" si="258"/>
        <v>#N/A</v>
      </c>
      <c r="AE530" s="324" t="e">
        <f t="shared" ca="1" si="237"/>
        <v>#N/A</v>
      </c>
      <c r="AG530" s="306">
        <f t="shared" ca="1" si="259"/>
        <v>0.85258620830063592</v>
      </c>
      <c r="AH530" s="304">
        <f t="shared" ca="1" si="260"/>
        <v>-8.9306419816818128</v>
      </c>
    </row>
    <row r="531" spans="1:34" x14ac:dyDescent="0.2">
      <c r="A531" s="347">
        <f t="shared" ca="1" si="238"/>
        <v>1E-4</v>
      </c>
      <c r="B531" s="304">
        <f t="shared" ca="1" si="239"/>
        <v>28.615100000000105</v>
      </c>
      <c r="D531" s="306">
        <f t="shared" ca="1" si="240"/>
        <v>-0.65932935515486113</v>
      </c>
      <c r="E531" s="307">
        <f t="shared" ca="1" si="241"/>
        <v>-0.90370539754935741</v>
      </c>
      <c r="F531" s="304">
        <f t="shared" ca="1" si="242"/>
        <v>1.1186593065490347</v>
      </c>
      <c r="G531" s="306">
        <f t="shared" ca="1" si="243"/>
        <v>7.28983631764505</v>
      </c>
      <c r="H531" s="307">
        <f t="shared" ca="1" si="244"/>
        <v>-98.472904540157558</v>
      </c>
      <c r="I531" s="304">
        <f t="shared" ca="1" si="245"/>
        <v>98.742364981364702</v>
      </c>
      <c r="J531" s="306">
        <f t="shared" ca="1" si="246"/>
        <v>678.53524446899166</v>
      </c>
      <c r="K531" s="307">
        <f t="shared" ca="1" si="247"/>
        <v>-4.3579464324664636</v>
      </c>
      <c r="L531" s="304">
        <f t="shared" ca="1" si="232"/>
        <v>678.54923895300522</v>
      </c>
      <c r="M531" s="306">
        <f t="shared" ca="1" si="248"/>
        <v>-1.4969022621444119</v>
      </c>
      <c r="N531" s="304">
        <f t="shared" ca="1" si="249"/>
        <v>-85.766181964460387</v>
      </c>
      <c r="P531" s="310">
        <f t="shared" ca="1" si="250"/>
        <v>23</v>
      </c>
      <c r="Q531" s="304">
        <f t="shared" ca="1" si="251"/>
        <v>0</v>
      </c>
      <c r="R531" s="306">
        <f t="shared" ca="1" si="252"/>
        <v>0</v>
      </c>
      <c r="S531" s="307">
        <f t="shared" ca="1" si="253"/>
        <v>4.341000000000002</v>
      </c>
      <c r="T531" s="304">
        <f t="shared" ca="1" si="233"/>
        <v>42.585210000000025</v>
      </c>
      <c r="U531" s="311">
        <f t="shared" ca="1" si="234"/>
        <v>0</v>
      </c>
      <c r="V531" s="306">
        <f t="shared" ca="1" si="235"/>
        <v>1.2255339647874741</v>
      </c>
      <c r="W531" s="304">
        <f t="shared" ca="1" si="236"/>
        <v>38.768127088955801</v>
      </c>
      <c r="Y531" s="314" t="str">
        <f t="shared" ca="1" si="254"/>
        <v/>
      </c>
      <c r="Z531" s="315" t="str">
        <f t="shared" ca="1" si="255"/>
        <v/>
      </c>
      <c r="AA531" s="316" t="str">
        <f t="shared" ca="1" si="256"/>
        <v/>
      </c>
      <c r="AC531" s="310" t="e">
        <f t="shared" ca="1" si="257"/>
        <v>#N/A</v>
      </c>
      <c r="AD531" s="323" t="e">
        <f t="shared" ca="1" si="258"/>
        <v>#N/A</v>
      </c>
      <c r="AE531" s="324" t="e">
        <f t="shared" ca="1" si="237"/>
        <v>#N/A</v>
      </c>
      <c r="AG531" s="306">
        <f t="shared" ca="1" si="259"/>
        <v>0.85256252297721602</v>
      </c>
      <c r="AH531" s="304">
        <f t="shared" ca="1" si="260"/>
        <v>-8.9306661982301403</v>
      </c>
    </row>
    <row r="532" spans="1:34" x14ac:dyDescent="0.2">
      <c r="A532" s="347">
        <f t="shared" ca="1" si="238"/>
        <v>1E-4</v>
      </c>
      <c r="B532" s="304">
        <f t="shared" ca="1" si="239"/>
        <v>28.615200000000105</v>
      </c>
      <c r="D532" s="306">
        <f t="shared" ca="1" si="240"/>
        <v>-0.65932461043342971</v>
      </c>
      <c r="E532" s="307">
        <f t="shared" ca="1" si="241"/>
        <v>-0.90368076385538743</v>
      </c>
      <c r="F532" s="304">
        <f t="shared" ca="1" si="242"/>
        <v>1.1186366098449712</v>
      </c>
      <c r="G532" s="306">
        <f t="shared" ca="1" si="243"/>
        <v>7.2897703851840063</v>
      </c>
      <c r="H532" s="307">
        <f t="shared" ca="1" si="244"/>
        <v>-98.472994908233943</v>
      </c>
      <c r="I532" s="304">
        <f t="shared" ca="1" si="245"/>
        <v>98.742450235275072</v>
      </c>
      <c r="J532" s="306">
        <f t="shared" ca="1" si="246"/>
        <v>678.53524446899166</v>
      </c>
      <c r="K532" s="307">
        <f t="shared" ca="1" si="247"/>
        <v>-4.3677937274388832</v>
      </c>
      <c r="L532" s="304">
        <f t="shared" ca="1" si="232"/>
        <v>678.54930226818431</v>
      </c>
      <c r="M532" s="306">
        <f t="shared" ca="1" si="248"/>
        <v>-1.4969029956093529</v>
      </c>
      <c r="N532" s="304">
        <f t="shared" ca="1" si="249"/>
        <v>-85.766223988905921</v>
      </c>
      <c r="P532" s="310">
        <f t="shared" ca="1" si="250"/>
        <v>23</v>
      </c>
      <c r="Q532" s="304">
        <f t="shared" ca="1" si="251"/>
        <v>0</v>
      </c>
      <c r="R532" s="306">
        <f t="shared" ca="1" si="252"/>
        <v>0</v>
      </c>
      <c r="S532" s="307">
        <f t="shared" ca="1" si="253"/>
        <v>4.341000000000002</v>
      </c>
      <c r="T532" s="304">
        <f t="shared" ca="1" si="233"/>
        <v>42.585210000000025</v>
      </c>
      <c r="U532" s="311">
        <f t="shared" ca="1" si="234"/>
        <v>0</v>
      </c>
      <c r="V532" s="306">
        <f t="shared" ca="1" si="235"/>
        <v>1.2255351716075711</v>
      </c>
      <c r="W532" s="304">
        <f t="shared" ca="1" si="236"/>
        <v>38.768232209797006</v>
      </c>
      <c r="Y532" s="314" t="str">
        <f t="shared" ca="1" si="254"/>
        <v/>
      </c>
      <c r="Z532" s="315" t="str">
        <f t="shared" ca="1" si="255"/>
        <v/>
      </c>
      <c r="AA532" s="316" t="str">
        <f t="shared" ca="1" si="256"/>
        <v/>
      </c>
      <c r="AC532" s="310" t="e">
        <f t="shared" ca="1" si="257"/>
        <v>#N/A</v>
      </c>
      <c r="AD532" s="323" t="e">
        <f t="shared" ca="1" si="258"/>
        <v>#N/A</v>
      </c>
      <c r="AE532" s="324" t="e">
        <f t="shared" ca="1" si="237"/>
        <v>#N/A</v>
      </c>
      <c r="AG532" s="306">
        <f t="shared" ca="1" si="259"/>
        <v>0.85253883801082431</v>
      </c>
      <c r="AH532" s="304">
        <f t="shared" ca="1" si="260"/>
        <v>-8.9306904144104546</v>
      </c>
    </row>
    <row r="533" spans="1:34" x14ac:dyDescent="0.2">
      <c r="A533" s="347">
        <f t="shared" ca="1" si="238"/>
        <v>1E-4</v>
      </c>
      <c r="B533" s="304">
        <f t="shared" ca="1" si="239"/>
        <v>28.615300000000104</v>
      </c>
      <c r="D533" s="306">
        <f t="shared" ca="1" si="240"/>
        <v>-0.65931986571941303</v>
      </c>
      <c r="E533" s="307">
        <f t="shared" ca="1" si="241"/>
        <v>-0.90365613053580063</v>
      </c>
      <c r="F533" s="304">
        <f t="shared" ca="1" si="242"/>
        <v>1.1186139135498006</v>
      </c>
      <c r="G533" s="306">
        <f t="shared" ca="1" si="243"/>
        <v>7.2897044531974347</v>
      </c>
      <c r="H533" s="307">
        <f t="shared" ca="1" si="244"/>
        <v>-98.473085273846991</v>
      </c>
      <c r="I533" s="304">
        <f t="shared" ca="1" si="245"/>
        <v>98.742535486816962</v>
      </c>
      <c r="J533" s="306">
        <f t="shared" ca="1" si="246"/>
        <v>678.53524446899166</v>
      </c>
      <c r="K533" s="307">
        <f t="shared" ca="1" si="247"/>
        <v>-4.377641031447987</v>
      </c>
      <c r="L533" s="304">
        <f t="shared" ca="1" si="232"/>
        <v>678.54936572632243</v>
      </c>
      <c r="M533" s="306">
        <f t="shared" ca="1" si="248"/>
        <v>-1.4969037290663936</v>
      </c>
      <c r="N533" s="304">
        <f t="shared" ca="1" si="249"/>
        <v>-85.766266012898811</v>
      </c>
      <c r="P533" s="310">
        <f t="shared" ca="1" si="250"/>
        <v>23</v>
      </c>
      <c r="Q533" s="304">
        <f t="shared" ca="1" si="251"/>
        <v>0</v>
      </c>
      <c r="R533" s="306">
        <f t="shared" ca="1" si="252"/>
        <v>0</v>
      </c>
      <c r="S533" s="307">
        <f t="shared" ca="1" si="253"/>
        <v>4.341000000000002</v>
      </c>
      <c r="T533" s="304">
        <f t="shared" ca="1" si="233"/>
        <v>42.585210000000025</v>
      </c>
      <c r="U533" s="311">
        <f t="shared" ca="1" si="234"/>
        <v>0</v>
      </c>
      <c r="V533" s="306">
        <f t="shared" ca="1" si="235"/>
        <v>1.2255363784299638</v>
      </c>
      <c r="W533" s="304">
        <f t="shared" ca="1" si="236"/>
        <v>38.768337329040655</v>
      </c>
      <c r="Y533" s="314" t="str">
        <f t="shared" ca="1" si="254"/>
        <v/>
      </c>
      <c r="Z533" s="315" t="str">
        <f t="shared" ca="1" si="255"/>
        <v/>
      </c>
      <c r="AA533" s="316" t="str">
        <f t="shared" ca="1" si="256"/>
        <v/>
      </c>
      <c r="AC533" s="310" t="e">
        <f t="shared" ca="1" si="257"/>
        <v>#N/A</v>
      </c>
      <c r="AD533" s="323" t="e">
        <f t="shared" ca="1" si="258"/>
        <v>#N/A</v>
      </c>
      <c r="AE533" s="324" t="e">
        <f t="shared" ca="1" si="237"/>
        <v>#N/A</v>
      </c>
      <c r="AG533" s="306">
        <f t="shared" ca="1" si="259"/>
        <v>0.852515153401459</v>
      </c>
      <c r="AH533" s="304">
        <f t="shared" ca="1" si="260"/>
        <v>-8.9307146302227576</v>
      </c>
    </row>
    <row r="534" spans="1:34" x14ac:dyDescent="0.2">
      <c r="A534" s="347">
        <f t="shared" ca="1" si="238"/>
        <v>1E-4</v>
      </c>
      <c r="B534" s="304">
        <f t="shared" ca="1" si="239"/>
        <v>28.615400000000104</v>
      </c>
      <c r="D534" s="306">
        <f t="shared" ca="1" si="240"/>
        <v>-0.6593151210128102</v>
      </c>
      <c r="E534" s="307">
        <f t="shared" ca="1" si="241"/>
        <v>-0.90363149759060413</v>
      </c>
      <c r="F534" s="304">
        <f t="shared" ca="1" si="242"/>
        <v>1.1185912176635282</v>
      </c>
      <c r="G534" s="306">
        <f t="shared" ca="1" si="243"/>
        <v>7.2896385216853332</v>
      </c>
      <c r="H534" s="307">
        <f t="shared" ca="1" si="244"/>
        <v>-98.473175636996743</v>
      </c>
      <c r="I534" s="304">
        <f t="shared" ca="1" si="245"/>
        <v>98.742620735990442</v>
      </c>
      <c r="J534" s="306">
        <f t="shared" ca="1" si="246"/>
        <v>678.53524446899166</v>
      </c>
      <c r="K534" s="307">
        <f t="shared" ca="1" si="247"/>
        <v>-4.3874883444935291</v>
      </c>
      <c r="L534" s="304">
        <f t="shared" ca="1" si="232"/>
        <v>678.54942932741994</v>
      </c>
      <c r="M534" s="306">
        <f t="shared" ca="1" si="248"/>
        <v>-1.4969044625155341</v>
      </c>
      <c r="N534" s="304">
        <f t="shared" ca="1" si="249"/>
        <v>-85.766308036439042</v>
      </c>
      <c r="P534" s="310">
        <f t="shared" ca="1" si="250"/>
        <v>23</v>
      </c>
      <c r="Q534" s="304">
        <f t="shared" ca="1" si="251"/>
        <v>0</v>
      </c>
      <c r="R534" s="306">
        <f t="shared" ca="1" si="252"/>
        <v>0</v>
      </c>
      <c r="S534" s="307">
        <f t="shared" ca="1" si="253"/>
        <v>4.341000000000002</v>
      </c>
      <c r="T534" s="304">
        <f t="shared" ca="1" si="233"/>
        <v>42.585210000000025</v>
      </c>
      <c r="U534" s="311">
        <f t="shared" ca="1" si="234"/>
        <v>0</v>
      </c>
      <c r="V534" s="306">
        <f t="shared" ca="1" si="235"/>
        <v>1.2255375852546528</v>
      </c>
      <c r="W534" s="304">
        <f t="shared" ca="1" si="236"/>
        <v>38.768442446686826</v>
      </c>
      <c r="Y534" s="314" t="str">
        <f t="shared" ca="1" si="254"/>
        <v/>
      </c>
      <c r="Z534" s="315" t="str">
        <f t="shared" ca="1" si="255"/>
        <v/>
      </c>
      <c r="AA534" s="316" t="str">
        <f t="shared" ca="1" si="256"/>
        <v/>
      </c>
      <c r="AC534" s="310" t="e">
        <f t="shared" ca="1" si="257"/>
        <v>#N/A</v>
      </c>
      <c r="AD534" s="323" t="e">
        <f t="shared" ca="1" si="258"/>
        <v>#N/A</v>
      </c>
      <c r="AE534" s="324" t="e">
        <f t="shared" ca="1" si="237"/>
        <v>#N/A</v>
      </c>
      <c r="AG534" s="306">
        <f t="shared" ca="1" si="259"/>
        <v>0.85249146914912544</v>
      </c>
      <c r="AH534" s="304">
        <f t="shared" ca="1" si="260"/>
        <v>-8.9307388456670438</v>
      </c>
    </row>
    <row r="535" spans="1:34" x14ac:dyDescent="0.2">
      <c r="A535" s="347">
        <f t="shared" ca="1" si="238"/>
        <v>1E-4</v>
      </c>
      <c r="B535" s="304">
        <f t="shared" ca="1" si="239"/>
        <v>28.615500000000104</v>
      </c>
      <c r="D535" s="306">
        <f t="shared" ca="1" si="240"/>
        <v>-0.65931037631362199</v>
      </c>
      <c r="E535" s="307">
        <f t="shared" ca="1" si="241"/>
        <v>-0.90360686501978016</v>
      </c>
      <c r="F535" s="304">
        <f t="shared" ca="1" si="242"/>
        <v>1.1185685221861399</v>
      </c>
      <c r="G535" s="306">
        <f t="shared" ca="1" si="243"/>
        <v>7.289572590647702</v>
      </c>
      <c r="H535" s="307">
        <f t="shared" ca="1" si="244"/>
        <v>-98.473265997683242</v>
      </c>
      <c r="I535" s="304">
        <f t="shared" ca="1" si="245"/>
        <v>98.742705982795513</v>
      </c>
      <c r="J535" s="306">
        <f t="shared" ca="1" si="246"/>
        <v>678.53524446899166</v>
      </c>
      <c r="K535" s="307">
        <f t="shared" ca="1" si="247"/>
        <v>-4.3973356665752634</v>
      </c>
      <c r="L535" s="304">
        <f t="shared" ca="1" si="232"/>
        <v>678.54949307147729</v>
      </c>
      <c r="M535" s="306">
        <f t="shared" ca="1" si="248"/>
        <v>-1.4969051959567747</v>
      </c>
      <c r="N535" s="304">
        <f t="shared" ca="1" si="249"/>
        <v>-85.766350059526658</v>
      </c>
      <c r="P535" s="310">
        <f t="shared" ca="1" si="250"/>
        <v>23</v>
      </c>
      <c r="Q535" s="304">
        <f t="shared" ca="1" si="251"/>
        <v>0</v>
      </c>
      <c r="R535" s="306">
        <f t="shared" ca="1" si="252"/>
        <v>0</v>
      </c>
      <c r="S535" s="307">
        <f t="shared" ca="1" si="253"/>
        <v>4.341000000000002</v>
      </c>
      <c r="T535" s="304">
        <f t="shared" ca="1" si="233"/>
        <v>42.585210000000025</v>
      </c>
      <c r="U535" s="311">
        <f t="shared" ca="1" si="234"/>
        <v>0</v>
      </c>
      <c r="V535" s="306">
        <f t="shared" ca="1" si="235"/>
        <v>1.2255387920816372</v>
      </c>
      <c r="W535" s="304">
        <f t="shared" ca="1" si="236"/>
        <v>38.768547562735435</v>
      </c>
      <c r="Y535" s="314" t="str">
        <f t="shared" ca="1" si="254"/>
        <v/>
      </c>
      <c r="Z535" s="315" t="str">
        <f t="shared" ca="1" si="255"/>
        <v/>
      </c>
      <c r="AA535" s="316" t="str">
        <f t="shared" ca="1" si="256"/>
        <v/>
      </c>
      <c r="AC535" s="310" t="e">
        <f t="shared" ca="1" si="257"/>
        <v>#N/A</v>
      </c>
      <c r="AD535" s="323" t="e">
        <f t="shared" ca="1" si="258"/>
        <v>#N/A</v>
      </c>
      <c r="AE535" s="324" t="e">
        <f t="shared" ca="1" si="237"/>
        <v>#N/A</v>
      </c>
      <c r="AG535" s="306">
        <f t="shared" ca="1" si="259"/>
        <v>0.85246778525380407</v>
      </c>
      <c r="AH535" s="304">
        <f t="shared" ca="1" si="260"/>
        <v>-8.9307630607433328</v>
      </c>
    </row>
    <row r="536" spans="1:34" x14ac:dyDescent="0.2">
      <c r="A536" s="347">
        <f t="shared" ca="1" si="238"/>
        <v>1E-4</v>
      </c>
      <c r="B536" s="304">
        <f t="shared" ca="1" si="239"/>
        <v>28.615600000000104</v>
      </c>
      <c r="D536" s="306">
        <f t="shared" ca="1" si="240"/>
        <v>-0.65930563162184641</v>
      </c>
      <c r="E536" s="307">
        <f t="shared" ca="1" si="241"/>
        <v>-0.90358223282334293</v>
      </c>
      <c r="F536" s="304">
        <f t="shared" ca="1" si="242"/>
        <v>1.1185458271176465</v>
      </c>
      <c r="G536" s="306">
        <f t="shared" ca="1" si="243"/>
        <v>7.2895066600845402</v>
      </c>
      <c r="H536" s="307">
        <f t="shared" ca="1" si="244"/>
        <v>-98.473356355906532</v>
      </c>
      <c r="I536" s="304">
        <f t="shared" ca="1" si="245"/>
        <v>98.742791227232246</v>
      </c>
      <c r="J536" s="306">
        <f t="shared" ca="1" si="246"/>
        <v>678.53524446899166</v>
      </c>
      <c r="K536" s="307">
        <f t="shared" ca="1" si="247"/>
        <v>-4.4071829976929431</v>
      </c>
      <c r="L536" s="304">
        <f t="shared" ca="1" si="232"/>
        <v>678.54955695849469</v>
      </c>
      <c r="M536" s="306">
        <f t="shared" ca="1" si="248"/>
        <v>-1.4969059293901152</v>
      </c>
      <c r="N536" s="304">
        <f t="shared" ca="1" si="249"/>
        <v>-85.766392082161616</v>
      </c>
      <c r="P536" s="310">
        <f t="shared" ca="1" si="250"/>
        <v>23</v>
      </c>
      <c r="Q536" s="304">
        <f t="shared" ca="1" si="251"/>
        <v>0</v>
      </c>
      <c r="R536" s="306">
        <f t="shared" ca="1" si="252"/>
        <v>0</v>
      </c>
      <c r="S536" s="307">
        <f t="shared" ca="1" si="253"/>
        <v>4.341000000000002</v>
      </c>
      <c r="T536" s="304">
        <f t="shared" ca="1" si="233"/>
        <v>42.585210000000025</v>
      </c>
      <c r="U536" s="311">
        <f t="shared" ca="1" si="234"/>
        <v>0</v>
      </c>
      <c r="V536" s="306">
        <f t="shared" ca="1" si="235"/>
        <v>1.2255399989109186</v>
      </c>
      <c r="W536" s="304">
        <f t="shared" ca="1" si="236"/>
        <v>38.768652677186616</v>
      </c>
      <c r="Y536" s="314" t="str">
        <f t="shared" ca="1" si="254"/>
        <v/>
      </c>
      <c r="Z536" s="315" t="str">
        <f t="shared" ca="1" si="255"/>
        <v/>
      </c>
      <c r="AA536" s="316" t="str">
        <f t="shared" ca="1" si="256"/>
        <v/>
      </c>
      <c r="AC536" s="310" t="e">
        <f t="shared" ca="1" si="257"/>
        <v>#N/A</v>
      </c>
      <c r="AD536" s="323" t="e">
        <f t="shared" ca="1" si="258"/>
        <v>#N/A</v>
      </c>
      <c r="AE536" s="324" t="e">
        <f t="shared" ca="1" si="237"/>
        <v>#N/A</v>
      </c>
      <c r="AG536" s="306">
        <f t="shared" ca="1" si="259"/>
        <v>0.85244410171551621</v>
      </c>
      <c r="AH536" s="304">
        <f t="shared" ca="1" si="260"/>
        <v>-8.9307872754516051</v>
      </c>
    </row>
    <row r="537" spans="1:34" x14ac:dyDescent="0.2">
      <c r="A537" s="347">
        <f t="shared" ca="1" si="238"/>
        <v>1E-4</v>
      </c>
      <c r="B537" s="304">
        <f t="shared" ca="1" si="239"/>
        <v>28.615700000000103</v>
      </c>
      <c r="D537" s="306">
        <f t="shared" ca="1" si="240"/>
        <v>-0.65930088693748901</v>
      </c>
      <c r="E537" s="307">
        <f t="shared" ca="1" si="241"/>
        <v>-0.90355760100126759</v>
      </c>
      <c r="F537" s="304">
        <f t="shared" ca="1" si="242"/>
        <v>1.1185231324580307</v>
      </c>
      <c r="G537" s="306">
        <f t="shared" ca="1" si="243"/>
        <v>7.2894407299958468</v>
      </c>
      <c r="H537" s="307">
        <f t="shared" ca="1" si="244"/>
        <v>-98.473446711666625</v>
      </c>
      <c r="I537" s="304">
        <f t="shared" ca="1" si="245"/>
        <v>98.742876469300654</v>
      </c>
      <c r="J537" s="306">
        <f t="shared" ca="1" si="246"/>
        <v>678.53524446899166</v>
      </c>
      <c r="K537" s="307">
        <f t="shared" ca="1" si="247"/>
        <v>-4.417030337846322</v>
      </c>
      <c r="L537" s="304">
        <f t="shared" ca="1" si="232"/>
        <v>678.5496209884725</v>
      </c>
      <c r="M537" s="306">
        <f t="shared" ca="1" si="248"/>
        <v>-1.4969066628155558</v>
      </c>
      <c r="N537" s="304">
        <f t="shared" ca="1" si="249"/>
        <v>-85.766434104343958</v>
      </c>
      <c r="P537" s="310">
        <f t="shared" ca="1" si="250"/>
        <v>23</v>
      </c>
      <c r="Q537" s="304">
        <f t="shared" ca="1" si="251"/>
        <v>0</v>
      </c>
      <c r="R537" s="306">
        <f t="shared" ca="1" si="252"/>
        <v>0</v>
      </c>
      <c r="S537" s="307">
        <f t="shared" ca="1" si="253"/>
        <v>4.341000000000002</v>
      </c>
      <c r="T537" s="304">
        <f t="shared" ca="1" si="233"/>
        <v>42.585210000000025</v>
      </c>
      <c r="U537" s="311">
        <f t="shared" ca="1" si="234"/>
        <v>0</v>
      </c>
      <c r="V537" s="306">
        <f t="shared" ca="1" si="235"/>
        <v>1.2255412057424953</v>
      </c>
      <c r="W537" s="304">
        <f t="shared" ca="1" si="236"/>
        <v>38.768757790040311</v>
      </c>
      <c r="Y537" s="314" t="str">
        <f t="shared" ca="1" si="254"/>
        <v/>
      </c>
      <c r="Z537" s="315" t="str">
        <f t="shared" ca="1" si="255"/>
        <v/>
      </c>
      <c r="AA537" s="316" t="str">
        <f t="shared" ca="1" si="256"/>
        <v/>
      </c>
      <c r="AC537" s="310" t="e">
        <f t="shared" ca="1" si="257"/>
        <v>#N/A</v>
      </c>
      <c r="AD537" s="323" t="e">
        <f t="shared" ca="1" si="258"/>
        <v>#N/A</v>
      </c>
      <c r="AE537" s="324" t="e">
        <f t="shared" ca="1" si="237"/>
        <v>#N/A</v>
      </c>
      <c r="AG537" s="306">
        <f t="shared" ca="1" si="259"/>
        <v>0.85242041853423167</v>
      </c>
      <c r="AH537" s="304">
        <f t="shared" ca="1" si="260"/>
        <v>-8.9308114897918909</v>
      </c>
    </row>
    <row r="538" spans="1:34" x14ac:dyDescent="0.2">
      <c r="A538" s="347">
        <f t="shared" ca="1" si="238"/>
        <v>1E-4</v>
      </c>
      <c r="B538" s="304">
        <f t="shared" ca="1" si="239"/>
        <v>28.615800000000103</v>
      </c>
      <c r="D538" s="306">
        <f t="shared" ca="1" si="240"/>
        <v>-0.65929614226054822</v>
      </c>
      <c r="E538" s="307">
        <f t="shared" ca="1" si="241"/>
        <v>-0.90353296955356477</v>
      </c>
      <c r="F538" s="304">
        <f t="shared" ca="1" si="242"/>
        <v>1.1185004382073009</v>
      </c>
      <c r="G538" s="306">
        <f t="shared" ca="1" si="243"/>
        <v>7.289374800381621</v>
      </c>
      <c r="H538" s="307">
        <f t="shared" ca="1" si="244"/>
        <v>-98.47353706496358</v>
      </c>
      <c r="I538" s="304">
        <f t="shared" ca="1" si="245"/>
        <v>98.742961709000795</v>
      </c>
      <c r="J538" s="306">
        <f t="shared" ca="1" si="246"/>
        <v>678.53524446899166</v>
      </c>
      <c r="K538" s="307">
        <f t="shared" ca="1" si="247"/>
        <v>-4.4268776870351534</v>
      </c>
      <c r="L538" s="304">
        <f t="shared" ca="1" si="232"/>
        <v>678.54968516141116</v>
      </c>
      <c r="M538" s="306">
        <f t="shared" ca="1" si="248"/>
        <v>-1.4969073962330968</v>
      </c>
      <c r="N538" s="304">
        <f t="shared" ca="1" si="249"/>
        <v>-85.76647612607367</v>
      </c>
      <c r="P538" s="310">
        <f t="shared" ca="1" si="250"/>
        <v>23</v>
      </c>
      <c r="Q538" s="304">
        <f t="shared" ca="1" si="251"/>
        <v>0</v>
      </c>
      <c r="R538" s="306">
        <f t="shared" ca="1" si="252"/>
        <v>0</v>
      </c>
      <c r="S538" s="307">
        <f t="shared" ca="1" si="253"/>
        <v>4.341000000000002</v>
      </c>
      <c r="T538" s="304">
        <f t="shared" ca="1" si="233"/>
        <v>42.585210000000025</v>
      </c>
      <c r="U538" s="311">
        <f t="shared" ca="1" si="234"/>
        <v>0</v>
      </c>
      <c r="V538" s="306">
        <f t="shared" ca="1" si="235"/>
        <v>1.2255424125763683</v>
      </c>
      <c r="W538" s="304">
        <f t="shared" ca="1" si="236"/>
        <v>38.768862901296586</v>
      </c>
      <c r="Y538" s="314" t="str">
        <f t="shared" ca="1" si="254"/>
        <v/>
      </c>
      <c r="Z538" s="315" t="str">
        <f t="shared" ca="1" si="255"/>
        <v/>
      </c>
      <c r="AA538" s="316" t="str">
        <f t="shared" ca="1" si="256"/>
        <v/>
      </c>
      <c r="AC538" s="310" t="e">
        <f t="shared" ca="1" si="257"/>
        <v>#N/A</v>
      </c>
      <c r="AD538" s="323" t="e">
        <f t="shared" ca="1" si="258"/>
        <v>#N/A</v>
      </c>
      <c r="AE538" s="324" t="e">
        <f t="shared" ca="1" si="237"/>
        <v>#N/A</v>
      </c>
      <c r="AG538" s="306">
        <f t="shared" ca="1" si="259"/>
        <v>0.85239673570995933</v>
      </c>
      <c r="AH538" s="304">
        <f t="shared" ca="1" si="260"/>
        <v>-8.9308357037641777</v>
      </c>
    </row>
    <row r="539" spans="1:34" x14ac:dyDescent="0.2">
      <c r="A539" s="347">
        <f t="shared" ca="1" si="238"/>
        <v>1E-4</v>
      </c>
      <c r="B539" s="304">
        <f t="shared" ca="1" si="239"/>
        <v>28.615900000000103</v>
      </c>
      <c r="D539" s="306">
        <f t="shared" ca="1" si="240"/>
        <v>-0.65929139759102462</v>
      </c>
      <c r="E539" s="307">
        <f t="shared" ca="1" si="241"/>
        <v>-0.9035083384802185</v>
      </c>
      <c r="F539" s="304">
        <f t="shared" ca="1" si="242"/>
        <v>1.1184777443654439</v>
      </c>
      <c r="G539" s="306">
        <f t="shared" ca="1" si="243"/>
        <v>7.2893088712418619</v>
      </c>
      <c r="H539" s="307">
        <f t="shared" ca="1" si="244"/>
        <v>-98.473627415797424</v>
      </c>
      <c r="I539" s="304">
        <f t="shared" ca="1" si="245"/>
        <v>98.743046946332655</v>
      </c>
      <c r="J539" s="306">
        <f t="shared" ca="1" si="246"/>
        <v>678.53524446899166</v>
      </c>
      <c r="K539" s="307">
        <f t="shared" ca="1" si="247"/>
        <v>-4.4367250452591911</v>
      </c>
      <c r="L539" s="304">
        <f t="shared" ca="1" si="232"/>
        <v>678.54974947731102</v>
      </c>
      <c r="M539" s="306">
        <f t="shared" ca="1" si="248"/>
        <v>-1.4969081296427382</v>
      </c>
      <c r="N539" s="304">
        <f t="shared" ca="1" si="249"/>
        <v>-85.76651814735078</v>
      </c>
      <c r="P539" s="310">
        <f t="shared" ca="1" si="250"/>
        <v>23</v>
      </c>
      <c r="Q539" s="304">
        <f t="shared" ca="1" si="251"/>
        <v>0</v>
      </c>
      <c r="R539" s="306">
        <f t="shared" ca="1" si="252"/>
        <v>0</v>
      </c>
      <c r="S539" s="307">
        <f t="shared" ca="1" si="253"/>
        <v>4.341000000000002</v>
      </c>
      <c r="T539" s="304">
        <f t="shared" ca="1" si="233"/>
        <v>42.585210000000025</v>
      </c>
      <c r="U539" s="311">
        <f t="shared" ca="1" si="234"/>
        <v>0</v>
      </c>
      <c r="V539" s="306">
        <f t="shared" ca="1" si="235"/>
        <v>1.2255436194125375</v>
      </c>
      <c r="W539" s="304">
        <f t="shared" ca="1" si="236"/>
        <v>38.768968010955398</v>
      </c>
      <c r="Y539" s="314" t="str">
        <f t="shared" ca="1" si="254"/>
        <v/>
      </c>
      <c r="Z539" s="315" t="str">
        <f t="shared" ca="1" si="255"/>
        <v/>
      </c>
      <c r="AA539" s="316" t="str">
        <f t="shared" ca="1" si="256"/>
        <v/>
      </c>
      <c r="AC539" s="310" t="e">
        <f t="shared" ca="1" si="257"/>
        <v>#N/A</v>
      </c>
      <c r="AD539" s="323" t="e">
        <f t="shared" ca="1" si="258"/>
        <v>#N/A</v>
      </c>
      <c r="AE539" s="324" t="e">
        <f t="shared" ca="1" si="237"/>
        <v>#N/A</v>
      </c>
      <c r="AG539" s="306">
        <f t="shared" ca="1" si="259"/>
        <v>0.85237305324269208</v>
      </c>
      <c r="AH539" s="304">
        <f t="shared" ca="1" si="260"/>
        <v>-8.9308599173684797</v>
      </c>
    </row>
    <row r="540" spans="1:34" x14ac:dyDescent="0.2">
      <c r="A540" s="347">
        <f t="shared" ca="1" si="238"/>
        <v>1E-4</v>
      </c>
      <c r="B540" s="304">
        <f t="shared" ca="1" si="239"/>
        <v>28.616000000000103</v>
      </c>
      <c r="D540" s="306">
        <f t="shared" ca="1" si="240"/>
        <v>-0.65928665292891675</v>
      </c>
      <c r="E540" s="307">
        <f t="shared" ca="1" si="241"/>
        <v>-0.90348370778124121</v>
      </c>
      <c r="F540" s="304">
        <f t="shared" ca="1" si="242"/>
        <v>1.1184550509324696</v>
      </c>
      <c r="G540" s="306">
        <f t="shared" ca="1" si="243"/>
        <v>7.2892429425765686</v>
      </c>
      <c r="H540" s="307">
        <f t="shared" ca="1" si="244"/>
        <v>-98.4737177641682</v>
      </c>
      <c r="I540" s="304">
        <f t="shared" ca="1" si="245"/>
        <v>98.743132181296332</v>
      </c>
      <c r="J540" s="306">
        <f t="shared" ca="1" si="246"/>
        <v>678.53524446899166</v>
      </c>
      <c r="K540" s="307">
        <f t="shared" ca="1" si="247"/>
        <v>-4.4465724125181891</v>
      </c>
      <c r="L540" s="304">
        <f t="shared" ca="1" si="232"/>
        <v>678.54981393617231</v>
      </c>
      <c r="M540" s="306">
        <f t="shared" ca="1" si="248"/>
        <v>-1.49690886304448</v>
      </c>
      <c r="N540" s="304">
        <f t="shared" ca="1" si="249"/>
        <v>-85.766560168175275</v>
      </c>
      <c r="P540" s="310">
        <f t="shared" ca="1" si="250"/>
        <v>23</v>
      </c>
      <c r="Q540" s="304">
        <f t="shared" ca="1" si="251"/>
        <v>0</v>
      </c>
      <c r="R540" s="306">
        <f t="shared" ca="1" si="252"/>
        <v>0</v>
      </c>
      <c r="S540" s="307">
        <f t="shared" ca="1" si="253"/>
        <v>4.341000000000002</v>
      </c>
      <c r="T540" s="304">
        <f t="shared" ca="1" si="233"/>
        <v>42.585210000000025</v>
      </c>
      <c r="U540" s="311">
        <f t="shared" ca="1" si="234"/>
        <v>0</v>
      </c>
      <c r="V540" s="306">
        <f t="shared" ca="1" si="235"/>
        <v>1.2255448262510025</v>
      </c>
      <c r="W540" s="304">
        <f t="shared" ca="1" si="236"/>
        <v>38.769073119016831</v>
      </c>
      <c r="Y540" s="314" t="str">
        <f t="shared" ca="1" si="254"/>
        <v/>
      </c>
      <c r="Z540" s="315" t="str">
        <f t="shared" ca="1" si="255"/>
        <v/>
      </c>
      <c r="AA540" s="316" t="str">
        <f t="shared" ca="1" si="256"/>
        <v/>
      </c>
      <c r="AC540" s="310" t="e">
        <f t="shared" ca="1" si="257"/>
        <v>#N/A</v>
      </c>
      <c r="AD540" s="323" t="e">
        <f t="shared" ca="1" si="258"/>
        <v>#N/A</v>
      </c>
      <c r="AE540" s="324" t="e">
        <f t="shared" ca="1" si="237"/>
        <v>#N/A</v>
      </c>
      <c r="AG540" s="306">
        <f t="shared" ca="1" si="259"/>
        <v>0.85234937113243525</v>
      </c>
      <c r="AH540" s="304">
        <f t="shared" ca="1" si="260"/>
        <v>-8.9308841306047864</v>
      </c>
    </row>
    <row r="541" spans="1:34" x14ac:dyDescent="0.2">
      <c r="A541" s="347">
        <f t="shared" ca="1" si="238"/>
        <v>1E-4</v>
      </c>
      <c r="B541" s="304">
        <f t="shared" ca="1" si="239"/>
        <v>28.616100000000102</v>
      </c>
      <c r="D541" s="306">
        <f t="shared" ca="1" si="240"/>
        <v>-0.65928190827422983</v>
      </c>
      <c r="E541" s="307">
        <f t="shared" ca="1" si="241"/>
        <v>-0.90345907745660803</v>
      </c>
      <c r="F541" s="304">
        <f t="shared" ca="1" si="242"/>
        <v>1.1184323579083606</v>
      </c>
      <c r="G541" s="306">
        <f t="shared" ca="1" si="243"/>
        <v>7.2891770143857411</v>
      </c>
      <c r="H541" s="307">
        <f t="shared" ca="1" si="244"/>
        <v>-98.47380811007595</v>
      </c>
      <c r="I541" s="304">
        <f t="shared" ca="1" si="245"/>
        <v>98.743217413891827</v>
      </c>
      <c r="J541" s="306">
        <f t="shared" ca="1" si="246"/>
        <v>678.53524446899166</v>
      </c>
      <c r="K541" s="307">
        <f t="shared" ca="1" si="247"/>
        <v>-4.4564197888119015</v>
      </c>
      <c r="L541" s="304">
        <f t="shared" ca="1" si="232"/>
        <v>678.54987853799548</v>
      </c>
      <c r="M541" s="306">
        <f t="shared" ca="1" si="248"/>
        <v>-1.4969095964383223</v>
      </c>
      <c r="N541" s="304">
        <f t="shared" ca="1" si="249"/>
        <v>-85.766602188547154</v>
      </c>
      <c r="P541" s="310">
        <f t="shared" ca="1" si="250"/>
        <v>23</v>
      </c>
      <c r="Q541" s="304">
        <f t="shared" ca="1" si="251"/>
        <v>0</v>
      </c>
      <c r="R541" s="306">
        <f t="shared" ca="1" si="252"/>
        <v>0</v>
      </c>
      <c r="S541" s="307">
        <f t="shared" ca="1" si="253"/>
        <v>4.341000000000002</v>
      </c>
      <c r="T541" s="304">
        <f t="shared" ca="1" si="233"/>
        <v>42.585210000000025</v>
      </c>
      <c r="U541" s="311">
        <f t="shared" ca="1" si="234"/>
        <v>0</v>
      </c>
      <c r="V541" s="306">
        <f t="shared" ca="1" si="235"/>
        <v>1.2255460330917631</v>
      </c>
      <c r="W541" s="304">
        <f t="shared" ca="1" si="236"/>
        <v>38.769178225480843</v>
      </c>
      <c r="Y541" s="314" t="str">
        <f t="shared" ca="1" si="254"/>
        <v/>
      </c>
      <c r="Z541" s="315" t="str">
        <f t="shared" ca="1" si="255"/>
        <v/>
      </c>
      <c r="AA541" s="316" t="str">
        <f t="shared" ca="1" si="256"/>
        <v/>
      </c>
      <c r="AC541" s="310" t="e">
        <f t="shared" ca="1" si="257"/>
        <v>#N/A</v>
      </c>
      <c r="AD541" s="323" t="e">
        <f t="shared" ca="1" si="258"/>
        <v>#N/A</v>
      </c>
      <c r="AE541" s="324" t="e">
        <f t="shared" ca="1" si="237"/>
        <v>#N/A</v>
      </c>
      <c r="AG541" s="306">
        <f t="shared" ca="1" si="259"/>
        <v>0.85232568937916753</v>
      </c>
      <c r="AH541" s="304">
        <f t="shared" ca="1" si="260"/>
        <v>-8.9309083434731207</v>
      </c>
    </row>
    <row r="542" spans="1:34" x14ac:dyDescent="0.2">
      <c r="A542" s="347">
        <f t="shared" ca="1" si="238"/>
        <v>1E-4</v>
      </c>
      <c r="B542" s="304">
        <f t="shared" ca="1" si="239"/>
        <v>28.616200000000102</v>
      </c>
      <c r="D542" s="306">
        <f t="shared" ca="1" si="240"/>
        <v>-0.6592771636269622</v>
      </c>
      <c r="E542" s="307">
        <f t="shared" ca="1" si="241"/>
        <v>-0.90343444750633672</v>
      </c>
      <c r="F542" s="304">
        <f t="shared" ca="1" si="242"/>
        <v>1.1184096652931306</v>
      </c>
      <c r="G542" s="306">
        <f t="shared" ca="1" si="243"/>
        <v>7.2891110866693785</v>
      </c>
      <c r="H542" s="307">
        <f t="shared" ca="1" si="244"/>
        <v>-98.473898453520704</v>
      </c>
      <c r="I542" s="304">
        <f t="shared" ca="1" si="245"/>
        <v>98.743302644119183</v>
      </c>
      <c r="J542" s="306">
        <f t="shared" ca="1" si="246"/>
        <v>678.53524446899166</v>
      </c>
      <c r="K542" s="307">
        <f t="shared" ca="1" si="247"/>
        <v>-4.4662671741400812</v>
      </c>
      <c r="L542" s="304">
        <f t="shared" ca="1" si="232"/>
        <v>678.54994328278087</v>
      </c>
      <c r="M542" s="306">
        <f t="shared" ca="1" si="248"/>
        <v>-1.4969103298242654</v>
      </c>
      <c r="N542" s="304">
        <f t="shared" ca="1" si="249"/>
        <v>-85.766644208466445</v>
      </c>
      <c r="P542" s="310">
        <f t="shared" ca="1" si="250"/>
        <v>23</v>
      </c>
      <c r="Q542" s="304">
        <f t="shared" ca="1" si="251"/>
        <v>0</v>
      </c>
      <c r="R542" s="306">
        <f t="shared" ca="1" si="252"/>
        <v>0</v>
      </c>
      <c r="S542" s="307">
        <f t="shared" ca="1" si="253"/>
        <v>4.341000000000002</v>
      </c>
      <c r="T542" s="304">
        <f t="shared" ca="1" si="233"/>
        <v>42.585210000000025</v>
      </c>
      <c r="U542" s="311">
        <f t="shared" ca="1" si="234"/>
        <v>0</v>
      </c>
      <c r="V542" s="306">
        <f t="shared" ca="1" si="235"/>
        <v>1.22554723993482</v>
      </c>
      <c r="W542" s="304">
        <f t="shared" ca="1" si="236"/>
        <v>38.769283330347506</v>
      </c>
      <c r="Y542" s="314" t="str">
        <f t="shared" ca="1" si="254"/>
        <v/>
      </c>
      <c r="Z542" s="315" t="str">
        <f t="shared" ca="1" si="255"/>
        <v/>
      </c>
      <c r="AA542" s="316" t="str">
        <f t="shared" ca="1" si="256"/>
        <v/>
      </c>
      <c r="AC542" s="310" t="e">
        <f t="shared" ca="1" si="257"/>
        <v>#N/A</v>
      </c>
      <c r="AD542" s="323" t="e">
        <f t="shared" ca="1" si="258"/>
        <v>#N/A</v>
      </c>
      <c r="AE542" s="324" t="e">
        <f t="shared" ca="1" si="237"/>
        <v>#N/A</v>
      </c>
      <c r="AG542" s="306">
        <f t="shared" ca="1" si="259"/>
        <v>0.85230200798290312</v>
      </c>
      <c r="AH542" s="304">
        <f t="shared" ca="1" si="260"/>
        <v>-8.9309325559734685</v>
      </c>
    </row>
    <row r="543" spans="1:34" x14ac:dyDescent="0.2">
      <c r="A543" s="347">
        <f t="shared" ca="1" si="238"/>
        <v>1E-4</v>
      </c>
      <c r="B543" s="304">
        <f t="shared" ca="1" si="239"/>
        <v>28.616300000000102</v>
      </c>
      <c r="D543" s="306">
        <f t="shared" ca="1" si="240"/>
        <v>-0.65927241898711453</v>
      </c>
      <c r="E543" s="307">
        <f t="shared" ca="1" si="241"/>
        <v>-0.90340981793040243</v>
      </c>
      <c r="F543" s="304">
        <f t="shared" ca="1" si="242"/>
        <v>1.1183869730867595</v>
      </c>
      <c r="G543" s="306">
        <f t="shared" ca="1" si="243"/>
        <v>7.2890451594274799</v>
      </c>
      <c r="H543" s="307">
        <f t="shared" ca="1" si="244"/>
        <v>-98.473988794502503</v>
      </c>
      <c r="I543" s="304">
        <f t="shared" ca="1" si="245"/>
        <v>98.743387871978427</v>
      </c>
      <c r="J543" s="306">
        <f t="shared" ca="1" si="246"/>
        <v>678.53524446899166</v>
      </c>
      <c r="K543" s="307">
        <f t="shared" ca="1" si="247"/>
        <v>-4.4761145685024823</v>
      </c>
      <c r="L543" s="304">
        <f t="shared" ca="1" si="232"/>
        <v>678.55000817052871</v>
      </c>
      <c r="M543" s="306">
        <f t="shared" ca="1" si="248"/>
        <v>-1.4969110632023093</v>
      </c>
      <c r="N543" s="304">
        <f t="shared" ca="1" si="249"/>
        <v>-85.76668622793315</v>
      </c>
      <c r="P543" s="310">
        <f t="shared" ca="1" si="250"/>
        <v>23</v>
      </c>
      <c r="Q543" s="304">
        <f t="shared" ca="1" si="251"/>
        <v>0</v>
      </c>
      <c r="R543" s="306">
        <f t="shared" ca="1" si="252"/>
        <v>0</v>
      </c>
      <c r="S543" s="307">
        <f t="shared" ca="1" si="253"/>
        <v>4.341000000000002</v>
      </c>
      <c r="T543" s="304">
        <f t="shared" ca="1" si="233"/>
        <v>42.585210000000025</v>
      </c>
      <c r="U543" s="311">
        <f t="shared" ca="1" si="234"/>
        <v>0</v>
      </c>
      <c r="V543" s="306">
        <f t="shared" ca="1" si="235"/>
        <v>1.2255484467801732</v>
      </c>
      <c r="W543" s="304">
        <f t="shared" ca="1" si="236"/>
        <v>38.769388433616804</v>
      </c>
      <c r="Y543" s="314" t="str">
        <f t="shared" ca="1" si="254"/>
        <v/>
      </c>
      <c r="Z543" s="315" t="str">
        <f t="shared" ca="1" si="255"/>
        <v/>
      </c>
      <c r="AA543" s="316" t="str">
        <f t="shared" ca="1" si="256"/>
        <v/>
      </c>
      <c r="AC543" s="310" t="e">
        <f t="shared" ca="1" si="257"/>
        <v>#N/A</v>
      </c>
      <c r="AD543" s="323" t="e">
        <f t="shared" ca="1" si="258"/>
        <v>#N/A</v>
      </c>
      <c r="AE543" s="324" t="e">
        <f t="shared" ca="1" si="237"/>
        <v>#N/A</v>
      </c>
      <c r="AG543" s="306">
        <f t="shared" ca="1" si="259"/>
        <v>0.85227832694362426</v>
      </c>
      <c r="AH543" s="304">
        <f t="shared" ca="1" si="260"/>
        <v>-8.9309567681058493</v>
      </c>
    </row>
    <row r="544" spans="1:34" x14ac:dyDescent="0.2">
      <c r="A544" s="347">
        <f t="shared" ca="1" si="238"/>
        <v>1E-4</v>
      </c>
      <c r="B544" s="304">
        <f t="shared" ca="1" si="239"/>
        <v>28.616400000000102</v>
      </c>
      <c r="D544" s="306">
        <f t="shared" ca="1" si="240"/>
        <v>-0.65926767435468803</v>
      </c>
      <c r="E544" s="307">
        <f t="shared" ca="1" si="241"/>
        <v>-0.90338518872881401</v>
      </c>
      <c r="F544" s="304">
        <f t="shared" ca="1" si="242"/>
        <v>1.1183642812892558</v>
      </c>
      <c r="G544" s="306">
        <f t="shared" ca="1" si="243"/>
        <v>7.2889792326600444</v>
      </c>
      <c r="H544" s="307">
        <f t="shared" ca="1" si="244"/>
        <v>-98.474079133021377</v>
      </c>
      <c r="I544" s="304">
        <f t="shared" ca="1" si="245"/>
        <v>98.743473097469618</v>
      </c>
      <c r="J544" s="306">
        <f t="shared" ca="1" si="246"/>
        <v>678.53524446899166</v>
      </c>
      <c r="K544" s="307">
        <f t="shared" ca="1" si="247"/>
        <v>-4.4859619718988588</v>
      </c>
      <c r="L544" s="304">
        <f t="shared" ca="1" si="232"/>
        <v>678.55007320123957</v>
      </c>
      <c r="M544" s="306">
        <f t="shared" ca="1" si="248"/>
        <v>-1.4969117965724539</v>
      </c>
      <c r="N544" s="304">
        <f t="shared" ca="1" si="249"/>
        <v>-85.766728246947253</v>
      </c>
      <c r="P544" s="310">
        <f t="shared" ca="1" si="250"/>
        <v>23</v>
      </c>
      <c r="Q544" s="304">
        <f t="shared" ca="1" si="251"/>
        <v>0</v>
      </c>
      <c r="R544" s="306">
        <f t="shared" ca="1" si="252"/>
        <v>0</v>
      </c>
      <c r="S544" s="307">
        <f t="shared" ca="1" si="253"/>
        <v>4.341000000000002</v>
      </c>
      <c r="T544" s="304">
        <f t="shared" ca="1" si="233"/>
        <v>42.585210000000025</v>
      </c>
      <c r="U544" s="311">
        <f t="shared" ca="1" si="234"/>
        <v>0</v>
      </c>
      <c r="V544" s="306">
        <f t="shared" ca="1" si="235"/>
        <v>1.2255496536278212</v>
      </c>
      <c r="W544" s="304">
        <f t="shared" ca="1" si="236"/>
        <v>38.769493535288753</v>
      </c>
      <c r="Y544" s="314" t="str">
        <f t="shared" ca="1" si="254"/>
        <v/>
      </c>
      <c r="Z544" s="315" t="str">
        <f t="shared" ca="1" si="255"/>
        <v/>
      </c>
      <c r="AA544" s="316" t="str">
        <f t="shared" ca="1" si="256"/>
        <v/>
      </c>
      <c r="AC544" s="310" t="e">
        <f t="shared" ca="1" si="257"/>
        <v>#N/A</v>
      </c>
      <c r="AD544" s="323" t="e">
        <f t="shared" ca="1" si="258"/>
        <v>#N/A</v>
      </c>
      <c r="AE544" s="324" t="e">
        <f t="shared" ca="1" si="237"/>
        <v>#N/A</v>
      </c>
      <c r="AG544" s="306">
        <f t="shared" ca="1" si="259"/>
        <v>0.85225464626133629</v>
      </c>
      <c r="AH544" s="304">
        <f t="shared" ca="1" si="260"/>
        <v>-8.9309809798702577</v>
      </c>
    </row>
    <row r="545" spans="1:34" x14ac:dyDescent="0.2">
      <c r="A545" s="347">
        <f t="shared" ca="1" si="238"/>
        <v>1E-4</v>
      </c>
      <c r="B545" s="304">
        <f t="shared" ca="1" si="239"/>
        <v>28.616500000000102</v>
      </c>
      <c r="D545" s="306">
        <f t="shared" ca="1" si="240"/>
        <v>-0.65926292972968425</v>
      </c>
      <c r="E545" s="307">
        <f t="shared" ca="1" si="241"/>
        <v>-0.90336055990156794</v>
      </c>
      <c r="F545" s="304">
        <f t="shared" ca="1" si="242"/>
        <v>1.1183415899006175</v>
      </c>
      <c r="G545" s="306">
        <f t="shared" ca="1" si="243"/>
        <v>7.2889133063670712</v>
      </c>
      <c r="H545" s="307">
        <f t="shared" ca="1" si="244"/>
        <v>-98.474169469077367</v>
      </c>
      <c r="I545" s="304">
        <f t="shared" ca="1" si="245"/>
        <v>98.743558320592768</v>
      </c>
      <c r="J545" s="306">
        <f t="shared" ca="1" si="246"/>
        <v>678.53524446899166</v>
      </c>
      <c r="K545" s="307">
        <f t="shared" ca="1" si="247"/>
        <v>-4.4958093843289637</v>
      </c>
      <c r="L545" s="304">
        <f t="shared" ca="1" si="232"/>
        <v>678.55013837491367</v>
      </c>
      <c r="M545" s="306">
        <f t="shared" ca="1" si="248"/>
        <v>-1.4969125299346997</v>
      </c>
      <c r="N545" s="304">
        <f t="shared" ca="1" si="249"/>
        <v>-85.766770265508796</v>
      </c>
      <c r="P545" s="310">
        <f t="shared" ca="1" si="250"/>
        <v>23</v>
      </c>
      <c r="Q545" s="304">
        <f t="shared" ca="1" si="251"/>
        <v>0</v>
      </c>
      <c r="R545" s="306">
        <f t="shared" ca="1" si="252"/>
        <v>0</v>
      </c>
      <c r="S545" s="307">
        <f t="shared" ca="1" si="253"/>
        <v>4.341000000000002</v>
      </c>
      <c r="T545" s="304">
        <f t="shared" ca="1" si="233"/>
        <v>42.585210000000025</v>
      </c>
      <c r="U545" s="311">
        <f t="shared" ca="1" si="234"/>
        <v>0</v>
      </c>
      <c r="V545" s="306">
        <f t="shared" ca="1" si="235"/>
        <v>1.2255508604777658</v>
      </c>
      <c r="W545" s="304">
        <f t="shared" ca="1" si="236"/>
        <v>38.769598635363401</v>
      </c>
      <c r="Y545" s="314" t="str">
        <f t="shared" ca="1" si="254"/>
        <v/>
      </c>
      <c r="Z545" s="315" t="str">
        <f t="shared" ca="1" si="255"/>
        <v/>
      </c>
      <c r="AA545" s="316" t="str">
        <f t="shared" ca="1" si="256"/>
        <v/>
      </c>
      <c r="AC545" s="310" t="e">
        <f t="shared" ca="1" si="257"/>
        <v>#N/A</v>
      </c>
      <c r="AD545" s="323" t="e">
        <f t="shared" ca="1" si="258"/>
        <v>#N/A</v>
      </c>
      <c r="AE545" s="324" t="e">
        <f t="shared" ca="1" si="237"/>
        <v>#N/A</v>
      </c>
      <c r="AG545" s="306">
        <f t="shared" ca="1" si="259"/>
        <v>0.85223096593603387</v>
      </c>
      <c r="AH545" s="304">
        <f t="shared" ca="1" si="260"/>
        <v>-8.9310051912666975</v>
      </c>
    </row>
    <row r="546" spans="1:34" x14ac:dyDescent="0.2">
      <c r="A546" s="347">
        <f t="shared" ca="1" si="238"/>
        <v>1E-4</v>
      </c>
      <c r="B546" s="304">
        <f t="shared" ca="1" si="239"/>
        <v>28.616600000000101</v>
      </c>
      <c r="D546" s="306">
        <f t="shared" ca="1" si="240"/>
        <v>-0.65925818511210155</v>
      </c>
      <c r="E546" s="307">
        <f t="shared" ca="1" si="241"/>
        <v>-0.90333593144864821</v>
      </c>
      <c r="F546" s="304">
        <f t="shared" ca="1" si="242"/>
        <v>1.1183188989208306</v>
      </c>
      <c r="G546" s="306">
        <f t="shared" ca="1" si="243"/>
        <v>7.2888473805485603</v>
      </c>
      <c r="H546" s="307">
        <f t="shared" ca="1" si="244"/>
        <v>-98.474259802670517</v>
      </c>
      <c r="I546" s="304">
        <f t="shared" ca="1" si="245"/>
        <v>98.743643541347922</v>
      </c>
      <c r="J546" s="306">
        <f t="shared" ca="1" si="246"/>
        <v>678.53524446899166</v>
      </c>
      <c r="K546" s="307">
        <f t="shared" ca="1" si="247"/>
        <v>-4.505656805792551</v>
      </c>
      <c r="L546" s="304">
        <f t="shared" ca="1" si="232"/>
        <v>678.55020369155136</v>
      </c>
      <c r="M546" s="306">
        <f t="shared" ca="1" si="248"/>
        <v>-1.4969132632890467</v>
      </c>
      <c r="N546" s="304">
        <f t="shared" ca="1" si="249"/>
        <v>-85.766812283617767</v>
      </c>
      <c r="P546" s="310">
        <f t="shared" ca="1" si="250"/>
        <v>23</v>
      </c>
      <c r="Q546" s="304">
        <f t="shared" ca="1" si="251"/>
        <v>0</v>
      </c>
      <c r="R546" s="306">
        <f t="shared" ca="1" si="252"/>
        <v>0</v>
      </c>
      <c r="S546" s="307">
        <f t="shared" ca="1" si="253"/>
        <v>4.341000000000002</v>
      </c>
      <c r="T546" s="304">
        <f t="shared" ca="1" si="233"/>
        <v>42.585210000000025</v>
      </c>
      <c r="U546" s="311">
        <f t="shared" ca="1" si="234"/>
        <v>0</v>
      </c>
      <c r="V546" s="306">
        <f t="shared" ca="1" si="235"/>
        <v>1.2255520673300058</v>
      </c>
      <c r="W546" s="304">
        <f t="shared" ca="1" si="236"/>
        <v>38.769703733840728</v>
      </c>
      <c r="Y546" s="314" t="str">
        <f t="shared" ca="1" si="254"/>
        <v/>
      </c>
      <c r="Z546" s="315" t="str">
        <f t="shared" ca="1" si="255"/>
        <v/>
      </c>
      <c r="AA546" s="316" t="str">
        <f t="shared" ca="1" si="256"/>
        <v/>
      </c>
      <c r="AC546" s="310" t="e">
        <f t="shared" ca="1" si="257"/>
        <v>#N/A</v>
      </c>
      <c r="AD546" s="323" t="e">
        <f t="shared" ca="1" si="258"/>
        <v>#N/A</v>
      </c>
      <c r="AE546" s="324" t="e">
        <f t="shared" ca="1" si="237"/>
        <v>#N/A</v>
      </c>
      <c r="AG546" s="306">
        <f t="shared" ca="1" si="259"/>
        <v>0.85220728596770456</v>
      </c>
      <c r="AH546" s="304">
        <f t="shared" ca="1" si="260"/>
        <v>-8.9310294022951808</v>
      </c>
    </row>
    <row r="547" spans="1:34" x14ac:dyDescent="0.2">
      <c r="A547" s="347">
        <f t="shared" ca="1" si="238"/>
        <v>1E-4</v>
      </c>
      <c r="B547" s="304">
        <f t="shared" ca="1" si="239"/>
        <v>28.616700000000101</v>
      </c>
      <c r="D547" s="306">
        <f t="shared" ca="1" si="240"/>
        <v>-0.65925344050194101</v>
      </c>
      <c r="E547" s="307">
        <f t="shared" ca="1" si="241"/>
        <v>-0.90331130337006194</v>
      </c>
      <c r="F547" s="304">
        <f t="shared" ca="1" si="242"/>
        <v>1.1182962083499015</v>
      </c>
      <c r="G547" s="306">
        <f t="shared" ca="1" si="243"/>
        <v>7.2887814552045098</v>
      </c>
      <c r="H547" s="307">
        <f t="shared" ca="1" si="244"/>
        <v>-98.474350133800854</v>
      </c>
      <c r="I547" s="304">
        <f t="shared" ca="1" si="245"/>
        <v>98.743728759735106</v>
      </c>
      <c r="J547" s="306">
        <f t="shared" ca="1" si="246"/>
        <v>678.53524446899166</v>
      </c>
      <c r="K547" s="307">
        <f t="shared" ca="1" si="247"/>
        <v>-4.5155042362893747</v>
      </c>
      <c r="L547" s="304">
        <f t="shared" ca="1" si="232"/>
        <v>678.55026915115297</v>
      </c>
      <c r="M547" s="306">
        <f t="shared" ca="1" si="248"/>
        <v>-1.4969139966354947</v>
      </c>
      <c r="N547" s="304">
        <f t="shared" ca="1" si="249"/>
        <v>-85.766854301274165</v>
      </c>
      <c r="P547" s="310">
        <f t="shared" ca="1" si="250"/>
        <v>23</v>
      </c>
      <c r="Q547" s="304">
        <f t="shared" ca="1" si="251"/>
        <v>0</v>
      </c>
      <c r="R547" s="306">
        <f t="shared" ca="1" si="252"/>
        <v>0</v>
      </c>
      <c r="S547" s="307">
        <f t="shared" ca="1" si="253"/>
        <v>4.341000000000002</v>
      </c>
      <c r="T547" s="304">
        <f t="shared" ca="1" si="233"/>
        <v>42.585210000000025</v>
      </c>
      <c r="U547" s="311">
        <f t="shared" ca="1" si="234"/>
        <v>0</v>
      </c>
      <c r="V547" s="306">
        <f t="shared" ca="1" si="235"/>
        <v>1.2255532741845419</v>
      </c>
      <c r="W547" s="304">
        <f t="shared" ca="1" si="236"/>
        <v>38.769808830720756</v>
      </c>
      <c r="Y547" s="314" t="str">
        <f t="shared" ca="1" si="254"/>
        <v/>
      </c>
      <c r="Z547" s="315" t="str">
        <f t="shared" ca="1" si="255"/>
        <v/>
      </c>
      <c r="AA547" s="316" t="str">
        <f t="shared" ca="1" si="256"/>
        <v/>
      </c>
      <c r="AC547" s="310" t="e">
        <f t="shared" ca="1" si="257"/>
        <v>#N/A</v>
      </c>
      <c r="AD547" s="323" t="e">
        <f t="shared" ca="1" si="258"/>
        <v>#N/A</v>
      </c>
      <c r="AE547" s="324" t="e">
        <f t="shared" ca="1" si="237"/>
        <v>#N/A</v>
      </c>
      <c r="AG547" s="306">
        <f t="shared" ca="1" si="259"/>
        <v>0.85218360635635548</v>
      </c>
      <c r="AH547" s="304">
        <f t="shared" ca="1" si="260"/>
        <v>-8.9310536129557043</v>
      </c>
    </row>
    <row r="548" spans="1:34" x14ac:dyDescent="0.2">
      <c r="A548" s="347">
        <f t="shared" ca="1" si="238"/>
        <v>1E-4</v>
      </c>
      <c r="B548" s="304">
        <f t="shared" ca="1" si="239"/>
        <v>28.616800000000101</v>
      </c>
      <c r="D548" s="306">
        <f t="shared" ca="1" si="240"/>
        <v>-0.65924869589920632</v>
      </c>
      <c r="E548" s="307">
        <f t="shared" ca="1" si="241"/>
        <v>-0.90328667566580734</v>
      </c>
      <c r="F548" s="304">
        <f t="shared" ca="1" si="242"/>
        <v>1.1182735181878312</v>
      </c>
      <c r="G548" s="306">
        <f t="shared" ca="1" si="243"/>
        <v>7.2887155303349198</v>
      </c>
      <c r="H548" s="307">
        <f t="shared" ca="1" si="244"/>
        <v>-98.474440462468422</v>
      </c>
      <c r="I548" s="304">
        <f t="shared" ca="1" si="245"/>
        <v>98.743813975754364</v>
      </c>
      <c r="J548" s="306">
        <f t="shared" ca="1" si="246"/>
        <v>678.53524446899166</v>
      </c>
      <c r="K548" s="307">
        <f t="shared" ca="1" si="247"/>
        <v>-4.5253516758191878</v>
      </c>
      <c r="L548" s="304">
        <f t="shared" ca="1" si="232"/>
        <v>678.55033475371897</v>
      </c>
      <c r="M548" s="306">
        <f t="shared" ca="1" si="248"/>
        <v>-1.4969147299740444</v>
      </c>
      <c r="N548" s="304">
        <f t="shared" ca="1" si="249"/>
        <v>-85.766896318478004</v>
      </c>
      <c r="P548" s="310">
        <f t="shared" ca="1" si="250"/>
        <v>23</v>
      </c>
      <c r="Q548" s="304">
        <f t="shared" ca="1" si="251"/>
        <v>0</v>
      </c>
      <c r="R548" s="306">
        <f t="shared" ca="1" si="252"/>
        <v>0</v>
      </c>
      <c r="S548" s="307">
        <f t="shared" ca="1" si="253"/>
        <v>4.341000000000002</v>
      </c>
      <c r="T548" s="304">
        <f t="shared" ca="1" si="233"/>
        <v>42.585210000000025</v>
      </c>
      <c r="U548" s="311">
        <f t="shared" ca="1" si="234"/>
        <v>0</v>
      </c>
      <c r="V548" s="306">
        <f t="shared" ca="1" si="235"/>
        <v>1.2255544810413734</v>
      </c>
      <c r="W548" s="304">
        <f t="shared" ca="1" si="236"/>
        <v>38.769913926003518</v>
      </c>
      <c r="Y548" s="314" t="str">
        <f t="shared" ca="1" si="254"/>
        <v/>
      </c>
      <c r="Z548" s="315" t="str">
        <f t="shared" ca="1" si="255"/>
        <v/>
      </c>
      <c r="AA548" s="316" t="str">
        <f t="shared" ca="1" si="256"/>
        <v/>
      </c>
      <c r="AC548" s="310" t="e">
        <f t="shared" ca="1" si="257"/>
        <v>#N/A</v>
      </c>
      <c r="AD548" s="323" t="e">
        <f t="shared" ca="1" si="258"/>
        <v>#N/A</v>
      </c>
      <c r="AE548" s="324" t="e">
        <f t="shared" ca="1" si="237"/>
        <v>#N/A</v>
      </c>
      <c r="AG548" s="306">
        <f t="shared" ca="1" si="259"/>
        <v>0.85215992710198485</v>
      </c>
      <c r="AH548" s="304">
        <f t="shared" ca="1" si="260"/>
        <v>-8.9310778232482697</v>
      </c>
    </row>
    <row r="549" spans="1:34" x14ac:dyDescent="0.2">
      <c r="A549" s="347">
        <f t="shared" ca="1" si="238"/>
        <v>1E-4</v>
      </c>
      <c r="B549" s="304">
        <f t="shared" ca="1" si="239"/>
        <v>28.616900000000101</v>
      </c>
      <c r="D549" s="306">
        <f t="shared" ca="1" si="240"/>
        <v>-0.65924395130389335</v>
      </c>
      <c r="E549" s="307">
        <f t="shared" ca="1" si="241"/>
        <v>-0.90326204833587376</v>
      </c>
      <c r="F549" s="304">
        <f t="shared" ca="1" si="242"/>
        <v>1.1182508284346087</v>
      </c>
      <c r="G549" s="306">
        <f t="shared" ca="1" si="243"/>
        <v>7.2886496059397894</v>
      </c>
      <c r="H549" s="307">
        <f t="shared" ca="1" si="244"/>
        <v>-98.474530788673249</v>
      </c>
      <c r="I549" s="304">
        <f t="shared" ca="1" si="245"/>
        <v>98.743899189405738</v>
      </c>
      <c r="J549" s="306">
        <f t="shared" ca="1" si="246"/>
        <v>678.53524446899166</v>
      </c>
      <c r="K549" s="307">
        <f t="shared" ca="1" si="247"/>
        <v>-4.5351991243817453</v>
      </c>
      <c r="L549" s="304">
        <f t="shared" ca="1" si="232"/>
        <v>678.55040049924969</v>
      </c>
      <c r="M549" s="306">
        <f t="shared" ca="1" si="248"/>
        <v>-1.4969154633046953</v>
      </c>
      <c r="N549" s="304">
        <f t="shared" ca="1" si="249"/>
        <v>-85.766938335229298</v>
      </c>
      <c r="P549" s="310">
        <f t="shared" ca="1" si="250"/>
        <v>23</v>
      </c>
      <c r="Q549" s="304">
        <f t="shared" ca="1" si="251"/>
        <v>0</v>
      </c>
      <c r="R549" s="306">
        <f t="shared" ca="1" si="252"/>
        <v>0</v>
      </c>
      <c r="S549" s="307">
        <f t="shared" ca="1" si="253"/>
        <v>4.341000000000002</v>
      </c>
      <c r="T549" s="304">
        <f t="shared" ca="1" si="233"/>
        <v>42.585210000000025</v>
      </c>
      <c r="U549" s="311">
        <f t="shared" ca="1" si="234"/>
        <v>0</v>
      </c>
      <c r="V549" s="306">
        <f t="shared" ca="1" si="235"/>
        <v>1.2255556879005007</v>
      </c>
      <c r="W549" s="304">
        <f t="shared" ca="1" si="236"/>
        <v>38.77001901968903</v>
      </c>
      <c r="Y549" s="314" t="str">
        <f t="shared" ca="1" si="254"/>
        <v/>
      </c>
      <c r="Z549" s="315" t="str">
        <f t="shared" ca="1" si="255"/>
        <v/>
      </c>
      <c r="AA549" s="316" t="str">
        <f t="shared" ca="1" si="256"/>
        <v/>
      </c>
      <c r="AC549" s="310" t="e">
        <f t="shared" ca="1" si="257"/>
        <v>#N/A</v>
      </c>
      <c r="AD549" s="323" t="e">
        <f t="shared" ca="1" si="258"/>
        <v>#N/A</v>
      </c>
      <c r="AE549" s="324" t="e">
        <f t="shared" ca="1" si="237"/>
        <v>#N/A</v>
      </c>
      <c r="AG549" s="306">
        <f t="shared" ca="1" si="259"/>
        <v>0.85213624820458023</v>
      </c>
      <c r="AH549" s="304">
        <f t="shared" ca="1" si="260"/>
        <v>-8.9311020331728859</v>
      </c>
    </row>
    <row r="550" spans="1:34" x14ac:dyDescent="0.2">
      <c r="A550" s="347">
        <f t="shared" ca="1" si="238"/>
        <v>1E-4</v>
      </c>
      <c r="B550" s="304">
        <f t="shared" ca="1" si="239"/>
        <v>28.6170000000001</v>
      </c>
      <c r="D550" s="306">
        <f t="shared" ca="1" si="240"/>
        <v>-0.65923920671600811</v>
      </c>
      <c r="E550" s="307">
        <f t="shared" ca="1" si="241"/>
        <v>-0.90323742138025587</v>
      </c>
      <c r="F550" s="304">
        <f t="shared" ca="1" si="242"/>
        <v>1.1182281390902331</v>
      </c>
      <c r="G550" s="306">
        <f t="shared" ca="1" si="243"/>
        <v>7.2885836820191177</v>
      </c>
      <c r="H550" s="307">
        <f t="shared" ca="1" si="244"/>
        <v>-98.474621112415392</v>
      </c>
      <c r="I550" s="304">
        <f t="shared" ca="1" si="245"/>
        <v>98.743984400689257</v>
      </c>
      <c r="J550" s="306">
        <f t="shared" ca="1" si="246"/>
        <v>678.53524446899166</v>
      </c>
      <c r="K550" s="307">
        <f t="shared" ca="1" si="247"/>
        <v>-4.5450465819767993</v>
      </c>
      <c r="L550" s="304">
        <f t="shared" ca="1" si="232"/>
        <v>678.55046638774525</v>
      </c>
      <c r="M550" s="306">
        <f t="shared" ca="1" si="248"/>
        <v>-1.4969161966274478</v>
      </c>
      <c r="N550" s="304">
        <f t="shared" ca="1" si="249"/>
        <v>-85.766980351528034</v>
      </c>
      <c r="P550" s="310">
        <f t="shared" ca="1" si="250"/>
        <v>23</v>
      </c>
      <c r="Q550" s="304">
        <f t="shared" ca="1" si="251"/>
        <v>0</v>
      </c>
      <c r="R550" s="306">
        <f t="shared" ca="1" si="252"/>
        <v>0</v>
      </c>
      <c r="S550" s="307">
        <f t="shared" ca="1" si="253"/>
        <v>4.341000000000002</v>
      </c>
      <c r="T550" s="304">
        <f t="shared" ca="1" si="233"/>
        <v>42.585210000000025</v>
      </c>
      <c r="U550" s="311">
        <f t="shared" ca="1" si="234"/>
        <v>0</v>
      </c>
      <c r="V550" s="306">
        <f t="shared" ca="1" si="235"/>
        <v>1.225556894761924</v>
      </c>
      <c r="W550" s="304">
        <f t="shared" ca="1" si="236"/>
        <v>38.770124111777314</v>
      </c>
      <c r="Y550" s="314" t="str">
        <f t="shared" ca="1" si="254"/>
        <v/>
      </c>
      <c r="Z550" s="315" t="str">
        <f t="shared" ca="1" si="255"/>
        <v/>
      </c>
      <c r="AA550" s="316" t="str">
        <f t="shared" ca="1" si="256"/>
        <v/>
      </c>
      <c r="AC550" s="310" t="e">
        <f t="shared" ca="1" si="257"/>
        <v>#N/A</v>
      </c>
      <c r="AD550" s="323" t="e">
        <f t="shared" ca="1" si="258"/>
        <v>#N/A</v>
      </c>
      <c r="AE550" s="324" t="e">
        <f t="shared" ca="1" si="237"/>
        <v>#N/A</v>
      </c>
      <c r="AG550" s="306">
        <f t="shared" ca="1" si="259"/>
        <v>0.85211256966413806</v>
      </c>
      <c r="AH550" s="304">
        <f t="shared" ca="1" si="260"/>
        <v>-8.9311262427295581</v>
      </c>
    </row>
    <row r="551" spans="1:34" x14ac:dyDescent="0.2">
      <c r="A551" s="347">
        <f t="shared" ca="1" si="238"/>
        <v>1E-4</v>
      </c>
      <c r="B551" s="304">
        <f t="shared" ca="1" si="239"/>
        <v>28.6171000000001</v>
      </c>
      <c r="D551" s="306">
        <f t="shared" ca="1" si="240"/>
        <v>-0.65923446213554793</v>
      </c>
      <c r="E551" s="307">
        <f t="shared" ca="1" si="241"/>
        <v>-0.90321279479895011</v>
      </c>
      <c r="F551" s="304">
        <f t="shared" ca="1" si="242"/>
        <v>1.1182054501547001</v>
      </c>
      <c r="G551" s="306">
        <f t="shared" ca="1" si="243"/>
        <v>7.2885177585729037</v>
      </c>
      <c r="H551" s="307">
        <f t="shared" ca="1" si="244"/>
        <v>-98.474711433694878</v>
      </c>
      <c r="I551" s="304">
        <f t="shared" ca="1" si="245"/>
        <v>98.744069609604949</v>
      </c>
      <c r="J551" s="306">
        <f t="shared" ca="1" si="246"/>
        <v>678.53524446899166</v>
      </c>
      <c r="K551" s="307">
        <f t="shared" ca="1" si="247"/>
        <v>-4.5548940486041047</v>
      </c>
      <c r="L551" s="304">
        <f t="shared" ca="1" si="232"/>
        <v>678.55053241920632</v>
      </c>
      <c r="M551" s="306">
        <f t="shared" ca="1" si="248"/>
        <v>-1.496916929942302</v>
      </c>
      <c r="N551" s="304">
        <f t="shared" ca="1" si="249"/>
        <v>-85.767022367374238</v>
      </c>
      <c r="P551" s="310">
        <f t="shared" ca="1" si="250"/>
        <v>23</v>
      </c>
      <c r="Q551" s="304">
        <f t="shared" ca="1" si="251"/>
        <v>0</v>
      </c>
      <c r="R551" s="306">
        <f t="shared" ca="1" si="252"/>
        <v>0</v>
      </c>
      <c r="S551" s="307">
        <f t="shared" ca="1" si="253"/>
        <v>4.341000000000002</v>
      </c>
      <c r="T551" s="304">
        <f t="shared" ca="1" si="233"/>
        <v>42.585210000000025</v>
      </c>
      <c r="U551" s="311">
        <f t="shared" ca="1" si="234"/>
        <v>0</v>
      </c>
      <c r="V551" s="306">
        <f t="shared" ca="1" si="235"/>
        <v>1.2255581016256427</v>
      </c>
      <c r="W551" s="304">
        <f t="shared" ca="1" si="236"/>
        <v>38.770229202268368</v>
      </c>
      <c r="Y551" s="314" t="str">
        <f t="shared" ca="1" si="254"/>
        <v/>
      </c>
      <c r="Z551" s="315" t="str">
        <f t="shared" ca="1" si="255"/>
        <v/>
      </c>
      <c r="AA551" s="316" t="str">
        <f t="shared" ca="1" si="256"/>
        <v/>
      </c>
      <c r="AC551" s="310" t="e">
        <f t="shared" ca="1" si="257"/>
        <v>#N/A</v>
      </c>
      <c r="AD551" s="323" t="e">
        <f t="shared" ca="1" si="258"/>
        <v>#N/A</v>
      </c>
      <c r="AE551" s="324" t="e">
        <f t="shared" ca="1" si="237"/>
        <v>#N/A</v>
      </c>
      <c r="AG551" s="306">
        <f t="shared" ca="1" si="259"/>
        <v>0.85208889148065836</v>
      </c>
      <c r="AH551" s="304">
        <f t="shared" ca="1" si="260"/>
        <v>-8.93115045191829</v>
      </c>
    </row>
    <row r="552" spans="1:34" x14ac:dyDescent="0.2">
      <c r="A552" s="347">
        <f t="shared" ca="1" si="238"/>
        <v>1E-4</v>
      </c>
      <c r="B552" s="304">
        <f t="shared" ca="1" si="239"/>
        <v>28.6172000000001</v>
      </c>
      <c r="D552" s="306">
        <f t="shared" ca="1" si="240"/>
        <v>-0.65922971756251458</v>
      </c>
      <c r="E552" s="307">
        <f t="shared" ca="1" si="241"/>
        <v>-0.90318816859195827</v>
      </c>
      <c r="F552" s="304">
        <f t="shared" ca="1" si="242"/>
        <v>1.1181827616280124</v>
      </c>
      <c r="G552" s="306">
        <f t="shared" ca="1" si="243"/>
        <v>7.2884518356011476</v>
      </c>
      <c r="H552" s="307">
        <f t="shared" ca="1" si="244"/>
        <v>-98.474801752511738</v>
      </c>
      <c r="I552" s="304">
        <f t="shared" ca="1" si="245"/>
        <v>98.744154816152871</v>
      </c>
      <c r="J552" s="306">
        <f t="shared" ca="1" si="246"/>
        <v>678.53524446899166</v>
      </c>
      <c r="K552" s="307">
        <f t="shared" ca="1" si="247"/>
        <v>-4.5647415242634155</v>
      </c>
      <c r="L552" s="304">
        <f t="shared" ca="1" si="232"/>
        <v>678.55059859363291</v>
      </c>
      <c r="M552" s="306">
        <f t="shared" ca="1" si="248"/>
        <v>-1.496917663249258</v>
      </c>
      <c r="N552" s="304">
        <f t="shared" ca="1" si="249"/>
        <v>-85.767064382767899</v>
      </c>
      <c r="P552" s="310">
        <f t="shared" ca="1" si="250"/>
        <v>23</v>
      </c>
      <c r="Q552" s="304">
        <f t="shared" ca="1" si="251"/>
        <v>0</v>
      </c>
      <c r="R552" s="306">
        <f t="shared" ca="1" si="252"/>
        <v>0</v>
      </c>
      <c r="S552" s="307">
        <f t="shared" ca="1" si="253"/>
        <v>4.341000000000002</v>
      </c>
      <c r="T552" s="304">
        <f t="shared" ca="1" si="233"/>
        <v>42.585210000000025</v>
      </c>
      <c r="U552" s="311">
        <f t="shared" ca="1" si="234"/>
        <v>0</v>
      </c>
      <c r="V552" s="306">
        <f t="shared" ca="1" si="235"/>
        <v>1.2255593084916574</v>
      </c>
      <c r="W552" s="304">
        <f t="shared" ca="1" si="236"/>
        <v>38.770334291162243</v>
      </c>
      <c r="Y552" s="314" t="str">
        <f t="shared" ca="1" si="254"/>
        <v/>
      </c>
      <c r="Z552" s="315" t="str">
        <f t="shared" ca="1" si="255"/>
        <v/>
      </c>
      <c r="AA552" s="316" t="str">
        <f t="shared" ca="1" si="256"/>
        <v/>
      </c>
      <c r="AC552" s="310" t="e">
        <f t="shared" ca="1" si="257"/>
        <v>#N/A</v>
      </c>
      <c r="AD552" s="323" t="e">
        <f t="shared" ca="1" si="258"/>
        <v>#N/A</v>
      </c>
      <c r="AE552" s="324" t="e">
        <f t="shared" ca="1" si="237"/>
        <v>#N/A</v>
      </c>
      <c r="AG552" s="306">
        <f t="shared" ca="1" si="259"/>
        <v>0.85206521365413757</v>
      </c>
      <c r="AH552" s="304">
        <f t="shared" ca="1" si="260"/>
        <v>-8.9311746607390816</v>
      </c>
    </row>
    <row r="553" spans="1:34" x14ac:dyDescent="0.2">
      <c r="A553" s="347">
        <f t="shared" ca="1" si="238"/>
        <v>1E-4</v>
      </c>
      <c r="B553" s="304">
        <f t="shared" ca="1" si="239"/>
        <v>28.6173000000001</v>
      </c>
      <c r="D553" s="306">
        <f t="shared" ca="1" si="240"/>
        <v>-0.65922497299690797</v>
      </c>
      <c r="E553" s="307">
        <f t="shared" ca="1" si="241"/>
        <v>-0.90316354275926614</v>
      </c>
      <c r="F553" s="304">
        <f t="shared" ca="1" si="242"/>
        <v>1.1181600735101584</v>
      </c>
      <c r="G553" s="306">
        <f t="shared" ca="1" si="243"/>
        <v>7.2883859131038475</v>
      </c>
      <c r="H553" s="307">
        <f t="shared" ca="1" si="244"/>
        <v>-98.474892068866012</v>
      </c>
      <c r="I553" s="304">
        <f t="shared" ca="1" si="245"/>
        <v>98.744240020333038</v>
      </c>
      <c r="J553" s="306">
        <f t="shared" ca="1" si="246"/>
        <v>678.53524446899166</v>
      </c>
      <c r="K553" s="307">
        <f t="shared" ca="1" si="247"/>
        <v>-4.5745890089544847</v>
      </c>
      <c r="L553" s="304">
        <f t="shared" ca="1" si="232"/>
        <v>678.55066491102571</v>
      </c>
      <c r="M553" s="306">
        <f t="shared" ca="1" si="248"/>
        <v>-1.4969183965483159</v>
      </c>
      <c r="N553" s="304">
        <f t="shared" ca="1" si="249"/>
        <v>-85.767106397709043</v>
      </c>
      <c r="P553" s="310">
        <f t="shared" ca="1" si="250"/>
        <v>23</v>
      </c>
      <c r="Q553" s="304">
        <f t="shared" ca="1" si="251"/>
        <v>0</v>
      </c>
      <c r="R553" s="306">
        <f t="shared" ca="1" si="252"/>
        <v>0</v>
      </c>
      <c r="S553" s="307">
        <f t="shared" ca="1" si="253"/>
        <v>4.341000000000002</v>
      </c>
      <c r="T553" s="304">
        <f t="shared" ca="1" si="233"/>
        <v>42.585210000000025</v>
      </c>
      <c r="U553" s="311">
        <f t="shared" ca="1" si="234"/>
        <v>0</v>
      </c>
      <c r="V553" s="306">
        <f t="shared" ca="1" si="235"/>
        <v>1.2255605153599671</v>
      </c>
      <c r="W553" s="304">
        <f t="shared" ca="1" si="236"/>
        <v>38.770439378458903</v>
      </c>
      <c r="Y553" s="314" t="str">
        <f t="shared" ca="1" si="254"/>
        <v/>
      </c>
      <c r="Z553" s="315" t="str">
        <f t="shared" ca="1" si="255"/>
        <v/>
      </c>
      <c r="AA553" s="316" t="str">
        <f t="shared" ca="1" si="256"/>
        <v/>
      </c>
      <c r="AC553" s="310" t="e">
        <f t="shared" ca="1" si="257"/>
        <v>#N/A</v>
      </c>
      <c r="AD553" s="323" t="e">
        <f t="shared" ca="1" si="258"/>
        <v>#N/A</v>
      </c>
      <c r="AE553" s="324" t="e">
        <f t="shared" ca="1" si="237"/>
        <v>#N/A</v>
      </c>
      <c r="AG553" s="306">
        <f t="shared" ca="1" si="259"/>
        <v>0.85204153618456679</v>
      </c>
      <c r="AH553" s="304">
        <f t="shared" ca="1" si="260"/>
        <v>-8.9311988691919435</v>
      </c>
    </row>
    <row r="554" spans="1:34" x14ac:dyDescent="0.2">
      <c r="A554" s="347">
        <f t="shared" ca="1" si="238"/>
        <v>1E-4</v>
      </c>
      <c r="B554" s="304">
        <f t="shared" ca="1" si="239"/>
        <v>28.617400000000099</v>
      </c>
      <c r="D554" s="306">
        <f t="shared" ca="1" si="240"/>
        <v>-0.65922022843872918</v>
      </c>
      <c r="E554" s="307">
        <f t="shared" ca="1" si="241"/>
        <v>-0.90313891730088258</v>
      </c>
      <c r="F554" s="304">
        <f t="shared" ca="1" si="242"/>
        <v>1.1181373858011461</v>
      </c>
      <c r="G554" s="306">
        <f t="shared" ca="1" si="243"/>
        <v>7.2883199910810035</v>
      </c>
      <c r="H554" s="307">
        <f t="shared" ca="1" si="244"/>
        <v>-98.474982382757744</v>
      </c>
      <c r="I554" s="304">
        <f t="shared" ca="1" si="245"/>
        <v>98.744325222145491</v>
      </c>
      <c r="J554" s="306">
        <f t="shared" ca="1" si="246"/>
        <v>678.53524446899166</v>
      </c>
      <c r="K554" s="307">
        <f t="shared" ca="1" si="247"/>
        <v>-4.5844365026770655</v>
      </c>
      <c r="L554" s="304">
        <f t="shared" ca="1" si="232"/>
        <v>678.55073137138493</v>
      </c>
      <c r="M554" s="306">
        <f t="shared" ca="1" si="248"/>
        <v>-1.4969191298394757</v>
      </c>
      <c r="N554" s="304">
        <f t="shared" ca="1" si="249"/>
        <v>-85.767148412197656</v>
      </c>
      <c r="P554" s="310">
        <f t="shared" ca="1" si="250"/>
        <v>23</v>
      </c>
      <c r="Q554" s="304">
        <f t="shared" ca="1" si="251"/>
        <v>0</v>
      </c>
      <c r="R554" s="306">
        <f t="shared" ca="1" si="252"/>
        <v>0</v>
      </c>
      <c r="S554" s="307">
        <f t="shared" ca="1" si="253"/>
        <v>4.341000000000002</v>
      </c>
      <c r="T554" s="304">
        <f t="shared" ca="1" si="233"/>
        <v>42.585210000000025</v>
      </c>
      <c r="U554" s="311">
        <f t="shared" ca="1" si="234"/>
        <v>0</v>
      </c>
      <c r="V554" s="306">
        <f t="shared" ca="1" si="235"/>
        <v>1.2255617222305732</v>
      </c>
      <c r="W554" s="304">
        <f t="shared" ca="1" si="236"/>
        <v>38.770544464158426</v>
      </c>
      <c r="Y554" s="314" t="str">
        <f t="shared" ca="1" si="254"/>
        <v/>
      </c>
      <c r="Z554" s="315" t="str">
        <f t="shared" ca="1" si="255"/>
        <v/>
      </c>
      <c r="AA554" s="316" t="str">
        <f t="shared" ca="1" si="256"/>
        <v/>
      </c>
      <c r="AC554" s="310" t="e">
        <f t="shared" ca="1" si="257"/>
        <v>#N/A</v>
      </c>
      <c r="AD554" s="323" t="e">
        <f t="shared" ca="1" si="258"/>
        <v>#N/A</v>
      </c>
      <c r="AE554" s="324" t="e">
        <f t="shared" ca="1" si="237"/>
        <v>#N/A</v>
      </c>
      <c r="AG554" s="306">
        <f t="shared" ca="1" si="259"/>
        <v>0.85201785907195315</v>
      </c>
      <c r="AH554" s="304">
        <f t="shared" ca="1" si="260"/>
        <v>-8.9312230772768686</v>
      </c>
    </row>
    <row r="555" spans="1:34" x14ac:dyDescent="0.2">
      <c r="A555" s="347">
        <f t="shared" ca="1" si="238"/>
        <v>1E-4</v>
      </c>
      <c r="B555" s="304">
        <f t="shared" ca="1" si="239"/>
        <v>28.617500000000099</v>
      </c>
      <c r="D555" s="306">
        <f t="shared" ca="1" si="240"/>
        <v>-0.65921548388798079</v>
      </c>
      <c r="E555" s="307">
        <f t="shared" ca="1" si="241"/>
        <v>-0.90311429221679163</v>
      </c>
      <c r="F555" s="304">
        <f t="shared" ca="1" si="242"/>
        <v>1.1181146985009638</v>
      </c>
      <c r="G555" s="306">
        <f t="shared" ca="1" si="243"/>
        <v>7.2882540695326146</v>
      </c>
      <c r="H555" s="307">
        <f t="shared" ca="1" si="244"/>
        <v>-98.475072694186963</v>
      </c>
      <c r="I555" s="304">
        <f t="shared" ca="1" si="245"/>
        <v>98.744410421590274</v>
      </c>
      <c r="J555" s="306">
        <f t="shared" ca="1" si="246"/>
        <v>678.53524446899166</v>
      </c>
      <c r="K555" s="307">
        <f t="shared" ca="1" si="247"/>
        <v>-4.5942840054309126</v>
      </c>
      <c r="L555" s="304">
        <f t="shared" ca="1" si="232"/>
        <v>678.5507979747108</v>
      </c>
      <c r="M555" s="306">
        <f t="shared" ca="1" si="248"/>
        <v>-1.4969198631227376</v>
      </c>
      <c r="N555" s="304">
        <f t="shared" ca="1" si="249"/>
        <v>-85.767190426233739</v>
      </c>
      <c r="P555" s="310">
        <f t="shared" ca="1" si="250"/>
        <v>23</v>
      </c>
      <c r="Q555" s="304">
        <f t="shared" ca="1" si="251"/>
        <v>0</v>
      </c>
      <c r="R555" s="306">
        <f t="shared" ca="1" si="252"/>
        <v>0</v>
      </c>
      <c r="S555" s="307">
        <f t="shared" ca="1" si="253"/>
        <v>4.341000000000002</v>
      </c>
      <c r="T555" s="304">
        <f t="shared" ca="1" si="233"/>
        <v>42.585210000000025</v>
      </c>
      <c r="U555" s="311">
        <f t="shared" ca="1" si="234"/>
        <v>0</v>
      </c>
      <c r="V555" s="306">
        <f t="shared" ca="1" si="235"/>
        <v>1.225562929103474</v>
      </c>
      <c r="W555" s="304">
        <f t="shared" ca="1" si="236"/>
        <v>38.770649548260764</v>
      </c>
      <c r="Y555" s="314" t="str">
        <f t="shared" ca="1" si="254"/>
        <v/>
      </c>
      <c r="Z555" s="315" t="str">
        <f t="shared" ca="1" si="255"/>
        <v/>
      </c>
      <c r="AA555" s="316" t="str">
        <f t="shared" ca="1" si="256"/>
        <v/>
      </c>
      <c r="AC555" s="310" t="e">
        <f t="shared" ca="1" si="257"/>
        <v>#N/A</v>
      </c>
      <c r="AD555" s="323" t="e">
        <f t="shared" ca="1" si="258"/>
        <v>#N/A</v>
      </c>
      <c r="AE555" s="324" t="e">
        <f t="shared" ca="1" si="237"/>
        <v>#N/A</v>
      </c>
      <c r="AG555" s="306">
        <f t="shared" ca="1" si="259"/>
        <v>0.85199418231627888</v>
      </c>
      <c r="AH555" s="304">
        <f t="shared" ca="1" si="260"/>
        <v>-8.9312472849938747</v>
      </c>
    </row>
    <row r="556" spans="1:34" x14ac:dyDescent="0.2">
      <c r="A556" s="347">
        <f t="shared" ca="1" si="238"/>
        <v>1E-4</v>
      </c>
      <c r="B556" s="304">
        <f t="shared" ca="1" si="239"/>
        <v>28.617600000000099</v>
      </c>
      <c r="D556" s="306">
        <f t="shared" ca="1" si="240"/>
        <v>-0.65921073934466135</v>
      </c>
      <c r="E556" s="307">
        <f t="shared" ca="1" si="241"/>
        <v>-0.90308966750700215</v>
      </c>
      <c r="F556" s="304">
        <f t="shared" ca="1" si="242"/>
        <v>1.1180920116096182</v>
      </c>
      <c r="G556" s="306">
        <f t="shared" ca="1" si="243"/>
        <v>7.2881881484586799</v>
      </c>
      <c r="H556" s="307">
        <f t="shared" ca="1" si="244"/>
        <v>-98.47516300315371</v>
      </c>
      <c r="I556" s="304">
        <f t="shared" ca="1" si="245"/>
        <v>98.744495618667415</v>
      </c>
      <c r="J556" s="306">
        <f t="shared" ca="1" si="246"/>
        <v>678.53524446899166</v>
      </c>
      <c r="K556" s="307">
        <f t="shared" ca="1" si="247"/>
        <v>-4.6041315172157793</v>
      </c>
      <c r="L556" s="304">
        <f t="shared" ca="1" si="232"/>
        <v>678.5508647210039</v>
      </c>
      <c r="M556" s="306">
        <f t="shared" ca="1" si="248"/>
        <v>-1.4969205963981018</v>
      </c>
      <c r="N556" s="304">
        <f t="shared" ca="1" si="249"/>
        <v>-85.767232439817334</v>
      </c>
      <c r="P556" s="310">
        <f t="shared" ca="1" si="250"/>
        <v>23</v>
      </c>
      <c r="Q556" s="304">
        <f t="shared" ca="1" si="251"/>
        <v>0</v>
      </c>
      <c r="R556" s="306">
        <f t="shared" ca="1" si="252"/>
        <v>0</v>
      </c>
      <c r="S556" s="307">
        <f t="shared" ca="1" si="253"/>
        <v>4.341000000000002</v>
      </c>
      <c r="T556" s="304">
        <f t="shared" ca="1" si="233"/>
        <v>42.585210000000025</v>
      </c>
      <c r="U556" s="311">
        <f t="shared" ca="1" si="234"/>
        <v>0</v>
      </c>
      <c r="V556" s="306">
        <f t="shared" ca="1" si="235"/>
        <v>1.2255641359786711</v>
      </c>
      <c r="W556" s="304">
        <f t="shared" ca="1" si="236"/>
        <v>38.770754630766007</v>
      </c>
      <c r="Y556" s="314" t="str">
        <f t="shared" ca="1" si="254"/>
        <v/>
      </c>
      <c r="Z556" s="315" t="str">
        <f t="shared" ca="1" si="255"/>
        <v/>
      </c>
      <c r="AA556" s="316" t="str">
        <f t="shared" ca="1" si="256"/>
        <v/>
      </c>
      <c r="AC556" s="310" t="e">
        <f t="shared" ca="1" si="257"/>
        <v>#N/A</v>
      </c>
      <c r="AD556" s="323" t="e">
        <f t="shared" ca="1" si="258"/>
        <v>#N/A</v>
      </c>
      <c r="AE556" s="324" t="e">
        <f t="shared" ca="1" si="237"/>
        <v>#N/A</v>
      </c>
      <c r="AG556" s="306">
        <f t="shared" ca="1" si="259"/>
        <v>0.85197050591755641</v>
      </c>
      <c r="AH556" s="304">
        <f t="shared" ca="1" si="260"/>
        <v>-8.9312714923429493</v>
      </c>
    </row>
    <row r="557" spans="1:34" x14ac:dyDescent="0.2">
      <c r="A557" s="347">
        <f t="shared" ca="1" si="238"/>
        <v>1E-4</v>
      </c>
      <c r="B557" s="304">
        <f t="shared" ca="1" si="239"/>
        <v>28.617700000000099</v>
      </c>
      <c r="D557" s="306">
        <f t="shared" ca="1" si="240"/>
        <v>-0.65920599480877184</v>
      </c>
      <c r="E557" s="307">
        <f t="shared" ca="1" si="241"/>
        <v>-0.90306504317149461</v>
      </c>
      <c r="F557" s="304">
        <f t="shared" ca="1" si="242"/>
        <v>1.1180693251270943</v>
      </c>
      <c r="G557" s="306">
        <f t="shared" ca="1" si="243"/>
        <v>7.2881222278591986</v>
      </c>
      <c r="H557" s="307">
        <f t="shared" ca="1" si="244"/>
        <v>-98.475253309658029</v>
      </c>
      <c r="I557" s="304">
        <f t="shared" ca="1" si="245"/>
        <v>98.744580813376942</v>
      </c>
      <c r="J557" s="306">
        <f t="shared" ca="1" si="246"/>
        <v>678.53524446899166</v>
      </c>
      <c r="K557" s="307">
        <f t="shared" ca="1" si="247"/>
        <v>-4.6139790380314203</v>
      </c>
      <c r="L557" s="304">
        <f t="shared" ca="1" si="232"/>
        <v>678.55093161026434</v>
      </c>
      <c r="M557" s="306">
        <f t="shared" ca="1" si="248"/>
        <v>-1.4969213296655683</v>
      </c>
      <c r="N557" s="304">
        <f t="shared" ca="1" si="249"/>
        <v>-85.767274452948428</v>
      </c>
      <c r="P557" s="310">
        <f t="shared" ca="1" si="250"/>
        <v>23</v>
      </c>
      <c r="Q557" s="304">
        <f t="shared" ca="1" si="251"/>
        <v>0</v>
      </c>
      <c r="R557" s="306">
        <f t="shared" ca="1" si="252"/>
        <v>0</v>
      </c>
      <c r="S557" s="307">
        <f t="shared" ca="1" si="253"/>
        <v>4.341000000000002</v>
      </c>
      <c r="T557" s="304">
        <f t="shared" ca="1" si="233"/>
        <v>42.585210000000025</v>
      </c>
      <c r="U557" s="311">
        <f t="shared" ca="1" si="234"/>
        <v>0</v>
      </c>
      <c r="V557" s="306">
        <f t="shared" ca="1" si="235"/>
        <v>1.2255653428561637</v>
      </c>
      <c r="W557" s="304">
        <f t="shared" ca="1" si="236"/>
        <v>38.770859711674134</v>
      </c>
      <c r="Y557" s="314" t="str">
        <f t="shared" ca="1" si="254"/>
        <v/>
      </c>
      <c r="Z557" s="315" t="str">
        <f t="shared" ca="1" si="255"/>
        <v/>
      </c>
      <c r="AA557" s="316" t="str">
        <f t="shared" ca="1" si="256"/>
        <v/>
      </c>
      <c r="AC557" s="310" t="e">
        <f t="shared" ca="1" si="257"/>
        <v>#N/A</v>
      </c>
      <c r="AD557" s="323" t="e">
        <f t="shared" ca="1" si="258"/>
        <v>#N/A</v>
      </c>
      <c r="AE557" s="324" t="e">
        <f t="shared" ca="1" si="237"/>
        <v>#N/A</v>
      </c>
      <c r="AG557" s="306">
        <f t="shared" ca="1" si="259"/>
        <v>0.85194682987576265</v>
      </c>
      <c r="AH557" s="304">
        <f t="shared" ca="1" si="260"/>
        <v>-8.9312956993241155</v>
      </c>
    </row>
    <row r="558" spans="1:34" x14ac:dyDescent="0.2">
      <c r="A558" s="347">
        <f t="shared" ca="1" si="238"/>
        <v>1E-4</v>
      </c>
      <c r="B558" s="304">
        <f t="shared" ca="1" si="239"/>
        <v>28.617800000000098</v>
      </c>
      <c r="D558" s="306">
        <f t="shared" ca="1" si="240"/>
        <v>-0.65920125028031362</v>
      </c>
      <c r="E558" s="307">
        <f t="shared" ca="1" si="241"/>
        <v>-0.90304041921027078</v>
      </c>
      <c r="F558" s="304">
        <f t="shared" ca="1" si="242"/>
        <v>1.1180466390533941</v>
      </c>
      <c r="G558" s="306">
        <f t="shared" ca="1" si="243"/>
        <v>7.2880563077341707</v>
      </c>
      <c r="H558" s="307">
        <f t="shared" ca="1" si="244"/>
        <v>-98.475343613699948</v>
      </c>
      <c r="I558" s="304">
        <f t="shared" ca="1" si="245"/>
        <v>98.744666005718898</v>
      </c>
      <c r="J558" s="306">
        <f t="shared" ca="1" si="246"/>
        <v>678.53524446899166</v>
      </c>
      <c r="K558" s="307">
        <f t="shared" ca="1" si="247"/>
        <v>-4.6238265678775878</v>
      </c>
      <c r="L558" s="304">
        <f t="shared" ca="1" si="232"/>
        <v>678.55099864249269</v>
      </c>
      <c r="M558" s="306">
        <f t="shared" ca="1" si="248"/>
        <v>-1.4969220629251374</v>
      </c>
      <c r="N558" s="304">
        <f t="shared" ca="1" si="249"/>
        <v>-85.767316465627019</v>
      </c>
      <c r="P558" s="310">
        <f t="shared" ca="1" si="250"/>
        <v>23</v>
      </c>
      <c r="Q558" s="304">
        <f t="shared" ca="1" si="251"/>
        <v>0</v>
      </c>
      <c r="R558" s="306">
        <f t="shared" ca="1" si="252"/>
        <v>0</v>
      </c>
      <c r="S558" s="307">
        <f t="shared" ca="1" si="253"/>
        <v>4.341000000000002</v>
      </c>
      <c r="T558" s="304">
        <f t="shared" ca="1" si="233"/>
        <v>42.585210000000025</v>
      </c>
      <c r="U558" s="311">
        <f t="shared" ca="1" si="234"/>
        <v>0</v>
      </c>
      <c r="V558" s="306">
        <f t="shared" ca="1" si="235"/>
        <v>1.2255665497359511</v>
      </c>
      <c r="W558" s="304">
        <f t="shared" ca="1" si="236"/>
        <v>38.770964790985133</v>
      </c>
      <c r="Y558" s="314" t="str">
        <f t="shared" ca="1" si="254"/>
        <v/>
      </c>
      <c r="Z558" s="315" t="str">
        <f t="shared" ca="1" si="255"/>
        <v/>
      </c>
      <c r="AA558" s="316" t="str">
        <f t="shared" ca="1" si="256"/>
        <v/>
      </c>
      <c r="AC558" s="310" t="e">
        <f t="shared" ca="1" si="257"/>
        <v>#N/A</v>
      </c>
      <c r="AD558" s="323" t="e">
        <f t="shared" ca="1" si="258"/>
        <v>#N/A</v>
      </c>
      <c r="AE558" s="324" t="e">
        <f t="shared" ca="1" si="237"/>
        <v>#N/A</v>
      </c>
      <c r="AG558" s="306">
        <f t="shared" ca="1" si="259"/>
        <v>0.85192315419090292</v>
      </c>
      <c r="AH558" s="304">
        <f t="shared" ca="1" si="260"/>
        <v>-8.931319905937368</v>
      </c>
    </row>
    <row r="559" spans="1:34" x14ac:dyDescent="0.2">
      <c r="A559" s="347">
        <f t="shared" ca="1" si="238"/>
        <v>1E-4</v>
      </c>
      <c r="B559" s="304">
        <f t="shared" ca="1" si="239"/>
        <v>28.617900000000098</v>
      </c>
      <c r="D559" s="306">
        <f t="shared" ca="1" si="240"/>
        <v>-0.65919650575928546</v>
      </c>
      <c r="E559" s="307">
        <f t="shared" ca="1" si="241"/>
        <v>-0.90301579562333778</v>
      </c>
      <c r="F559" s="304">
        <f t="shared" ca="1" si="242"/>
        <v>1.1180239533885226</v>
      </c>
      <c r="G559" s="306">
        <f t="shared" ca="1" si="243"/>
        <v>7.2879903880835943</v>
      </c>
      <c r="H559" s="307">
        <f t="shared" ca="1" si="244"/>
        <v>-98.47543391527951</v>
      </c>
      <c r="I559" s="304">
        <f t="shared" ca="1" si="245"/>
        <v>98.744751195693325</v>
      </c>
      <c r="J559" s="306">
        <f t="shared" ca="1" si="246"/>
        <v>678.53524446899166</v>
      </c>
      <c r="K559" s="307">
        <f t="shared" ca="1" si="247"/>
        <v>-4.6336741067540368</v>
      </c>
      <c r="L559" s="304">
        <f t="shared" ca="1" si="232"/>
        <v>678.55106581768916</v>
      </c>
      <c r="M559" s="306">
        <f t="shared" ca="1" si="248"/>
        <v>-1.496922796176809</v>
      </c>
      <c r="N559" s="304">
        <f t="shared" ca="1" si="249"/>
        <v>-85.767358477853122</v>
      </c>
      <c r="P559" s="310">
        <f t="shared" ca="1" si="250"/>
        <v>23</v>
      </c>
      <c r="Q559" s="304">
        <f t="shared" ca="1" si="251"/>
        <v>0</v>
      </c>
      <c r="R559" s="306">
        <f t="shared" ca="1" si="252"/>
        <v>0</v>
      </c>
      <c r="S559" s="307">
        <f t="shared" ca="1" si="253"/>
        <v>4.341000000000002</v>
      </c>
      <c r="T559" s="304">
        <f t="shared" ca="1" si="233"/>
        <v>42.585210000000025</v>
      </c>
      <c r="U559" s="311">
        <f t="shared" ca="1" si="234"/>
        <v>0</v>
      </c>
      <c r="V559" s="306">
        <f t="shared" ca="1" si="235"/>
        <v>1.2255677566180345</v>
      </c>
      <c r="W559" s="304">
        <f t="shared" ca="1" si="236"/>
        <v>38.771069868699072</v>
      </c>
      <c r="Y559" s="314" t="str">
        <f t="shared" ca="1" si="254"/>
        <v/>
      </c>
      <c r="Z559" s="315" t="str">
        <f t="shared" ca="1" si="255"/>
        <v/>
      </c>
      <c r="AA559" s="316" t="str">
        <f t="shared" ca="1" si="256"/>
        <v/>
      </c>
      <c r="AC559" s="310" t="e">
        <f t="shared" ca="1" si="257"/>
        <v>#N/A</v>
      </c>
      <c r="AD559" s="323" t="e">
        <f t="shared" ca="1" si="258"/>
        <v>#N/A</v>
      </c>
      <c r="AE559" s="324" t="e">
        <f t="shared" ca="1" si="237"/>
        <v>#N/A</v>
      </c>
      <c r="AG559" s="306">
        <f t="shared" ca="1" si="259"/>
        <v>0.85189947886298611</v>
      </c>
      <c r="AH559" s="304">
        <f t="shared" ca="1" si="260"/>
        <v>-8.9313441121827033</v>
      </c>
    </row>
    <row r="560" spans="1:34" x14ac:dyDescent="0.2">
      <c r="A560" s="347">
        <f t="shared" ca="1" si="238"/>
        <v>1E-4</v>
      </c>
      <c r="B560" s="304">
        <f t="shared" ca="1" si="239"/>
        <v>28.618000000000098</v>
      </c>
      <c r="D560" s="306">
        <f t="shared" ca="1" si="240"/>
        <v>-0.65919176124569001</v>
      </c>
      <c r="E560" s="307">
        <f t="shared" ca="1" si="241"/>
        <v>-0.90299117241067428</v>
      </c>
      <c r="F560" s="304">
        <f t="shared" ca="1" si="242"/>
        <v>1.1180012681324645</v>
      </c>
      <c r="G560" s="306">
        <f t="shared" ca="1" si="243"/>
        <v>7.2879244689074696</v>
      </c>
      <c r="H560" s="307">
        <f t="shared" ca="1" si="244"/>
        <v>-98.475524214396756</v>
      </c>
      <c r="I560" s="304">
        <f t="shared" ca="1" si="245"/>
        <v>98.744836383300282</v>
      </c>
      <c r="J560" s="306">
        <f t="shared" ca="1" si="246"/>
        <v>678.53524446899166</v>
      </c>
      <c r="K560" s="307">
        <f t="shared" ca="1" si="247"/>
        <v>-4.6435216546605202</v>
      </c>
      <c r="L560" s="304">
        <f t="shared" ca="1" si="232"/>
        <v>678.55113313585412</v>
      </c>
      <c r="M560" s="306">
        <f t="shared" ca="1" si="248"/>
        <v>-1.4969235294205832</v>
      </c>
      <c r="N560" s="304">
        <f t="shared" ca="1" si="249"/>
        <v>-85.767400489626738</v>
      </c>
      <c r="P560" s="310">
        <f t="shared" ca="1" si="250"/>
        <v>23</v>
      </c>
      <c r="Q560" s="304">
        <f t="shared" ca="1" si="251"/>
        <v>0</v>
      </c>
      <c r="R560" s="306">
        <f t="shared" ca="1" si="252"/>
        <v>0</v>
      </c>
      <c r="S560" s="307">
        <f t="shared" ca="1" si="253"/>
        <v>4.341000000000002</v>
      </c>
      <c r="T560" s="304">
        <f t="shared" ca="1" si="233"/>
        <v>42.585210000000025</v>
      </c>
      <c r="U560" s="311">
        <f t="shared" ca="1" si="234"/>
        <v>0</v>
      </c>
      <c r="V560" s="306">
        <f t="shared" ca="1" si="235"/>
        <v>1.2255689635024132</v>
      </c>
      <c r="W560" s="304">
        <f t="shared" ca="1" si="236"/>
        <v>38.771174944815961</v>
      </c>
      <c r="Y560" s="314" t="str">
        <f t="shared" ca="1" si="254"/>
        <v/>
      </c>
      <c r="Z560" s="315" t="str">
        <f t="shared" ca="1" si="255"/>
        <v/>
      </c>
      <c r="AA560" s="316" t="str">
        <f t="shared" ca="1" si="256"/>
        <v/>
      </c>
      <c r="AC560" s="310" t="e">
        <f t="shared" ca="1" si="257"/>
        <v>#N/A</v>
      </c>
      <c r="AD560" s="323" t="e">
        <f t="shared" ca="1" si="258"/>
        <v>#N/A</v>
      </c>
      <c r="AE560" s="324" t="e">
        <f t="shared" ca="1" si="237"/>
        <v>#N/A</v>
      </c>
      <c r="AG560" s="306">
        <f t="shared" ca="1" si="259"/>
        <v>0.85187580389198914</v>
      </c>
      <c r="AH560" s="304">
        <f t="shared" ca="1" si="260"/>
        <v>-8.9313683180601373</v>
      </c>
    </row>
    <row r="561" spans="1:34" x14ac:dyDescent="0.2">
      <c r="A561" s="347">
        <f t="shared" ca="1" si="238"/>
        <v>1E-4</v>
      </c>
      <c r="B561" s="304">
        <f t="shared" ca="1" si="239"/>
        <v>28.618100000000098</v>
      </c>
      <c r="D561" s="306">
        <f t="shared" ca="1" si="240"/>
        <v>-0.65918701673952884</v>
      </c>
      <c r="E561" s="307">
        <f t="shared" ca="1" si="241"/>
        <v>-0.90296654957228384</v>
      </c>
      <c r="F561" s="304">
        <f t="shared" ca="1" si="242"/>
        <v>1.1179785832852236</v>
      </c>
      <c r="G561" s="306">
        <f t="shared" ca="1" si="243"/>
        <v>7.2878585502057955</v>
      </c>
      <c r="H561" s="307">
        <f t="shared" ca="1" si="244"/>
        <v>-98.475614511051717</v>
      </c>
      <c r="I561" s="304">
        <f t="shared" ca="1" si="245"/>
        <v>98.744921568539752</v>
      </c>
      <c r="J561" s="306">
        <f t="shared" ca="1" si="246"/>
        <v>678.53524446899166</v>
      </c>
      <c r="K561" s="307">
        <f t="shared" ca="1" si="247"/>
        <v>-4.6533692115967931</v>
      </c>
      <c r="L561" s="304">
        <f t="shared" ca="1" si="232"/>
        <v>678.55120059698788</v>
      </c>
      <c r="M561" s="306">
        <f t="shared" ca="1" si="248"/>
        <v>-1.4969242626564601</v>
      </c>
      <c r="N561" s="304">
        <f t="shared" ca="1" si="249"/>
        <v>-85.767442500947865</v>
      </c>
      <c r="P561" s="310">
        <f t="shared" ca="1" si="250"/>
        <v>23</v>
      </c>
      <c r="Q561" s="304">
        <f t="shared" ca="1" si="251"/>
        <v>0</v>
      </c>
      <c r="R561" s="306">
        <f t="shared" ca="1" si="252"/>
        <v>0</v>
      </c>
      <c r="S561" s="307">
        <f t="shared" ca="1" si="253"/>
        <v>4.341000000000002</v>
      </c>
      <c r="T561" s="304">
        <f t="shared" ca="1" si="233"/>
        <v>42.585210000000025</v>
      </c>
      <c r="U561" s="311">
        <f t="shared" ca="1" si="234"/>
        <v>0</v>
      </c>
      <c r="V561" s="306">
        <f t="shared" ca="1" si="235"/>
        <v>1.2255701703890873</v>
      </c>
      <c r="W561" s="304">
        <f t="shared" ca="1" si="236"/>
        <v>38.771280019335805</v>
      </c>
      <c r="Y561" s="314" t="str">
        <f t="shared" ca="1" si="254"/>
        <v/>
      </c>
      <c r="Z561" s="315" t="str">
        <f t="shared" ca="1" si="255"/>
        <v/>
      </c>
      <c r="AA561" s="316" t="str">
        <f t="shared" ca="1" si="256"/>
        <v/>
      </c>
      <c r="AC561" s="310" t="e">
        <f t="shared" ca="1" si="257"/>
        <v>#N/A</v>
      </c>
      <c r="AD561" s="323" t="e">
        <f t="shared" ca="1" si="258"/>
        <v>#N/A</v>
      </c>
      <c r="AE561" s="324" t="e">
        <f t="shared" ca="1" si="237"/>
        <v>#N/A</v>
      </c>
      <c r="AG561" s="306">
        <f t="shared" ca="1" si="259"/>
        <v>0.85185212927791554</v>
      </c>
      <c r="AH561" s="304">
        <f t="shared" ca="1" si="260"/>
        <v>-8.9313925235696718</v>
      </c>
    </row>
    <row r="562" spans="1:34" x14ac:dyDescent="0.2">
      <c r="A562" s="347">
        <f t="shared" ca="1" si="238"/>
        <v>1E-4</v>
      </c>
      <c r="B562" s="304">
        <f t="shared" ca="1" si="239"/>
        <v>28.618200000000098</v>
      </c>
      <c r="D562" s="306">
        <f t="shared" ca="1" si="240"/>
        <v>-0.65918227224080161</v>
      </c>
      <c r="E562" s="307">
        <f t="shared" ca="1" si="241"/>
        <v>-0.9029419271081629</v>
      </c>
      <c r="F562" s="304">
        <f t="shared" ca="1" si="242"/>
        <v>1.1179558988467968</v>
      </c>
      <c r="G562" s="306">
        <f t="shared" ca="1" si="243"/>
        <v>7.2877926319785713</v>
      </c>
      <c r="H562" s="307">
        <f t="shared" ca="1" si="244"/>
        <v>-98.475704805244433</v>
      </c>
      <c r="I562" s="304">
        <f t="shared" ca="1" si="245"/>
        <v>98.745006751411807</v>
      </c>
      <c r="J562" s="306">
        <f t="shared" ca="1" si="246"/>
        <v>678.53524446899166</v>
      </c>
      <c r="K562" s="307">
        <f t="shared" ca="1" si="247"/>
        <v>-4.6632167775626074</v>
      </c>
      <c r="L562" s="304">
        <f t="shared" ca="1" si="232"/>
        <v>678.55126820109092</v>
      </c>
      <c r="M562" s="306">
        <f t="shared" ca="1" si="248"/>
        <v>-1.4969249958844399</v>
      </c>
      <c r="N562" s="304">
        <f t="shared" ca="1" si="249"/>
        <v>-85.767484511816534</v>
      </c>
      <c r="P562" s="310">
        <f t="shared" ca="1" si="250"/>
        <v>23</v>
      </c>
      <c r="Q562" s="304">
        <f t="shared" ca="1" si="251"/>
        <v>0</v>
      </c>
      <c r="R562" s="306">
        <f t="shared" ca="1" si="252"/>
        <v>0</v>
      </c>
      <c r="S562" s="307">
        <f t="shared" ca="1" si="253"/>
        <v>4.341000000000002</v>
      </c>
      <c r="T562" s="304">
        <f t="shared" ca="1" si="233"/>
        <v>42.585210000000025</v>
      </c>
      <c r="U562" s="311">
        <f t="shared" ca="1" si="234"/>
        <v>0</v>
      </c>
      <c r="V562" s="306">
        <f t="shared" ca="1" si="235"/>
        <v>1.2255713772780572</v>
      </c>
      <c r="W562" s="304">
        <f t="shared" ca="1" si="236"/>
        <v>38.771385092258633</v>
      </c>
      <c r="Y562" s="314" t="str">
        <f t="shared" ca="1" si="254"/>
        <v/>
      </c>
      <c r="Z562" s="315" t="str">
        <f t="shared" ca="1" si="255"/>
        <v/>
      </c>
      <c r="AA562" s="316" t="str">
        <f t="shared" ca="1" si="256"/>
        <v/>
      </c>
      <c r="AC562" s="310" t="e">
        <f t="shared" ca="1" si="257"/>
        <v>#N/A</v>
      </c>
      <c r="AD562" s="323" t="e">
        <f t="shared" ca="1" si="258"/>
        <v>#N/A</v>
      </c>
      <c r="AE562" s="324" t="e">
        <f t="shared" ca="1" si="237"/>
        <v>#N/A</v>
      </c>
      <c r="AG562" s="306">
        <f t="shared" ca="1" si="259"/>
        <v>0.85182845502076177</v>
      </c>
      <c r="AH562" s="304">
        <f t="shared" ca="1" si="260"/>
        <v>-8.9314167287113087</v>
      </c>
    </row>
    <row r="563" spans="1:34" x14ac:dyDescent="0.2">
      <c r="A563" s="347">
        <f t="shared" ca="1" si="238"/>
        <v>1E-4</v>
      </c>
      <c r="B563" s="304">
        <f t="shared" ca="1" si="239"/>
        <v>28.618300000000097</v>
      </c>
      <c r="D563" s="306">
        <f t="shared" ca="1" si="240"/>
        <v>-0.659177527749508</v>
      </c>
      <c r="E563" s="307">
        <f t="shared" ca="1" si="241"/>
        <v>-0.90291730501830436</v>
      </c>
      <c r="F563" s="304">
        <f t="shared" ca="1" si="242"/>
        <v>1.1179332148171781</v>
      </c>
      <c r="G563" s="306">
        <f t="shared" ca="1" si="243"/>
        <v>7.287726714225796</v>
      </c>
      <c r="H563" s="307">
        <f t="shared" ca="1" si="244"/>
        <v>-98.475795096974934</v>
      </c>
      <c r="I563" s="304">
        <f t="shared" ca="1" si="245"/>
        <v>98.745091931916463</v>
      </c>
      <c r="J563" s="306">
        <f t="shared" ca="1" si="246"/>
        <v>678.53524446899166</v>
      </c>
      <c r="K563" s="307">
        <f t="shared" ca="1" si="247"/>
        <v>-4.6730643525577182</v>
      </c>
      <c r="L563" s="304">
        <f t="shared" ca="1" si="232"/>
        <v>678.55133594816346</v>
      </c>
      <c r="M563" s="306">
        <f t="shared" ca="1" si="248"/>
        <v>-1.4969257291045226</v>
      </c>
      <c r="N563" s="304">
        <f t="shared" ca="1" si="249"/>
        <v>-85.767526522232728</v>
      </c>
      <c r="P563" s="310">
        <f t="shared" ca="1" si="250"/>
        <v>23</v>
      </c>
      <c r="Q563" s="304">
        <f t="shared" ca="1" si="251"/>
        <v>0</v>
      </c>
      <c r="R563" s="306">
        <f t="shared" ca="1" si="252"/>
        <v>0</v>
      </c>
      <c r="S563" s="307">
        <f t="shared" ca="1" si="253"/>
        <v>4.341000000000002</v>
      </c>
      <c r="T563" s="304">
        <f t="shared" ca="1" si="233"/>
        <v>42.585210000000025</v>
      </c>
      <c r="U563" s="311">
        <f t="shared" ca="1" si="234"/>
        <v>0</v>
      </c>
      <c r="V563" s="306">
        <f t="shared" ca="1" si="235"/>
        <v>1.2255725841693221</v>
      </c>
      <c r="W563" s="304">
        <f t="shared" ca="1" si="236"/>
        <v>38.771490163584438</v>
      </c>
      <c r="Y563" s="314" t="str">
        <f t="shared" ca="1" si="254"/>
        <v/>
      </c>
      <c r="Z563" s="315" t="str">
        <f t="shared" ca="1" si="255"/>
        <v/>
      </c>
      <c r="AA563" s="316" t="str">
        <f t="shared" ca="1" si="256"/>
        <v/>
      </c>
      <c r="AC563" s="310" t="e">
        <f t="shared" ca="1" si="257"/>
        <v>#N/A</v>
      </c>
      <c r="AD563" s="323" t="e">
        <f t="shared" ca="1" si="258"/>
        <v>#N/A</v>
      </c>
      <c r="AE563" s="324" t="e">
        <f t="shared" ca="1" si="237"/>
        <v>#N/A</v>
      </c>
      <c r="AG563" s="306">
        <f t="shared" ca="1" si="259"/>
        <v>0.85180478112052072</v>
      </c>
      <c r="AH563" s="304">
        <f t="shared" ca="1" si="260"/>
        <v>-8.9314409334850531</v>
      </c>
    </row>
    <row r="564" spans="1:34" x14ac:dyDescent="0.2">
      <c r="A564" s="347">
        <f t="shared" ca="1" si="238"/>
        <v>1E-4</v>
      </c>
      <c r="B564" s="304">
        <f t="shared" ca="1" si="239"/>
        <v>28.618400000000097</v>
      </c>
      <c r="D564" s="306">
        <f t="shared" ca="1" si="240"/>
        <v>-0.65917278326565132</v>
      </c>
      <c r="E564" s="307">
        <f t="shared" ca="1" si="241"/>
        <v>-0.90289268330270822</v>
      </c>
      <c r="F564" s="304">
        <f t="shared" ca="1" si="242"/>
        <v>1.11791053119637</v>
      </c>
      <c r="G564" s="306">
        <f t="shared" ca="1" si="243"/>
        <v>7.2876607969474696</v>
      </c>
      <c r="H564" s="307">
        <f t="shared" ca="1" si="244"/>
        <v>-98.475885386243263</v>
      </c>
      <c r="I564" s="304">
        <f t="shared" ca="1" si="245"/>
        <v>98.74517711005376</v>
      </c>
      <c r="J564" s="306">
        <f t="shared" ca="1" si="246"/>
        <v>678.53524446899166</v>
      </c>
      <c r="K564" s="307">
        <f t="shared" ca="1" si="247"/>
        <v>-4.6829119365818794</v>
      </c>
      <c r="L564" s="304">
        <f t="shared" ca="1" si="232"/>
        <v>678.55140383820594</v>
      </c>
      <c r="M564" s="306">
        <f t="shared" ca="1" si="248"/>
        <v>-1.4969264623167085</v>
      </c>
      <c r="N564" s="304">
        <f t="shared" ca="1" si="249"/>
        <v>-85.767568532196464</v>
      </c>
      <c r="P564" s="310">
        <f t="shared" ca="1" si="250"/>
        <v>23</v>
      </c>
      <c r="Q564" s="304">
        <f t="shared" ca="1" si="251"/>
        <v>0</v>
      </c>
      <c r="R564" s="306">
        <f t="shared" ca="1" si="252"/>
        <v>0</v>
      </c>
      <c r="S564" s="307">
        <f t="shared" ca="1" si="253"/>
        <v>4.341000000000002</v>
      </c>
      <c r="T564" s="304">
        <f t="shared" ca="1" si="233"/>
        <v>42.585210000000025</v>
      </c>
      <c r="U564" s="311">
        <f t="shared" ca="1" si="234"/>
        <v>0</v>
      </c>
      <c r="V564" s="306">
        <f t="shared" ca="1" si="235"/>
        <v>1.2255737910628823</v>
      </c>
      <c r="W564" s="304">
        <f t="shared" ca="1" si="236"/>
        <v>38.771595233313235</v>
      </c>
      <c r="Y564" s="314" t="str">
        <f t="shared" ca="1" si="254"/>
        <v/>
      </c>
      <c r="Z564" s="315" t="str">
        <f t="shared" ca="1" si="255"/>
        <v/>
      </c>
      <c r="AA564" s="316" t="str">
        <f t="shared" ca="1" si="256"/>
        <v/>
      </c>
      <c r="AC564" s="310" t="e">
        <f t="shared" ca="1" si="257"/>
        <v>#N/A</v>
      </c>
      <c r="AD564" s="323" t="e">
        <f t="shared" ca="1" si="258"/>
        <v>#N/A</v>
      </c>
      <c r="AE564" s="324" t="e">
        <f t="shared" ca="1" si="237"/>
        <v>#N/A</v>
      </c>
      <c r="AG564" s="306">
        <f t="shared" ca="1" si="259"/>
        <v>0.85178110757719594</v>
      </c>
      <c r="AH564" s="304">
        <f t="shared" ca="1" si="260"/>
        <v>-8.9314651378909051</v>
      </c>
    </row>
    <row r="565" spans="1:34" x14ac:dyDescent="0.2">
      <c r="A565" s="347">
        <f t="shared" ca="1" si="238"/>
        <v>1E-4</v>
      </c>
      <c r="B565" s="304">
        <f t="shared" ca="1" si="239"/>
        <v>28.618500000000097</v>
      </c>
      <c r="D565" s="306">
        <f t="shared" ca="1" si="240"/>
        <v>-0.65916803878922947</v>
      </c>
      <c r="E565" s="307">
        <f t="shared" ca="1" si="241"/>
        <v>-0.90286806196137448</v>
      </c>
      <c r="F565" s="304">
        <f t="shared" ca="1" si="242"/>
        <v>1.1178878479843708</v>
      </c>
      <c r="G565" s="306">
        <f t="shared" ca="1" si="243"/>
        <v>7.2875948801435904</v>
      </c>
      <c r="H565" s="307">
        <f t="shared" ca="1" si="244"/>
        <v>-98.475975673049462</v>
      </c>
      <c r="I565" s="304">
        <f t="shared" ca="1" si="245"/>
        <v>98.745262285823742</v>
      </c>
      <c r="J565" s="306">
        <f t="shared" ca="1" si="246"/>
        <v>678.53524446899166</v>
      </c>
      <c r="K565" s="307">
        <f t="shared" ca="1" si="247"/>
        <v>-4.6927595296348441</v>
      </c>
      <c r="L565" s="304">
        <f t="shared" ca="1" si="232"/>
        <v>678.55147187121861</v>
      </c>
      <c r="M565" s="306">
        <f t="shared" ca="1" si="248"/>
        <v>-1.4969271955209977</v>
      </c>
      <c r="N565" s="304">
        <f t="shared" ca="1" si="249"/>
        <v>-85.767610541707754</v>
      </c>
      <c r="P565" s="310">
        <f t="shared" ca="1" si="250"/>
        <v>23</v>
      </c>
      <c r="Q565" s="304">
        <f t="shared" ca="1" si="251"/>
        <v>0</v>
      </c>
      <c r="R565" s="306">
        <f t="shared" ca="1" si="252"/>
        <v>0</v>
      </c>
      <c r="S565" s="307">
        <f t="shared" ca="1" si="253"/>
        <v>4.341000000000002</v>
      </c>
      <c r="T565" s="304">
        <f t="shared" ca="1" si="233"/>
        <v>42.585210000000025</v>
      </c>
      <c r="U565" s="311">
        <f t="shared" ca="1" si="234"/>
        <v>0</v>
      </c>
      <c r="V565" s="306">
        <f t="shared" ca="1" si="235"/>
        <v>1.2255749979587383</v>
      </c>
      <c r="W565" s="304">
        <f t="shared" ca="1" si="236"/>
        <v>38.77170030144508</v>
      </c>
      <c r="Y565" s="314" t="str">
        <f t="shared" ca="1" si="254"/>
        <v/>
      </c>
      <c r="Z565" s="315" t="str">
        <f t="shared" ca="1" si="255"/>
        <v/>
      </c>
      <c r="AA565" s="316" t="str">
        <f t="shared" ca="1" si="256"/>
        <v/>
      </c>
      <c r="AC565" s="310" t="e">
        <f t="shared" ca="1" si="257"/>
        <v>#N/A</v>
      </c>
      <c r="AD565" s="323" t="e">
        <f t="shared" ca="1" si="258"/>
        <v>#N/A</v>
      </c>
      <c r="AE565" s="324" t="e">
        <f t="shared" ca="1" si="237"/>
        <v>#N/A</v>
      </c>
      <c r="AG565" s="306">
        <f t="shared" ca="1" si="259"/>
        <v>0.85175743439078389</v>
      </c>
      <c r="AH565" s="304">
        <f t="shared" ca="1" si="260"/>
        <v>-8.9314893419288683</v>
      </c>
    </row>
    <row r="566" spans="1:34" x14ac:dyDescent="0.2">
      <c r="A566" s="347">
        <f t="shared" ca="1" si="238"/>
        <v>1E-4</v>
      </c>
      <c r="B566" s="304">
        <f t="shared" ca="1" si="239"/>
        <v>28.618600000000097</v>
      </c>
      <c r="D566" s="306">
        <f t="shared" ca="1" si="240"/>
        <v>-0.65916329432024257</v>
      </c>
      <c r="E566" s="307">
        <f t="shared" ca="1" si="241"/>
        <v>-0.90284344099428715</v>
      </c>
      <c r="F566" s="304">
        <f t="shared" ca="1" si="242"/>
        <v>1.117865165181168</v>
      </c>
      <c r="G566" s="306">
        <f t="shared" ca="1" si="243"/>
        <v>7.2875289638141583</v>
      </c>
      <c r="H566" s="307">
        <f t="shared" ca="1" si="244"/>
        <v>-98.476065957393558</v>
      </c>
      <c r="I566" s="304">
        <f t="shared" ca="1" si="245"/>
        <v>98.745347459226437</v>
      </c>
      <c r="J566" s="306">
        <f t="shared" ca="1" si="246"/>
        <v>678.53524446899166</v>
      </c>
      <c r="K566" s="307">
        <f t="shared" ca="1" si="247"/>
        <v>-4.7026071317163662</v>
      </c>
      <c r="L566" s="304">
        <f t="shared" ca="1" si="232"/>
        <v>678.55154004720202</v>
      </c>
      <c r="M566" s="306">
        <f t="shared" ca="1" si="248"/>
        <v>-1.49692792871739</v>
      </c>
      <c r="N566" s="304">
        <f t="shared" ca="1" si="249"/>
        <v>-85.767652550766584</v>
      </c>
      <c r="P566" s="310">
        <f t="shared" ca="1" si="250"/>
        <v>23</v>
      </c>
      <c r="Q566" s="304">
        <f t="shared" ca="1" si="251"/>
        <v>0</v>
      </c>
      <c r="R566" s="306">
        <f t="shared" ca="1" si="252"/>
        <v>0</v>
      </c>
      <c r="S566" s="307">
        <f t="shared" ca="1" si="253"/>
        <v>4.341000000000002</v>
      </c>
      <c r="T566" s="304">
        <f t="shared" ca="1" si="233"/>
        <v>42.585210000000025</v>
      </c>
      <c r="U566" s="311">
        <f t="shared" ca="1" si="234"/>
        <v>0</v>
      </c>
      <c r="V566" s="306">
        <f t="shared" ca="1" si="235"/>
        <v>1.2255762048568888</v>
      </c>
      <c r="W566" s="304">
        <f t="shared" ca="1" si="236"/>
        <v>38.771805367979958</v>
      </c>
      <c r="Y566" s="314" t="str">
        <f t="shared" ca="1" si="254"/>
        <v/>
      </c>
      <c r="Z566" s="315" t="str">
        <f t="shared" ca="1" si="255"/>
        <v/>
      </c>
      <c r="AA566" s="316" t="str">
        <f t="shared" ca="1" si="256"/>
        <v/>
      </c>
      <c r="AC566" s="310" t="e">
        <f t="shared" ca="1" si="257"/>
        <v>#N/A</v>
      </c>
      <c r="AD566" s="323" t="e">
        <f t="shared" ca="1" si="258"/>
        <v>#N/A</v>
      </c>
      <c r="AE566" s="324" t="e">
        <f t="shared" ca="1" si="237"/>
        <v>#N/A</v>
      </c>
      <c r="AG566" s="306">
        <f t="shared" ca="1" si="259"/>
        <v>0.85173376156127034</v>
      </c>
      <c r="AH566" s="304">
        <f t="shared" ca="1" si="260"/>
        <v>-8.9315135455989552</v>
      </c>
    </row>
    <row r="567" spans="1:34" x14ac:dyDescent="0.2">
      <c r="A567" s="347">
        <f t="shared" ca="1" si="238"/>
        <v>1E-4</v>
      </c>
      <c r="B567" s="304">
        <f t="shared" ca="1" si="239"/>
        <v>28.618700000000096</v>
      </c>
      <c r="D567" s="306">
        <f t="shared" ca="1" si="240"/>
        <v>-0.65915854985869582</v>
      </c>
      <c r="E567" s="307">
        <f t="shared" ca="1" si="241"/>
        <v>-0.90281882040145156</v>
      </c>
      <c r="F567" s="304">
        <f t="shared" ca="1" si="242"/>
        <v>1.1178424827867688</v>
      </c>
      <c r="G567" s="306">
        <f t="shared" ca="1" si="243"/>
        <v>7.2874630479591724</v>
      </c>
      <c r="H567" s="307">
        <f t="shared" ca="1" si="244"/>
        <v>-98.476156239275596</v>
      </c>
      <c r="I567" s="304">
        <f t="shared" ca="1" si="245"/>
        <v>98.745432630261888</v>
      </c>
      <c r="J567" s="306">
        <f t="shared" ca="1" si="246"/>
        <v>678.53524446899166</v>
      </c>
      <c r="K567" s="307">
        <f t="shared" ca="1" si="247"/>
        <v>-4.7124547428261998</v>
      </c>
      <c r="L567" s="304">
        <f t="shared" ca="1" si="232"/>
        <v>678.5516083661563</v>
      </c>
      <c r="M567" s="306">
        <f t="shared" ca="1" si="248"/>
        <v>-1.4969286619058859</v>
      </c>
      <c r="N567" s="304">
        <f t="shared" ca="1" si="249"/>
        <v>-85.767694559372998</v>
      </c>
      <c r="P567" s="310">
        <f t="shared" ca="1" si="250"/>
        <v>23</v>
      </c>
      <c r="Q567" s="304">
        <f t="shared" ca="1" si="251"/>
        <v>0</v>
      </c>
      <c r="R567" s="306">
        <f t="shared" ca="1" si="252"/>
        <v>0</v>
      </c>
      <c r="S567" s="307">
        <f t="shared" ca="1" si="253"/>
        <v>4.341000000000002</v>
      </c>
      <c r="T567" s="304">
        <f t="shared" ca="1" si="233"/>
        <v>42.585210000000025</v>
      </c>
      <c r="U567" s="311">
        <f t="shared" ca="1" si="234"/>
        <v>0</v>
      </c>
      <c r="V567" s="306">
        <f t="shared" ca="1" si="235"/>
        <v>1.2255774117573348</v>
      </c>
      <c r="W567" s="304">
        <f t="shared" ca="1" si="236"/>
        <v>38.771910432917892</v>
      </c>
      <c r="Y567" s="314" t="str">
        <f t="shared" ca="1" si="254"/>
        <v/>
      </c>
      <c r="Z567" s="315" t="str">
        <f t="shared" ca="1" si="255"/>
        <v/>
      </c>
      <c r="AA567" s="316" t="str">
        <f t="shared" ca="1" si="256"/>
        <v/>
      </c>
      <c r="AC567" s="310" t="e">
        <f t="shared" ca="1" si="257"/>
        <v>#N/A</v>
      </c>
      <c r="AD567" s="323" t="e">
        <f t="shared" ca="1" si="258"/>
        <v>#N/A</v>
      </c>
      <c r="AE567" s="324" t="e">
        <f t="shared" ca="1" si="237"/>
        <v>#N/A</v>
      </c>
      <c r="AG567" s="306">
        <f t="shared" ca="1" si="259"/>
        <v>0.85171008908866064</v>
      </c>
      <c r="AH567" s="304">
        <f t="shared" ca="1" si="260"/>
        <v>-8.931537748901162</v>
      </c>
    </row>
    <row r="568" spans="1:34" x14ac:dyDescent="0.2">
      <c r="A568" s="347">
        <f t="shared" ca="1" si="238"/>
        <v>1E-4</v>
      </c>
      <c r="B568" s="304">
        <f t="shared" ca="1" si="239"/>
        <v>28.618800000000096</v>
      </c>
      <c r="D568" s="306">
        <f t="shared" ca="1" si="240"/>
        <v>-0.6591538054045849</v>
      </c>
      <c r="E568" s="307">
        <f t="shared" ca="1" si="241"/>
        <v>-0.90279420018286061</v>
      </c>
      <c r="F568" s="304">
        <f t="shared" ca="1" si="242"/>
        <v>1.1178198008011651</v>
      </c>
      <c r="G568" s="306">
        <f t="shared" ca="1" si="243"/>
        <v>7.287397132578632</v>
      </c>
      <c r="H568" s="307">
        <f t="shared" ca="1" si="244"/>
        <v>-98.476246518695618</v>
      </c>
      <c r="I568" s="304">
        <f t="shared" ca="1" si="245"/>
        <v>98.745517798930123</v>
      </c>
      <c r="J568" s="306">
        <f t="shared" ca="1" si="246"/>
        <v>678.53524446899166</v>
      </c>
      <c r="K568" s="307">
        <f t="shared" ca="1" si="247"/>
        <v>-4.7223023629640988</v>
      </c>
      <c r="L568" s="304">
        <f t="shared" ca="1" si="232"/>
        <v>678.55167682808178</v>
      </c>
      <c r="M568" s="306">
        <f t="shared" ca="1" si="248"/>
        <v>-1.4969293950864853</v>
      </c>
      <c r="N568" s="304">
        <f t="shared" ca="1" si="249"/>
        <v>-85.767736567526953</v>
      </c>
      <c r="P568" s="310">
        <f t="shared" ca="1" si="250"/>
        <v>23</v>
      </c>
      <c r="Q568" s="304">
        <f t="shared" ca="1" si="251"/>
        <v>0</v>
      </c>
      <c r="R568" s="306">
        <f t="shared" ca="1" si="252"/>
        <v>0</v>
      </c>
      <c r="S568" s="307">
        <f t="shared" ca="1" si="253"/>
        <v>4.341000000000002</v>
      </c>
      <c r="T568" s="304">
        <f t="shared" ca="1" si="233"/>
        <v>42.585210000000025</v>
      </c>
      <c r="U568" s="311">
        <f t="shared" ca="1" si="234"/>
        <v>0</v>
      </c>
      <c r="V568" s="306">
        <f t="shared" ca="1" si="235"/>
        <v>1.2255786186600763</v>
      </c>
      <c r="W568" s="304">
        <f t="shared" ca="1" si="236"/>
        <v>38.772015496258916</v>
      </c>
      <c r="Y568" s="314" t="str">
        <f t="shared" ca="1" si="254"/>
        <v/>
      </c>
      <c r="Z568" s="315" t="str">
        <f t="shared" ca="1" si="255"/>
        <v/>
      </c>
      <c r="AA568" s="316" t="str">
        <f t="shared" ca="1" si="256"/>
        <v/>
      </c>
      <c r="AC568" s="310" t="e">
        <f t="shared" ca="1" si="257"/>
        <v>#N/A</v>
      </c>
      <c r="AD568" s="323" t="e">
        <f t="shared" ca="1" si="258"/>
        <v>#N/A</v>
      </c>
      <c r="AE568" s="324" t="e">
        <f t="shared" ca="1" si="237"/>
        <v>#N/A</v>
      </c>
      <c r="AG568" s="306">
        <f t="shared" ca="1" si="259"/>
        <v>0.85168641697295122</v>
      </c>
      <c r="AH568" s="304">
        <f t="shared" ca="1" si="260"/>
        <v>-8.9315619518354925</v>
      </c>
    </row>
    <row r="569" spans="1:34" x14ac:dyDescent="0.2">
      <c r="A569" s="347">
        <f t="shared" ca="1" si="238"/>
        <v>1E-4</v>
      </c>
      <c r="B569" s="304">
        <f t="shared" ca="1" si="239"/>
        <v>28.618900000000096</v>
      </c>
      <c r="D569" s="306">
        <f t="shared" ca="1" si="240"/>
        <v>-0.65914906095791403</v>
      </c>
      <c r="E569" s="307">
        <f t="shared" ca="1" si="241"/>
        <v>-0.90276958033850718</v>
      </c>
      <c r="F569" s="304">
        <f t="shared" ca="1" si="242"/>
        <v>1.1177971192243539</v>
      </c>
      <c r="G569" s="306">
        <f t="shared" ca="1" si="243"/>
        <v>7.287331217672536</v>
      </c>
      <c r="H569" s="307">
        <f t="shared" ca="1" si="244"/>
        <v>-98.476336795653651</v>
      </c>
      <c r="I569" s="304">
        <f t="shared" ca="1" si="245"/>
        <v>98.745602965231186</v>
      </c>
      <c r="J569" s="306">
        <f t="shared" ca="1" si="246"/>
        <v>678.53524446899166</v>
      </c>
      <c r="K569" s="307">
        <f t="shared" ca="1" si="247"/>
        <v>-4.7321499921298162</v>
      </c>
      <c r="L569" s="304">
        <f t="shared" ca="1" si="232"/>
        <v>678.55174543297892</v>
      </c>
      <c r="M569" s="306">
        <f t="shared" ca="1" si="248"/>
        <v>-1.4969301282591883</v>
      </c>
      <c r="N569" s="304">
        <f t="shared" ca="1" si="249"/>
        <v>-85.76777857522849</v>
      </c>
      <c r="P569" s="310">
        <f t="shared" ca="1" si="250"/>
        <v>23</v>
      </c>
      <c r="Q569" s="304">
        <f t="shared" ca="1" si="251"/>
        <v>0</v>
      </c>
      <c r="R569" s="306">
        <f t="shared" ca="1" si="252"/>
        <v>0</v>
      </c>
      <c r="S569" s="307">
        <f t="shared" ca="1" si="253"/>
        <v>4.341000000000002</v>
      </c>
      <c r="T569" s="304">
        <f t="shared" ca="1" si="233"/>
        <v>42.585210000000025</v>
      </c>
      <c r="U569" s="311">
        <f t="shared" ca="1" si="234"/>
        <v>0</v>
      </c>
      <c r="V569" s="306">
        <f t="shared" ca="1" si="235"/>
        <v>1.2255798255651131</v>
      </c>
      <c r="W569" s="304">
        <f t="shared" ca="1" si="236"/>
        <v>38.772120558003031</v>
      </c>
      <c r="Y569" s="314" t="str">
        <f t="shared" ca="1" si="254"/>
        <v/>
      </c>
      <c r="Z569" s="315" t="str">
        <f t="shared" ca="1" si="255"/>
        <v/>
      </c>
      <c r="AA569" s="316" t="str">
        <f t="shared" ca="1" si="256"/>
        <v/>
      </c>
      <c r="AC569" s="310" t="e">
        <f t="shared" ca="1" si="257"/>
        <v>#N/A</v>
      </c>
      <c r="AD569" s="323" t="e">
        <f t="shared" ca="1" si="258"/>
        <v>#N/A</v>
      </c>
      <c r="AE569" s="324" t="e">
        <f t="shared" ca="1" si="237"/>
        <v>#N/A</v>
      </c>
      <c r="AG569" s="306">
        <f t="shared" ca="1" si="259"/>
        <v>0.85166274521413321</v>
      </c>
      <c r="AH569" s="304">
        <f t="shared" ca="1" si="260"/>
        <v>-8.9315861544019572</v>
      </c>
    </row>
    <row r="570" spans="1:34" x14ac:dyDescent="0.2">
      <c r="A570" s="347">
        <f t="shared" ca="1" si="238"/>
        <v>1E-4</v>
      </c>
      <c r="B570" s="304">
        <f t="shared" ca="1" si="239"/>
        <v>28.619000000000096</v>
      </c>
      <c r="D570" s="306">
        <f t="shared" ca="1" si="240"/>
        <v>-0.65914431651868244</v>
      </c>
      <c r="E570" s="307">
        <f t="shared" ca="1" si="241"/>
        <v>-0.90274496086839129</v>
      </c>
      <c r="F570" s="304">
        <f t="shared" ca="1" si="242"/>
        <v>1.1177744380563344</v>
      </c>
      <c r="G570" s="306">
        <f t="shared" ca="1" si="243"/>
        <v>7.2872653032408845</v>
      </c>
      <c r="H570" s="307">
        <f t="shared" ca="1" si="244"/>
        <v>-98.47642707014974</v>
      </c>
      <c r="I570" s="304">
        <f t="shared" ca="1" si="245"/>
        <v>98.745688129165103</v>
      </c>
      <c r="J570" s="306">
        <f t="shared" ca="1" si="246"/>
        <v>678.53524446899166</v>
      </c>
      <c r="K570" s="307">
        <f t="shared" ca="1" si="247"/>
        <v>-4.7419976303231062</v>
      </c>
      <c r="L570" s="304">
        <f t="shared" ca="1" si="232"/>
        <v>678.55181418084817</v>
      </c>
      <c r="M570" s="306">
        <f t="shared" ca="1" si="248"/>
        <v>-1.4969308614239949</v>
      </c>
      <c r="N570" s="304">
        <f t="shared" ca="1" si="249"/>
        <v>-85.767820582477597</v>
      </c>
      <c r="P570" s="310">
        <f t="shared" ca="1" si="250"/>
        <v>23</v>
      </c>
      <c r="Q570" s="304">
        <f t="shared" ca="1" si="251"/>
        <v>0</v>
      </c>
      <c r="R570" s="306">
        <f t="shared" ca="1" si="252"/>
        <v>0</v>
      </c>
      <c r="S570" s="307">
        <f t="shared" ca="1" si="253"/>
        <v>4.341000000000002</v>
      </c>
      <c r="T570" s="304">
        <f t="shared" ca="1" si="233"/>
        <v>42.585210000000025</v>
      </c>
      <c r="U570" s="311">
        <f t="shared" ca="1" si="234"/>
        <v>0</v>
      </c>
      <c r="V570" s="306">
        <f t="shared" ca="1" si="235"/>
        <v>1.2255810324724452</v>
      </c>
      <c r="W570" s="304">
        <f t="shared" ca="1" si="236"/>
        <v>38.772225618150273</v>
      </c>
      <c r="Y570" s="314" t="str">
        <f t="shared" ca="1" si="254"/>
        <v/>
      </c>
      <c r="Z570" s="315" t="str">
        <f t="shared" ca="1" si="255"/>
        <v/>
      </c>
      <c r="AA570" s="316" t="str">
        <f t="shared" ca="1" si="256"/>
        <v/>
      </c>
      <c r="AC570" s="310" t="e">
        <f t="shared" ca="1" si="257"/>
        <v>#N/A</v>
      </c>
      <c r="AD570" s="323" t="e">
        <f t="shared" ca="1" si="258"/>
        <v>#N/A</v>
      </c>
      <c r="AE570" s="324" t="e">
        <f t="shared" ca="1" si="237"/>
        <v>#N/A</v>
      </c>
      <c r="AG570" s="306">
        <f t="shared" ca="1" si="259"/>
        <v>0.85163907381220127</v>
      </c>
      <c r="AH570" s="304">
        <f t="shared" ca="1" si="260"/>
        <v>-8.9316103566005562</v>
      </c>
    </row>
    <row r="571" spans="1:34" x14ac:dyDescent="0.2">
      <c r="A571" s="347">
        <f t="shared" ca="1" si="238"/>
        <v>1E-4</v>
      </c>
      <c r="B571" s="304">
        <f t="shared" ca="1" si="239"/>
        <v>28.619100000000095</v>
      </c>
      <c r="D571" s="306">
        <f t="shared" ca="1" si="240"/>
        <v>-0.65913957208689233</v>
      </c>
      <c r="E571" s="307">
        <f t="shared" ca="1" si="241"/>
        <v>-0.90272034177250404</v>
      </c>
      <c r="F571" s="304">
        <f t="shared" ca="1" si="242"/>
        <v>1.1177517572971012</v>
      </c>
      <c r="G571" s="306">
        <f t="shared" ca="1" si="243"/>
        <v>7.2871993892836757</v>
      </c>
      <c r="H571" s="307">
        <f t="shared" ca="1" si="244"/>
        <v>-98.476517342183911</v>
      </c>
      <c r="I571" s="304">
        <f t="shared" ca="1" si="245"/>
        <v>98.745773290731918</v>
      </c>
      <c r="J571" s="306">
        <f t="shared" ca="1" si="246"/>
        <v>678.53524446899166</v>
      </c>
      <c r="K571" s="307">
        <f t="shared" ca="1" si="247"/>
        <v>-4.7518452775437225</v>
      </c>
      <c r="L571" s="304">
        <f t="shared" ca="1" si="232"/>
        <v>678.55188307168964</v>
      </c>
      <c r="M571" s="306">
        <f t="shared" ca="1" si="248"/>
        <v>-1.4969315945809054</v>
      </c>
      <c r="N571" s="304">
        <f t="shared" ca="1" si="249"/>
        <v>-85.767862589274287</v>
      </c>
      <c r="P571" s="310">
        <f t="shared" ca="1" si="250"/>
        <v>23</v>
      </c>
      <c r="Q571" s="304">
        <f t="shared" ca="1" si="251"/>
        <v>0</v>
      </c>
      <c r="R571" s="306">
        <f t="shared" ca="1" si="252"/>
        <v>0</v>
      </c>
      <c r="S571" s="307">
        <f t="shared" ca="1" si="253"/>
        <v>4.341000000000002</v>
      </c>
      <c r="T571" s="304">
        <f t="shared" ca="1" si="233"/>
        <v>42.585210000000025</v>
      </c>
      <c r="U571" s="311">
        <f t="shared" ca="1" si="234"/>
        <v>0</v>
      </c>
      <c r="V571" s="306">
        <f t="shared" ca="1" si="235"/>
        <v>1.2255822393820721</v>
      </c>
      <c r="W571" s="304">
        <f t="shared" ca="1" si="236"/>
        <v>38.772330676700633</v>
      </c>
      <c r="Y571" s="314" t="str">
        <f t="shared" ca="1" si="254"/>
        <v/>
      </c>
      <c r="Z571" s="315" t="str">
        <f t="shared" ca="1" si="255"/>
        <v/>
      </c>
      <c r="AA571" s="316" t="str">
        <f t="shared" ca="1" si="256"/>
        <v/>
      </c>
      <c r="AC571" s="310" t="e">
        <f t="shared" ca="1" si="257"/>
        <v>#N/A</v>
      </c>
      <c r="AD571" s="323" t="e">
        <f t="shared" ca="1" si="258"/>
        <v>#N/A</v>
      </c>
      <c r="AE571" s="324" t="e">
        <f t="shared" ca="1" si="237"/>
        <v>#N/A</v>
      </c>
      <c r="AG571" s="306">
        <f t="shared" ca="1" si="259"/>
        <v>0.85161540276715719</v>
      </c>
      <c r="AH571" s="304">
        <f t="shared" ca="1" si="260"/>
        <v>-8.9316345584312966</v>
      </c>
    </row>
    <row r="572" spans="1:34" x14ac:dyDescent="0.2">
      <c r="A572" s="347">
        <f t="shared" ca="1" si="238"/>
        <v>1E-4</v>
      </c>
      <c r="B572" s="304">
        <f t="shared" ca="1" si="239"/>
        <v>28.619200000000095</v>
      </c>
      <c r="D572" s="306">
        <f t="shared" ca="1" si="240"/>
        <v>-0.65913482766254261</v>
      </c>
      <c r="E572" s="307">
        <f t="shared" ca="1" si="241"/>
        <v>-0.90269572305085077</v>
      </c>
      <c r="F572" s="304">
        <f t="shared" ca="1" si="242"/>
        <v>1.1177290769466579</v>
      </c>
      <c r="G572" s="306">
        <f t="shared" ca="1" si="243"/>
        <v>7.2871334758009096</v>
      </c>
      <c r="H572" s="307">
        <f t="shared" ca="1" si="244"/>
        <v>-98.476607611756222</v>
      </c>
      <c r="I572" s="304">
        <f t="shared" ca="1" si="245"/>
        <v>98.74585844993166</v>
      </c>
      <c r="J572" s="306">
        <f t="shared" ca="1" si="246"/>
        <v>678.53524446899166</v>
      </c>
      <c r="K572" s="307">
        <f t="shared" ca="1" si="247"/>
        <v>-4.7616929337914193</v>
      </c>
      <c r="L572" s="304">
        <f t="shared" ca="1" si="232"/>
        <v>678.5519521055038</v>
      </c>
      <c r="M572" s="306">
        <f t="shared" ca="1" si="248"/>
        <v>-1.49693232772992</v>
      </c>
      <c r="N572" s="304">
        <f t="shared" ca="1" si="249"/>
        <v>-85.767904595618589</v>
      </c>
      <c r="P572" s="310">
        <f t="shared" ca="1" si="250"/>
        <v>23</v>
      </c>
      <c r="Q572" s="304">
        <f t="shared" ca="1" si="251"/>
        <v>0</v>
      </c>
      <c r="R572" s="306">
        <f t="shared" ca="1" si="252"/>
        <v>0</v>
      </c>
      <c r="S572" s="307">
        <f t="shared" ca="1" si="253"/>
        <v>4.341000000000002</v>
      </c>
      <c r="T572" s="304">
        <f t="shared" ca="1" si="233"/>
        <v>42.585210000000025</v>
      </c>
      <c r="U572" s="311">
        <f t="shared" ca="1" si="234"/>
        <v>0</v>
      </c>
      <c r="V572" s="306">
        <f t="shared" ca="1" si="235"/>
        <v>1.2255834462939943</v>
      </c>
      <c r="W572" s="304">
        <f t="shared" ca="1" si="236"/>
        <v>38.772435733654142</v>
      </c>
      <c r="Y572" s="314" t="str">
        <f t="shared" ca="1" si="254"/>
        <v/>
      </c>
      <c r="Z572" s="315" t="str">
        <f t="shared" ca="1" si="255"/>
        <v/>
      </c>
      <c r="AA572" s="316" t="str">
        <f t="shared" ca="1" si="256"/>
        <v/>
      </c>
      <c r="AC572" s="310" t="e">
        <f t="shared" ca="1" si="257"/>
        <v>#N/A</v>
      </c>
      <c r="AD572" s="323" t="e">
        <f t="shared" ca="1" si="258"/>
        <v>#N/A</v>
      </c>
      <c r="AE572" s="324" t="e">
        <f t="shared" ca="1" si="237"/>
        <v>#N/A</v>
      </c>
      <c r="AG572" s="306">
        <f t="shared" ca="1" si="259"/>
        <v>0.85159173207899563</v>
      </c>
      <c r="AH572" s="304">
        <f t="shared" ca="1" si="260"/>
        <v>-8.9316587598941748</v>
      </c>
    </row>
    <row r="573" spans="1:34" x14ac:dyDescent="0.2">
      <c r="A573" s="347">
        <f t="shared" ca="1" si="238"/>
        <v>1E-4</v>
      </c>
      <c r="B573" s="304">
        <f t="shared" ca="1" si="239"/>
        <v>28.619300000000095</v>
      </c>
      <c r="D573" s="306">
        <f t="shared" ca="1" si="240"/>
        <v>-0.6591300832456336</v>
      </c>
      <c r="E573" s="307">
        <f t="shared" ca="1" si="241"/>
        <v>-0.90267110470341905</v>
      </c>
      <c r="F573" s="304">
        <f t="shared" ca="1" si="242"/>
        <v>1.1177063970049947</v>
      </c>
      <c r="G573" s="306">
        <f t="shared" ca="1" si="243"/>
        <v>7.2870675627925854</v>
      </c>
      <c r="H573" s="307">
        <f t="shared" ca="1" si="244"/>
        <v>-98.476697878866688</v>
      </c>
      <c r="I573" s="304">
        <f t="shared" ca="1" si="245"/>
        <v>98.745943606764371</v>
      </c>
      <c r="J573" s="306">
        <f t="shared" ca="1" si="246"/>
        <v>678.53524446899166</v>
      </c>
      <c r="K573" s="307">
        <f t="shared" ca="1" si="247"/>
        <v>-4.7715405990659505</v>
      </c>
      <c r="L573" s="304">
        <f t="shared" ca="1" si="232"/>
        <v>678.55202128229109</v>
      </c>
      <c r="M573" s="306">
        <f t="shared" ca="1" si="248"/>
        <v>-1.4969330608710387</v>
      </c>
      <c r="N573" s="304">
        <f t="shared" ca="1" si="249"/>
        <v>-85.767946601510474</v>
      </c>
      <c r="P573" s="310">
        <f t="shared" ca="1" si="250"/>
        <v>23</v>
      </c>
      <c r="Q573" s="304">
        <f t="shared" ca="1" si="251"/>
        <v>0</v>
      </c>
      <c r="R573" s="306">
        <f t="shared" ca="1" si="252"/>
        <v>0</v>
      </c>
      <c r="S573" s="307">
        <f t="shared" ca="1" si="253"/>
        <v>4.341000000000002</v>
      </c>
      <c r="T573" s="304">
        <f t="shared" ca="1" si="233"/>
        <v>42.585210000000025</v>
      </c>
      <c r="U573" s="311">
        <f t="shared" ca="1" si="234"/>
        <v>0</v>
      </c>
      <c r="V573" s="306">
        <f t="shared" ca="1" si="235"/>
        <v>1.225584653208212</v>
      </c>
      <c r="W573" s="304">
        <f t="shared" ca="1" si="236"/>
        <v>38.772540789010833</v>
      </c>
      <c r="Y573" s="314" t="str">
        <f t="shared" ca="1" si="254"/>
        <v/>
      </c>
      <c r="Z573" s="315" t="str">
        <f t="shared" ca="1" si="255"/>
        <v/>
      </c>
      <c r="AA573" s="316" t="str">
        <f t="shared" ca="1" si="256"/>
        <v/>
      </c>
      <c r="AC573" s="310" t="e">
        <f t="shared" ca="1" si="257"/>
        <v>#N/A</v>
      </c>
      <c r="AD573" s="323" t="e">
        <f t="shared" ca="1" si="258"/>
        <v>#N/A</v>
      </c>
      <c r="AE573" s="324" t="e">
        <f t="shared" ca="1" si="237"/>
        <v>#N/A</v>
      </c>
      <c r="AG573" s="306">
        <f t="shared" ca="1" si="259"/>
        <v>0.85156806174771305</v>
      </c>
      <c r="AH573" s="304">
        <f t="shared" ca="1" si="260"/>
        <v>-8.9316829609892014</v>
      </c>
    </row>
    <row r="574" spans="1:34" x14ac:dyDescent="0.2">
      <c r="A574" s="347">
        <f t="shared" ca="1" si="238"/>
        <v>1E-4</v>
      </c>
      <c r="B574" s="304">
        <f t="shared" ca="1" si="239"/>
        <v>28.619400000000095</v>
      </c>
      <c r="D574" s="306">
        <f t="shared" ca="1" si="240"/>
        <v>-0.65912533883616697</v>
      </c>
      <c r="E574" s="307">
        <f t="shared" ca="1" si="241"/>
        <v>-0.90264648673020176</v>
      </c>
      <c r="F574" s="304">
        <f t="shared" ca="1" si="242"/>
        <v>1.1176837174721068</v>
      </c>
      <c r="G574" s="306">
        <f t="shared" ca="1" si="243"/>
        <v>7.2870016502587021</v>
      </c>
      <c r="H574" s="307">
        <f t="shared" ca="1" si="244"/>
        <v>-98.476788143515364</v>
      </c>
      <c r="I574" s="304">
        <f t="shared" ca="1" si="245"/>
        <v>98.746028761230093</v>
      </c>
      <c r="J574" s="306">
        <f t="shared" ca="1" si="246"/>
        <v>678.53524446899166</v>
      </c>
      <c r="K574" s="307">
        <f t="shared" ca="1" si="247"/>
        <v>-4.7813882733670692</v>
      </c>
      <c r="L574" s="304">
        <f t="shared" ca="1" si="232"/>
        <v>678.55209060205175</v>
      </c>
      <c r="M574" s="306">
        <f t="shared" ca="1" si="248"/>
        <v>-1.4969337940042615</v>
      </c>
      <c r="N574" s="304">
        <f t="shared" ca="1" si="249"/>
        <v>-85.767988606949956</v>
      </c>
      <c r="P574" s="310">
        <f t="shared" ca="1" si="250"/>
        <v>23</v>
      </c>
      <c r="Q574" s="304">
        <f t="shared" ca="1" si="251"/>
        <v>0</v>
      </c>
      <c r="R574" s="306">
        <f t="shared" ca="1" si="252"/>
        <v>0</v>
      </c>
      <c r="S574" s="307">
        <f t="shared" ca="1" si="253"/>
        <v>4.341000000000002</v>
      </c>
      <c r="T574" s="304">
        <f t="shared" ca="1" si="233"/>
        <v>42.585210000000025</v>
      </c>
      <c r="U574" s="311">
        <f t="shared" ca="1" si="234"/>
        <v>0</v>
      </c>
      <c r="V574" s="306">
        <f t="shared" ca="1" si="235"/>
        <v>1.225585860124724</v>
      </c>
      <c r="W574" s="304">
        <f t="shared" ca="1" si="236"/>
        <v>38.772645842770686</v>
      </c>
      <c r="Y574" s="314" t="str">
        <f t="shared" ca="1" si="254"/>
        <v/>
      </c>
      <c r="Z574" s="315" t="str">
        <f t="shared" ca="1" si="255"/>
        <v/>
      </c>
      <c r="AA574" s="316" t="str">
        <f t="shared" ca="1" si="256"/>
        <v/>
      </c>
      <c r="AC574" s="310" t="e">
        <f t="shared" ca="1" si="257"/>
        <v>#N/A</v>
      </c>
      <c r="AD574" s="323" t="e">
        <f t="shared" ca="1" si="258"/>
        <v>#N/A</v>
      </c>
      <c r="AE574" s="324" t="e">
        <f t="shared" ca="1" si="237"/>
        <v>#N/A</v>
      </c>
      <c r="AG574" s="306">
        <f t="shared" ca="1" si="259"/>
        <v>0.85154439177330232</v>
      </c>
      <c r="AH574" s="304">
        <f t="shared" ca="1" si="260"/>
        <v>-8.9317071617163819</v>
      </c>
    </row>
    <row r="575" spans="1:34" x14ac:dyDescent="0.2">
      <c r="A575" s="347">
        <f t="shared" ca="1" si="238"/>
        <v>1E-4</v>
      </c>
      <c r="B575" s="304">
        <f t="shared" ca="1" si="239"/>
        <v>28.619500000000095</v>
      </c>
      <c r="D575" s="306">
        <f t="shared" ca="1" si="240"/>
        <v>-0.65912059443414406</v>
      </c>
      <c r="E575" s="307">
        <f t="shared" ca="1" si="241"/>
        <v>-0.90262186913120779</v>
      </c>
      <c r="F575" s="304">
        <f t="shared" ca="1" si="242"/>
        <v>1.1176610383480023</v>
      </c>
      <c r="G575" s="306">
        <f t="shared" ca="1" si="243"/>
        <v>7.2869357381992588</v>
      </c>
      <c r="H575" s="307">
        <f t="shared" ca="1" si="244"/>
        <v>-98.47687840570228</v>
      </c>
      <c r="I575" s="304">
        <f t="shared" ca="1" si="245"/>
        <v>98.746113913328855</v>
      </c>
      <c r="J575" s="306">
        <f t="shared" ca="1" si="246"/>
        <v>678.53524446899166</v>
      </c>
      <c r="K575" s="307">
        <f t="shared" ca="1" si="247"/>
        <v>-4.7912359566945302</v>
      </c>
      <c r="L575" s="304">
        <f t="shared" ca="1" si="232"/>
        <v>678.55216006478599</v>
      </c>
      <c r="M575" s="306">
        <f t="shared" ca="1" si="248"/>
        <v>-1.4969345271295886</v>
      </c>
      <c r="N575" s="304">
        <f t="shared" ca="1" si="249"/>
        <v>-85.768030611937064</v>
      </c>
      <c r="P575" s="310">
        <f t="shared" ca="1" si="250"/>
        <v>23</v>
      </c>
      <c r="Q575" s="304">
        <f t="shared" ca="1" si="251"/>
        <v>0</v>
      </c>
      <c r="R575" s="306">
        <f t="shared" ca="1" si="252"/>
        <v>0</v>
      </c>
      <c r="S575" s="307">
        <f t="shared" ca="1" si="253"/>
        <v>4.341000000000002</v>
      </c>
      <c r="T575" s="304">
        <f t="shared" ca="1" si="233"/>
        <v>42.585210000000025</v>
      </c>
      <c r="U575" s="311">
        <f t="shared" ca="1" si="234"/>
        <v>0</v>
      </c>
      <c r="V575" s="306">
        <f t="shared" ca="1" si="235"/>
        <v>1.2255870670435316</v>
      </c>
      <c r="W575" s="304">
        <f t="shared" ca="1" si="236"/>
        <v>38.772750894933758</v>
      </c>
      <c r="Y575" s="314" t="str">
        <f t="shared" ca="1" si="254"/>
        <v/>
      </c>
      <c r="Z575" s="315" t="str">
        <f t="shared" ca="1" si="255"/>
        <v/>
      </c>
      <c r="AA575" s="316" t="str">
        <f t="shared" ca="1" si="256"/>
        <v/>
      </c>
      <c r="AC575" s="310" t="e">
        <f t="shared" ca="1" si="257"/>
        <v>#N/A</v>
      </c>
      <c r="AD575" s="323" t="e">
        <f t="shared" ca="1" si="258"/>
        <v>#N/A</v>
      </c>
      <c r="AE575" s="324" t="e">
        <f t="shared" ca="1" si="237"/>
        <v>#N/A</v>
      </c>
      <c r="AG575" s="306">
        <f t="shared" ca="1" si="259"/>
        <v>0.85152072215576524</v>
      </c>
      <c r="AH575" s="304">
        <f t="shared" ca="1" si="260"/>
        <v>-8.9317313620757126</v>
      </c>
    </row>
    <row r="576" spans="1:34" x14ac:dyDescent="0.2">
      <c r="A576" s="347">
        <f t="shared" ca="1" si="238"/>
        <v>1E-4</v>
      </c>
      <c r="B576" s="304">
        <f t="shared" ca="1" si="239"/>
        <v>28.619600000000094</v>
      </c>
      <c r="D576" s="306">
        <f t="shared" ca="1" si="240"/>
        <v>-0.65911585003956508</v>
      </c>
      <c r="E576" s="307">
        <f t="shared" ca="1" si="241"/>
        <v>-0.9025972519064176</v>
      </c>
      <c r="F576" s="304">
        <f t="shared" ca="1" si="242"/>
        <v>1.1176383596326656</v>
      </c>
      <c r="G576" s="306">
        <f t="shared" ca="1" si="243"/>
        <v>7.2868698266142546</v>
      </c>
      <c r="H576" s="307">
        <f t="shared" ca="1" si="244"/>
        <v>-98.476968665427464</v>
      </c>
      <c r="I576" s="304">
        <f t="shared" ca="1" si="245"/>
        <v>98.746199063060672</v>
      </c>
      <c r="J576" s="306">
        <f t="shared" ca="1" si="246"/>
        <v>678.53524446899166</v>
      </c>
      <c r="K576" s="307">
        <f t="shared" ca="1" si="247"/>
        <v>-4.8010836490480866</v>
      </c>
      <c r="L576" s="304">
        <f t="shared" ca="1" si="232"/>
        <v>678.5522296704944</v>
      </c>
      <c r="M576" s="306">
        <f t="shared" ca="1" si="248"/>
        <v>-1.4969352602470201</v>
      </c>
      <c r="N576" s="304">
        <f t="shared" ca="1" si="249"/>
        <v>-85.76807261647177</v>
      </c>
      <c r="P576" s="310">
        <f t="shared" ca="1" si="250"/>
        <v>23</v>
      </c>
      <c r="Q576" s="304">
        <f t="shared" ca="1" si="251"/>
        <v>0</v>
      </c>
      <c r="R576" s="306">
        <f t="shared" ca="1" si="252"/>
        <v>0</v>
      </c>
      <c r="S576" s="307">
        <f t="shared" ca="1" si="253"/>
        <v>4.341000000000002</v>
      </c>
      <c r="T576" s="304">
        <f t="shared" ca="1" si="233"/>
        <v>42.585210000000025</v>
      </c>
      <c r="U576" s="311">
        <f t="shared" ca="1" si="234"/>
        <v>0</v>
      </c>
      <c r="V576" s="306">
        <f t="shared" ca="1" si="235"/>
        <v>1.225588273964634</v>
      </c>
      <c r="W576" s="304">
        <f t="shared" ca="1" si="236"/>
        <v>38.772855945500027</v>
      </c>
      <c r="Y576" s="314" t="str">
        <f t="shared" ca="1" si="254"/>
        <v/>
      </c>
      <c r="Z576" s="315" t="str">
        <f t="shared" ca="1" si="255"/>
        <v/>
      </c>
      <c r="AA576" s="316" t="str">
        <f t="shared" ca="1" si="256"/>
        <v/>
      </c>
      <c r="AC576" s="310" t="e">
        <f t="shared" ca="1" si="257"/>
        <v>#N/A</v>
      </c>
      <c r="AD576" s="323" t="e">
        <f t="shared" ca="1" si="258"/>
        <v>#N/A</v>
      </c>
      <c r="AE576" s="324" t="e">
        <f t="shared" ca="1" si="237"/>
        <v>#N/A</v>
      </c>
      <c r="AG576" s="306">
        <f t="shared" ca="1" si="259"/>
        <v>0.8514970528950947</v>
      </c>
      <c r="AH576" s="304">
        <f t="shared" ca="1" si="260"/>
        <v>-8.931755562067206</v>
      </c>
    </row>
    <row r="577" spans="1:34" x14ac:dyDescent="0.2">
      <c r="A577" s="347">
        <f t="shared" ca="1" si="238"/>
        <v>1E-4</v>
      </c>
      <c r="B577" s="304">
        <f t="shared" ca="1" si="239"/>
        <v>28.619700000000094</v>
      </c>
      <c r="D577" s="306">
        <f t="shared" ca="1" si="240"/>
        <v>-0.65911110565243092</v>
      </c>
      <c r="E577" s="307">
        <f t="shared" ca="1" si="241"/>
        <v>-0.90257263505584362</v>
      </c>
      <c r="F577" s="304">
        <f t="shared" ca="1" si="242"/>
        <v>1.1176156813261073</v>
      </c>
      <c r="G577" s="306">
        <f t="shared" ca="1" si="243"/>
        <v>7.2868039155036897</v>
      </c>
      <c r="H577" s="307">
        <f t="shared" ca="1" si="244"/>
        <v>-98.477058922690972</v>
      </c>
      <c r="I577" s="304">
        <f t="shared" ca="1" si="245"/>
        <v>98.7462842104256</v>
      </c>
      <c r="J577" s="306">
        <f t="shared" ca="1" si="246"/>
        <v>678.53524446899166</v>
      </c>
      <c r="K577" s="307">
        <f t="shared" ca="1" si="247"/>
        <v>-4.8109313504274924</v>
      </c>
      <c r="L577" s="304">
        <f t="shared" ca="1" si="232"/>
        <v>678.5522994191773</v>
      </c>
      <c r="M577" s="306">
        <f t="shared" ca="1" si="248"/>
        <v>-1.496935993356556</v>
      </c>
      <c r="N577" s="304">
        <f t="shared" ca="1" si="249"/>
        <v>-85.768114620554101</v>
      </c>
      <c r="P577" s="310">
        <f t="shared" ca="1" si="250"/>
        <v>23</v>
      </c>
      <c r="Q577" s="304">
        <f t="shared" ca="1" si="251"/>
        <v>0</v>
      </c>
      <c r="R577" s="306">
        <f t="shared" ca="1" si="252"/>
        <v>0</v>
      </c>
      <c r="S577" s="307">
        <f t="shared" ca="1" si="253"/>
        <v>4.341000000000002</v>
      </c>
      <c r="T577" s="304">
        <f t="shared" ca="1" si="233"/>
        <v>42.585210000000025</v>
      </c>
      <c r="U577" s="311">
        <f t="shared" ca="1" si="234"/>
        <v>0</v>
      </c>
      <c r="V577" s="306">
        <f t="shared" ca="1" si="235"/>
        <v>1.2255894808880317</v>
      </c>
      <c r="W577" s="304">
        <f t="shared" ca="1" si="236"/>
        <v>38.772960994469543</v>
      </c>
      <c r="Y577" s="314" t="str">
        <f t="shared" ca="1" si="254"/>
        <v/>
      </c>
      <c r="Z577" s="315" t="str">
        <f t="shared" ca="1" si="255"/>
        <v/>
      </c>
      <c r="AA577" s="316" t="str">
        <f t="shared" ca="1" si="256"/>
        <v/>
      </c>
      <c r="AC577" s="310" t="e">
        <f t="shared" ca="1" si="257"/>
        <v>#N/A</v>
      </c>
      <c r="AD577" s="323" t="e">
        <f t="shared" ca="1" si="258"/>
        <v>#N/A</v>
      </c>
      <c r="AE577" s="324" t="e">
        <f t="shared" ca="1" si="237"/>
        <v>#N/A</v>
      </c>
      <c r="AG577" s="306">
        <f t="shared" ca="1" si="259"/>
        <v>0.85147338399128891</v>
      </c>
      <c r="AH577" s="304">
        <f t="shared" ca="1" si="260"/>
        <v>-8.9317797616908567</v>
      </c>
    </row>
    <row r="578" spans="1:34" x14ac:dyDescent="0.2">
      <c r="A578" s="347">
        <f t="shared" ca="1" si="238"/>
        <v>1E-4</v>
      </c>
      <c r="B578" s="304">
        <f t="shared" ca="1" si="239"/>
        <v>28.619800000000094</v>
      </c>
      <c r="D578" s="306">
        <f t="shared" ca="1" si="240"/>
        <v>-0.65910636127274203</v>
      </c>
      <c r="E578" s="307">
        <f t="shared" ca="1" si="241"/>
        <v>-0.90254801857946809</v>
      </c>
      <c r="F578" s="304">
        <f t="shared" ca="1" si="242"/>
        <v>1.1175930034283135</v>
      </c>
      <c r="G578" s="306">
        <f t="shared" ca="1" si="243"/>
        <v>7.2867380048675621</v>
      </c>
      <c r="H578" s="307">
        <f t="shared" ca="1" si="244"/>
        <v>-98.477149177492834</v>
      </c>
      <c r="I578" s="304">
        <f t="shared" ca="1" si="245"/>
        <v>98.746369355423695</v>
      </c>
      <c r="J578" s="306">
        <f t="shared" ca="1" si="246"/>
        <v>678.53524446899166</v>
      </c>
      <c r="K578" s="307">
        <f t="shared" ca="1" si="247"/>
        <v>-4.8207790608325016</v>
      </c>
      <c r="L578" s="304">
        <f t="shared" ca="1" si="232"/>
        <v>678.55236931083493</v>
      </c>
      <c r="M578" s="306">
        <f t="shared" ca="1" si="248"/>
        <v>-1.4969367264581968</v>
      </c>
      <c r="N578" s="304">
        <f t="shared" ca="1" si="249"/>
        <v>-85.768156624184073</v>
      </c>
      <c r="P578" s="310">
        <f t="shared" ca="1" si="250"/>
        <v>23</v>
      </c>
      <c r="Q578" s="304">
        <f t="shared" ca="1" si="251"/>
        <v>0</v>
      </c>
      <c r="R578" s="306">
        <f t="shared" ca="1" si="252"/>
        <v>0</v>
      </c>
      <c r="S578" s="307">
        <f t="shared" ca="1" si="253"/>
        <v>4.341000000000002</v>
      </c>
      <c r="T578" s="304">
        <f t="shared" ca="1" si="233"/>
        <v>42.585210000000025</v>
      </c>
      <c r="U578" s="311">
        <f t="shared" ca="1" si="234"/>
        <v>0</v>
      </c>
      <c r="V578" s="306">
        <f t="shared" ca="1" si="235"/>
        <v>1.2255906878137244</v>
      </c>
      <c r="W578" s="304">
        <f t="shared" ca="1" si="236"/>
        <v>38.773066041842327</v>
      </c>
      <c r="Y578" s="314" t="str">
        <f t="shared" ca="1" si="254"/>
        <v/>
      </c>
      <c r="Z578" s="315" t="str">
        <f t="shared" ca="1" si="255"/>
        <v/>
      </c>
      <c r="AA578" s="316" t="str">
        <f t="shared" ca="1" si="256"/>
        <v/>
      </c>
      <c r="AC578" s="310" t="e">
        <f t="shared" ca="1" si="257"/>
        <v>#N/A</v>
      </c>
      <c r="AD578" s="323" t="e">
        <f t="shared" ca="1" si="258"/>
        <v>#N/A</v>
      </c>
      <c r="AE578" s="324" t="e">
        <f t="shared" ca="1" si="237"/>
        <v>#N/A</v>
      </c>
      <c r="AG578" s="306">
        <f t="shared" ca="1" si="259"/>
        <v>0.85144971544434078</v>
      </c>
      <c r="AH578" s="304">
        <f t="shared" ca="1" si="260"/>
        <v>-8.9318039609466773</v>
      </c>
    </row>
    <row r="579" spans="1:34" x14ac:dyDescent="0.2">
      <c r="A579" s="347">
        <f t="shared" ca="1" si="238"/>
        <v>1E-4</v>
      </c>
      <c r="B579" s="304">
        <f t="shared" ca="1" si="239"/>
        <v>28.619900000000094</v>
      </c>
      <c r="D579" s="306">
        <f t="shared" ca="1" si="240"/>
        <v>-0.65910161690049796</v>
      </c>
      <c r="E579" s="307">
        <f t="shared" ca="1" si="241"/>
        <v>-0.90252340247729101</v>
      </c>
      <c r="F579" s="304">
        <f t="shared" ca="1" si="242"/>
        <v>1.1175703259392837</v>
      </c>
      <c r="G579" s="306">
        <f t="shared" ca="1" si="243"/>
        <v>7.2866720947058718</v>
      </c>
      <c r="H579" s="307">
        <f t="shared" ca="1" si="244"/>
        <v>-98.477239429833077</v>
      </c>
      <c r="I579" s="304">
        <f t="shared" ca="1" si="245"/>
        <v>98.746454498054945</v>
      </c>
      <c r="J579" s="306">
        <f t="shared" ca="1" si="246"/>
        <v>678.53524446899166</v>
      </c>
      <c r="K579" s="307">
        <f t="shared" ca="1" si="247"/>
        <v>-4.8306267802628682</v>
      </c>
      <c r="L579" s="304">
        <f t="shared" ca="1" si="232"/>
        <v>678.55243934546763</v>
      </c>
      <c r="M579" s="306">
        <f t="shared" ca="1" si="248"/>
        <v>-1.496937459551942</v>
      </c>
      <c r="N579" s="304">
        <f t="shared" ca="1" si="249"/>
        <v>-85.768198627361656</v>
      </c>
      <c r="P579" s="310">
        <f t="shared" ca="1" si="250"/>
        <v>23</v>
      </c>
      <c r="Q579" s="304">
        <f t="shared" ca="1" si="251"/>
        <v>0</v>
      </c>
      <c r="R579" s="306">
        <f t="shared" ca="1" si="252"/>
        <v>0</v>
      </c>
      <c r="S579" s="307">
        <f t="shared" ca="1" si="253"/>
        <v>4.341000000000002</v>
      </c>
      <c r="T579" s="304">
        <f t="shared" ca="1" si="233"/>
        <v>42.585210000000025</v>
      </c>
      <c r="U579" s="311">
        <f t="shared" ca="1" si="234"/>
        <v>0</v>
      </c>
      <c r="V579" s="306">
        <f t="shared" ca="1" si="235"/>
        <v>1.2255918947417117</v>
      </c>
      <c r="W579" s="304">
        <f t="shared" ca="1" si="236"/>
        <v>38.773171087618358</v>
      </c>
      <c r="Y579" s="314" t="str">
        <f t="shared" ca="1" si="254"/>
        <v/>
      </c>
      <c r="Z579" s="315" t="str">
        <f t="shared" ca="1" si="255"/>
        <v/>
      </c>
      <c r="AA579" s="316" t="str">
        <f t="shared" ca="1" si="256"/>
        <v/>
      </c>
      <c r="AC579" s="310" t="e">
        <f t="shared" ca="1" si="257"/>
        <v>#N/A</v>
      </c>
      <c r="AD579" s="323" t="e">
        <f t="shared" ca="1" si="258"/>
        <v>#N/A</v>
      </c>
      <c r="AE579" s="324" t="e">
        <f t="shared" ca="1" si="237"/>
        <v>#N/A</v>
      </c>
      <c r="AG579" s="306">
        <f t="shared" ca="1" si="259"/>
        <v>0.8514260472542432</v>
      </c>
      <c r="AH579" s="304">
        <f t="shared" ca="1" si="260"/>
        <v>-8.9318281598346712</v>
      </c>
    </row>
    <row r="580" spans="1:34" x14ac:dyDescent="0.2">
      <c r="A580" s="347">
        <f t="shared" ca="1" si="238"/>
        <v>1E-4</v>
      </c>
      <c r="B580" s="304">
        <f t="shared" ca="1" si="239"/>
        <v>28.620000000000093</v>
      </c>
      <c r="D580" s="306">
        <f t="shared" ca="1" si="240"/>
        <v>-0.65909687253570204</v>
      </c>
      <c r="E580" s="307">
        <f t="shared" ca="1" si="241"/>
        <v>-0.90249878674931239</v>
      </c>
      <c r="F580" s="304">
        <f t="shared" ca="1" si="242"/>
        <v>1.1175476488590204</v>
      </c>
      <c r="G580" s="306">
        <f t="shared" ca="1" si="243"/>
        <v>7.2866061850186181</v>
      </c>
      <c r="H580" s="307">
        <f t="shared" ca="1" si="244"/>
        <v>-98.477329679711758</v>
      </c>
      <c r="I580" s="304">
        <f t="shared" ca="1" si="245"/>
        <v>98.746539638319433</v>
      </c>
      <c r="J580" s="306">
        <f t="shared" ca="1" si="246"/>
        <v>678.53524446899166</v>
      </c>
      <c r="K580" s="307">
        <f t="shared" ca="1" si="247"/>
        <v>-4.8404745087183452</v>
      </c>
      <c r="L580" s="304">
        <f t="shared" ref="L580:L643" ca="1" si="261">SQRT(pos_x^2+pos_z^2)</f>
        <v>678.55250952307574</v>
      </c>
      <c r="M580" s="306">
        <f t="shared" ca="1" si="248"/>
        <v>-1.4969381926377923</v>
      </c>
      <c r="N580" s="304">
        <f t="shared" ca="1" si="249"/>
        <v>-85.768240630086893</v>
      </c>
      <c r="P580" s="310">
        <f t="shared" ca="1" si="250"/>
        <v>23</v>
      </c>
      <c r="Q580" s="304">
        <f t="shared" ca="1" si="251"/>
        <v>0</v>
      </c>
      <c r="R580" s="306">
        <f t="shared" ca="1" si="252"/>
        <v>0</v>
      </c>
      <c r="S580" s="307">
        <f t="shared" ca="1" si="253"/>
        <v>4.341000000000002</v>
      </c>
      <c r="T580" s="304">
        <f t="shared" ref="T580:T643" ca="1" si="262">m*g</f>
        <v>42.585210000000025</v>
      </c>
      <c r="U580" s="311">
        <f t="shared" ref="U580:U643" ca="1" si="263">IF(pos_xz&lt;L_rampe,Poids*COS(Beta),0)</f>
        <v>0</v>
      </c>
      <c r="V580" s="306">
        <f t="shared" ref="V580:V643" ca="1" si="264">Rho_moyen*(20000-Alt_rampe-pos_z)/(20000+Alt_rampe+pos_z)</f>
        <v>1.2255931016719941</v>
      </c>
      <c r="W580" s="304">
        <f t="shared" ref="W580:W643" ca="1" si="265">1/2*Rho*Sref*Cx*vit_xz^2</f>
        <v>38.773276131797701</v>
      </c>
      <c r="Y580" s="314" t="str">
        <f t="shared" ca="1" si="254"/>
        <v/>
      </c>
      <c r="Z580" s="315" t="str">
        <f t="shared" ca="1" si="255"/>
        <v/>
      </c>
      <c r="AA580" s="316" t="str">
        <f t="shared" ca="1" si="256"/>
        <v/>
      </c>
      <c r="AC580" s="310" t="e">
        <f t="shared" ca="1" si="257"/>
        <v>#N/A</v>
      </c>
      <c r="AD580" s="323" t="e">
        <f t="shared" ca="1" si="258"/>
        <v>#N/A</v>
      </c>
      <c r="AE580" s="324" t="e">
        <f t="shared" ref="AE580:AE643" ca="1" si="266">IF(t&lt;T_para, pos_z, NA())</f>
        <v>#N/A</v>
      </c>
      <c r="AG580" s="306">
        <f t="shared" ca="1" si="259"/>
        <v>0.85140237942100505</v>
      </c>
      <c r="AH580" s="304">
        <f t="shared" ca="1" si="260"/>
        <v>-8.9318523583548348</v>
      </c>
    </row>
    <row r="581" spans="1:34" x14ac:dyDescent="0.2">
      <c r="A581" s="347">
        <f t="shared" ref="A581:A644" ca="1" si="267">IF(B580+0.01&lt;=T_ini+ROUNDUP(Temps_fin_propu,0), 0.01, IF(K580&gt;0, 0.1, 0.0001))</f>
        <v>1E-4</v>
      </c>
      <c r="B581" s="304">
        <f t="shared" ref="B581:B644" ca="1" si="268">B580+pas</f>
        <v>28.620100000000093</v>
      </c>
      <c r="D581" s="306">
        <f t="shared" ref="D581:D644" ca="1" si="269">IF(AND(L580&lt;L_rampe,Poussee&lt;Poids*SIN(M580)),0,(-W580+Poussee)/m*COS(M580)-U580/m*SIN(M580))</f>
        <v>-0.65909212817835272</v>
      </c>
      <c r="E581" s="307">
        <f t="shared" ref="E581:E644" ca="1" si="270">IF(AND(L580&lt;L_rampe,Poussee&lt;Poids*SIN(M580)),0,(-W580+Poussee)/m*SIN(M580)+U580/m*COS(M580)-Poids/m)</f>
        <v>-0.902474171395518</v>
      </c>
      <c r="F581" s="304">
        <f t="shared" ref="F581:F644" ca="1" si="271">SQRT(acc_x^2+acc_z^2)</f>
        <v>1.1175249721875109</v>
      </c>
      <c r="G581" s="306">
        <f t="shared" ref="G581:G644" ca="1" si="272">G580+acc_x*pas</f>
        <v>7.2865402758058</v>
      </c>
      <c r="H581" s="307">
        <f t="shared" ref="H581:H644" ca="1" si="273">H580+acc_z*pas</f>
        <v>-98.477419927128892</v>
      </c>
      <c r="I581" s="304">
        <f t="shared" ref="I581:I644" ca="1" si="274">SQRT(vit_x^2+vit_z^2)</f>
        <v>98.746624776217146</v>
      </c>
      <c r="J581" s="306">
        <f t="shared" ref="J581:J644" ca="1" si="275">J580+0.5*(vit_x+G580)*pas*(K580&gt;=0)</f>
        <v>678.53524446899166</v>
      </c>
      <c r="K581" s="307">
        <f t="shared" ref="K581:K644" ca="1" si="276">K580+0.5*(vit_z+H580)*pas</f>
        <v>-4.8503222461986875</v>
      </c>
      <c r="L581" s="304">
        <f t="shared" ca="1" si="261"/>
        <v>678.55257984365983</v>
      </c>
      <c r="M581" s="306">
        <f t="shared" ref="M581:M644" ca="1" si="277">IF(AND(L580&gt;L_rampe,G581&gt;0),ATAN2(G581,H581),$M$4)</f>
        <v>-1.4969389257157473</v>
      </c>
      <c r="N581" s="304">
        <f t="shared" ref="N581:N644" ca="1" si="278">DEGREES(Beta)</f>
        <v>-85.768282632359771</v>
      </c>
      <c r="P581" s="310">
        <f t="shared" ref="P581:P644" ca="1" si="279">MATCH(t-pas/2-T_ini,CdP_t)</f>
        <v>23</v>
      </c>
      <c r="Q581" s="304">
        <f t="shared" ref="Q581:Q644" ca="1" si="280">(INDEX(CdP,2,i_P+1)-INDEX(CdP,2,i_P+0))/(INDEX(CdP,1,i_P+1)-INDEX(CdP,1,i_P+0))*(t-pas/2-T_ini-INDEX(CdP,1,i_P+0))+INDEX(CdP,2,i_P+0)</f>
        <v>0</v>
      </c>
      <c r="R581" s="306">
        <f t="shared" ref="R581:R644" ca="1" si="281">Poussee/(g*ISP)</f>
        <v>0</v>
      </c>
      <c r="S581" s="307">
        <f t="shared" ref="S581:S644" ca="1" si="282">S580-Débit*pas</f>
        <v>4.341000000000002</v>
      </c>
      <c r="T581" s="304">
        <f t="shared" ca="1" si="262"/>
        <v>42.585210000000025</v>
      </c>
      <c r="U581" s="311">
        <f t="shared" ca="1" si="263"/>
        <v>0</v>
      </c>
      <c r="V581" s="306">
        <f t="shared" ca="1" si="264"/>
        <v>1.2255943086045717</v>
      </c>
      <c r="W581" s="304">
        <f t="shared" ca="1" si="265"/>
        <v>38.773381174380333</v>
      </c>
      <c r="Y581" s="314" t="str">
        <f t="shared" ref="Y581:Y644" ca="1" si="283">IF(AND(pos_z&lt;=0,K580&gt;0),"Impact balistique","") &amp; IF(AND(H582&lt;0,vit_z&gt;=0),"Apogée","") &amp; IF(AND(Poussee=0,Q580&gt;0),"Fin de propulsion","") &amp; IF(AND(L582&gt;L_rampe,pos_xz&lt;=L_rampe),"Sortie de rampe","")</f>
        <v/>
      </c>
      <c r="Z581" s="315" t="str">
        <f t="shared" ref="Z581:Z644" ca="1" si="284">IF(ABS(t-T_para)&lt;pas/2,"Para","")</f>
        <v/>
      </c>
      <c r="AA581" s="316" t="str">
        <f t="shared" ref="AA581:AA644" ca="1" si="285">IF(ABS(t-T_satellite)&lt;pas/2,"Satellite","")</f>
        <v/>
      </c>
      <c r="AC581" s="310" t="e">
        <f t="shared" ref="AC581:AC644" ca="1" si="286">IF(ABS(t-ROUND(t,0))&lt;0.001,t,NA())</f>
        <v>#N/A</v>
      </c>
      <c r="AD581" s="323" t="e">
        <f t="shared" ref="AD581:AD644" ca="1" si="287">IF(ABS(t-ROUND(t,0))&lt;0.001,pos_x,NA())</f>
        <v>#N/A</v>
      </c>
      <c r="AE581" s="324" t="e">
        <f t="shared" ca="1" si="266"/>
        <v>#N/A</v>
      </c>
      <c r="AG581" s="306">
        <f t="shared" ref="AG581:AG644" ca="1" si="288">IF(AND(L580&lt;L_rampe,Poussee&lt;Poids*SIN(M580)),0,(-W580+Poussee)/m-Poids*SIN(M580)/m)</f>
        <v>0.85137871194461034</v>
      </c>
      <c r="AH581" s="304">
        <f t="shared" ref="AH581:AH644" ca="1" si="289">IF(AND(L580&lt;L_rampe,Poussee&lt;Poids*SIN(M580)), g*SIN(M580), (-W580+Poussee)/m)</f>
        <v>-8.9318765565071843</v>
      </c>
    </row>
    <row r="582" spans="1:34" x14ac:dyDescent="0.2">
      <c r="A582" s="347">
        <f t="shared" ca="1" si="267"/>
        <v>1E-4</v>
      </c>
      <c r="B582" s="304">
        <f t="shared" ca="1" si="268"/>
        <v>28.620200000000093</v>
      </c>
      <c r="D582" s="306">
        <f t="shared" ca="1" si="269"/>
        <v>-0.65908738382845278</v>
      </c>
      <c r="E582" s="307">
        <f t="shared" ca="1" si="270"/>
        <v>-0.90244955641591673</v>
      </c>
      <c r="F582" s="304">
        <f t="shared" ca="1" si="271"/>
        <v>1.1175022959247642</v>
      </c>
      <c r="G582" s="306">
        <f t="shared" ca="1" si="272"/>
        <v>7.2864743670674175</v>
      </c>
      <c r="H582" s="307">
        <f t="shared" ca="1" si="273"/>
        <v>-98.477510172084536</v>
      </c>
      <c r="I582" s="304">
        <f t="shared" ca="1" si="274"/>
        <v>98.746709911748169</v>
      </c>
      <c r="J582" s="306">
        <f t="shared" ca="1" si="275"/>
        <v>678.53524446899166</v>
      </c>
      <c r="K582" s="307">
        <f t="shared" ca="1" si="276"/>
        <v>-4.8601699927036481</v>
      </c>
      <c r="L582" s="304">
        <f t="shared" ca="1" si="261"/>
        <v>678.55265030721989</v>
      </c>
      <c r="M582" s="306">
        <f t="shared" ca="1" si="277"/>
        <v>-1.4969396587858075</v>
      </c>
      <c r="N582" s="304">
        <f t="shared" ca="1" si="278"/>
        <v>-85.768324634180317</v>
      </c>
      <c r="P582" s="310">
        <f t="shared" ca="1" si="279"/>
        <v>23</v>
      </c>
      <c r="Q582" s="304">
        <f t="shared" ca="1" si="280"/>
        <v>0</v>
      </c>
      <c r="R582" s="306">
        <f t="shared" ca="1" si="281"/>
        <v>0</v>
      </c>
      <c r="S582" s="307">
        <f t="shared" ca="1" si="282"/>
        <v>4.341000000000002</v>
      </c>
      <c r="T582" s="304">
        <f t="shared" ca="1" si="262"/>
        <v>42.585210000000025</v>
      </c>
      <c r="U582" s="311">
        <f t="shared" ca="1" si="263"/>
        <v>0</v>
      </c>
      <c r="V582" s="306">
        <f t="shared" ca="1" si="264"/>
        <v>1.2255955155394438</v>
      </c>
      <c r="W582" s="304">
        <f t="shared" ca="1" si="265"/>
        <v>38.77348621536629</v>
      </c>
      <c r="Y582" s="314" t="str">
        <f t="shared" ca="1" si="283"/>
        <v/>
      </c>
      <c r="Z582" s="315" t="str">
        <f t="shared" ca="1" si="284"/>
        <v/>
      </c>
      <c r="AA582" s="316" t="str">
        <f t="shared" ca="1" si="285"/>
        <v/>
      </c>
      <c r="AC582" s="310" t="e">
        <f t="shared" ca="1" si="286"/>
        <v>#N/A</v>
      </c>
      <c r="AD582" s="323" t="e">
        <f t="shared" ca="1" si="287"/>
        <v>#N/A</v>
      </c>
      <c r="AE582" s="324" t="e">
        <f t="shared" ca="1" si="266"/>
        <v>#N/A</v>
      </c>
      <c r="AG582" s="306">
        <f t="shared" ca="1" si="288"/>
        <v>0.85135504482506441</v>
      </c>
      <c r="AH582" s="304">
        <f t="shared" ca="1" si="289"/>
        <v>-8.9319007542917106</v>
      </c>
    </row>
    <row r="583" spans="1:34" x14ac:dyDescent="0.2">
      <c r="A583" s="347">
        <f t="shared" ca="1" si="267"/>
        <v>1E-4</v>
      </c>
      <c r="B583" s="304">
        <f t="shared" ca="1" si="268"/>
        <v>28.620300000000093</v>
      </c>
      <c r="D583" s="306">
        <f t="shared" ca="1" si="269"/>
        <v>-0.65908263948600043</v>
      </c>
      <c r="E583" s="307">
        <f t="shared" ca="1" si="270"/>
        <v>-0.90242494181049793</v>
      </c>
      <c r="F583" s="304">
        <f t="shared" ca="1" si="271"/>
        <v>1.1174796200707706</v>
      </c>
      <c r="G583" s="306">
        <f t="shared" ca="1" si="272"/>
        <v>7.2864084588034688</v>
      </c>
      <c r="H583" s="307">
        <f t="shared" ca="1" si="273"/>
        <v>-98.477600414578717</v>
      </c>
      <c r="I583" s="304">
        <f t="shared" ca="1" si="274"/>
        <v>98.746795044912503</v>
      </c>
      <c r="J583" s="306">
        <f t="shared" ca="1" si="275"/>
        <v>678.53524446899166</v>
      </c>
      <c r="K583" s="307">
        <f t="shared" ca="1" si="276"/>
        <v>-4.8700177482329812</v>
      </c>
      <c r="L583" s="304">
        <f t="shared" ca="1" si="261"/>
        <v>678.5527209137565</v>
      </c>
      <c r="M583" s="306">
        <f t="shared" ca="1" si="277"/>
        <v>-1.4969403918479729</v>
      </c>
      <c r="N583" s="304">
        <f t="shared" ca="1" si="278"/>
        <v>-85.768366635548503</v>
      </c>
      <c r="P583" s="310">
        <f t="shared" ca="1" si="279"/>
        <v>23</v>
      </c>
      <c r="Q583" s="304">
        <f t="shared" ca="1" si="280"/>
        <v>0</v>
      </c>
      <c r="R583" s="306">
        <f t="shared" ca="1" si="281"/>
        <v>0</v>
      </c>
      <c r="S583" s="307">
        <f t="shared" ca="1" si="282"/>
        <v>4.341000000000002</v>
      </c>
      <c r="T583" s="304">
        <f t="shared" ca="1" si="262"/>
        <v>42.585210000000025</v>
      </c>
      <c r="U583" s="311">
        <f t="shared" ca="1" si="263"/>
        <v>0</v>
      </c>
      <c r="V583" s="306">
        <f t="shared" ca="1" si="264"/>
        <v>1.2255967224766111</v>
      </c>
      <c r="W583" s="304">
        <f t="shared" ca="1" si="265"/>
        <v>38.773591254755587</v>
      </c>
      <c r="Y583" s="314" t="str">
        <f t="shared" ca="1" si="283"/>
        <v/>
      </c>
      <c r="Z583" s="315" t="str">
        <f t="shared" ca="1" si="284"/>
        <v/>
      </c>
      <c r="AA583" s="316" t="str">
        <f t="shared" ca="1" si="285"/>
        <v/>
      </c>
      <c r="AC583" s="310" t="e">
        <f t="shared" ca="1" si="286"/>
        <v>#N/A</v>
      </c>
      <c r="AD583" s="323" t="e">
        <f t="shared" ca="1" si="287"/>
        <v>#N/A</v>
      </c>
      <c r="AE583" s="324" t="e">
        <f t="shared" ca="1" si="266"/>
        <v>#N/A</v>
      </c>
      <c r="AG583" s="306">
        <f t="shared" ca="1" si="288"/>
        <v>0.85133137806235659</v>
      </c>
      <c r="AH583" s="304">
        <f t="shared" ca="1" si="289"/>
        <v>-8.9319249517084245</v>
      </c>
    </row>
    <row r="584" spans="1:34" x14ac:dyDescent="0.2">
      <c r="A584" s="347">
        <f t="shared" ca="1" si="267"/>
        <v>1E-4</v>
      </c>
      <c r="B584" s="304">
        <f t="shared" ca="1" si="268"/>
        <v>28.620400000000092</v>
      </c>
      <c r="D584" s="306">
        <f t="shared" ca="1" si="269"/>
        <v>-0.65907789515099724</v>
      </c>
      <c r="E584" s="307">
        <f t="shared" ca="1" si="270"/>
        <v>-0.90240032757925803</v>
      </c>
      <c r="F584" s="304">
        <f t="shared" ca="1" si="271"/>
        <v>1.1174569446255282</v>
      </c>
      <c r="G584" s="306">
        <f t="shared" ca="1" si="272"/>
        <v>7.2863425510139539</v>
      </c>
      <c r="H584" s="307">
        <f t="shared" ca="1" si="273"/>
        <v>-98.477690654611479</v>
      </c>
      <c r="I584" s="304">
        <f t="shared" ca="1" si="274"/>
        <v>98.746880175710203</v>
      </c>
      <c r="J584" s="306">
        <f t="shared" ca="1" si="275"/>
        <v>678.53524446899166</v>
      </c>
      <c r="K584" s="307">
        <f t="shared" ca="1" si="276"/>
        <v>-4.8798655127864405</v>
      </c>
      <c r="L584" s="304">
        <f t="shared" ca="1" si="261"/>
        <v>678.55279166327</v>
      </c>
      <c r="M584" s="306">
        <f t="shared" ca="1" si="277"/>
        <v>-1.4969411249022435</v>
      </c>
      <c r="N584" s="304">
        <f t="shared" ca="1" si="278"/>
        <v>-85.768408636464372</v>
      </c>
      <c r="P584" s="310">
        <f t="shared" ca="1" si="279"/>
        <v>23</v>
      </c>
      <c r="Q584" s="304">
        <f t="shared" ca="1" si="280"/>
        <v>0</v>
      </c>
      <c r="R584" s="306">
        <f t="shared" ca="1" si="281"/>
        <v>0</v>
      </c>
      <c r="S584" s="307">
        <f t="shared" ca="1" si="282"/>
        <v>4.341000000000002</v>
      </c>
      <c r="T584" s="304">
        <f t="shared" ca="1" si="262"/>
        <v>42.585210000000025</v>
      </c>
      <c r="U584" s="311">
        <f t="shared" ca="1" si="263"/>
        <v>0</v>
      </c>
      <c r="V584" s="306">
        <f t="shared" ca="1" si="264"/>
        <v>1.2255979294160733</v>
      </c>
      <c r="W584" s="304">
        <f t="shared" ca="1" si="265"/>
        <v>38.773696292548259</v>
      </c>
      <c r="Y584" s="314" t="str">
        <f t="shared" ca="1" si="283"/>
        <v/>
      </c>
      <c r="Z584" s="315" t="str">
        <f t="shared" ca="1" si="284"/>
        <v/>
      </c>
      <c r="AA584" s="316" t="str">
        <f t="shared" ca="1" si="285"/>
        <v/>
      </c>
      <c r="AC584" s="310" t="e">
        <f t="shared" ca="1" si="286"/>
        <v>#N/A</v>
      </c>
      <c r="AD584" s="323" t="e">
        <f t="shared" ca="1" si="287"/>
        <v>#N/A</v>
      </c>
      <c r="AE584" s="324" t="e">
        <f t="shared" ca="1" si="266"/>
        <v>#N/A</v>
      </c>
      <c r="AG584" s="306">
        <f t="shared" ca="1" si="288"/>
        <v>0.85130771165648689</v>
      </c>
      <c r="AH584" s="304">
        <f t="shared" ca="1" si="289"/>
        <v>-8.9319491487573295</v>
      </c>
    </row>
    <row r="585" spans="1:34" x14ac:dyDescent="0.2">
      <c r="A585" s="347">
        <f t="shared" ca="1" si="267"/>
        <v>1E-4</v>
      </c>
      <c r="B585" s="304">
        <f t="shared" ca="1" si="268"/>
        <v>28.620500000000092</v>
      </c>
      <c r="D585" s="306">
        <f t="shared" ca="1" si="269"/>
        <v>-0.65907315082344531</v>
      </c>
      <c r="E585" s="307">
        <f t="shared" ca="1" si="270"/>
        <v>-0.90237571372218817</v>
      </c>
      <c r="F585" s="304">
        <f t="shared" ca="1" si="271"/>
        <v>1.1174342695890316</v>
      </c>
      <c r="G585" s="306">
        <f t="shared" ca="1" si="272"/>
        <v>7.286276643698872</v>
      </c>
      <c r="H585" s="307">
        <f t="shared" ca="1" si="273"/>
        <v>-98.477780892182849</v>
      </c>
      <c r="I585" s="304">
        <f t="shared" ca="1" si="274"/>
        <v>98.746965304141298</v>
      </c>
      <c r="J585" s="306">
        <f t="shared" ca="1" si="275"/>
        <v>678.53524446899166</v>
      </c>
      <c r="K585" s="307">
        <f t="shared" ca="1" si="276"/>
        <v>-4.8897132863637802</v>
      </c>
      <c r="L585" s="304">
        <f t="shared" ca="1" si="261"/>
        <v>678.55286255576073</v>
      </c>
      <c r="M585" s="306">
        <f t="shared" ca="1" si="277"/>
        <v>-1.4969418579486196</v>
      </c>
      <c r="N585" s="304">
        <f t="shared" ca="1" si="278"/>
        <v>-85.768450636927909</v>
      </c>
      <c r="P585" s="310">
        <f t="shared" ca="1" si="279"/>
        <v>23</v>
      </c>
      <c r="Q585" s="304">
        <f t="shared" ca="1" si="280"/>
        <v>0</v>
      </c>
      <c r="R585" s="306">
        <f t="shared" ca="1" si="281"/>
        <v>0</v>
      </c>
      <c r="S585" s="307">
        <f t="shared" ca="1" si="282"/>
        <v>4.341000000000002</v>
      </c>
      <c r="T585" s="304">
        <f t="shared" ca="1" si="262"/>
        <v>42.585210000000025</v>
      </c>
      <c r="U585" s="311">
        <f t="shared" ca="1" si="263"/>
        <v>0</v>
      </c>
      <c r="V585" s="306">
        <f t="shared" ca="1" si="264"/>
        <v>1.2255991363578302</v>
      </c>
      <c r="W585" s="304">
        <f t="shared" ca="1" si="265"/>
        <v>38.773801328744298</v>
      </c>
      <c r="Y585" s="314" t="str">
        <f t="shared" ca="1" si="283"/>
        <v/>
      </c>
      <c r="Z585" s="315" t="str">
        <f t="shared" ca="1" si="284"/>
        <v/>
      </c>
      <c r="AA585" s="316" t="str">
        <f t="shared" ca="1" si="285"/>
        <v/>
      </c>
      <c r="AC585" s="310" t="e">
        <f t="shared" ca="1" si="286"/>
        <v>#N/A</v>
      </c>
      <c r="AD585" s="323" t="e">
        <f t="shared" ca="1" si="287"/>
        <v>#N/A</v>
      </c>
      <c r="AE585" s="324" t="e">
        <f t="shared" ca="1" si="266"/>
        <v>#N/A</v>
      </c>
      <c r="AG585" s="306">
        <f t="shared" ca="1" si="288"/>
        <v>0.85128404560744464</v>
      </c>
      <c r="AH585" s="304">
        <f t="shared" ca="1" si="289"/>
        <v>-8.9319733454384345</v>
      </c>
    </row>
    <row r="586" spans="1:34" x14ac:dyDescent="0.2">
      <c r="A586" s="347">
        <f t="shared" ca="1" si="267"/>
        <v>1E-4</v>
      </c>
      <c r="B586" s="304">
        <f t="shared" ca="1" si="268"/>
        <v>28.620600000000092</v>
      </c>
      <c r="D586" s="306">
        <f t="shared" ca="1" si="269"/>
        <v>-0.65906840650334375</v>
      </c>
      <c r="E586" s="307">
        <f t="shared" ca="1" si="270"/>
        <v>-0.90235110023929188</v>
      </c>
      <c r="F586" s="304">
        <f t="shared" ca="1" si="271"/>
        <v>1.1174115949612826</v>
      </c>
      <c r="G586" s="306">
        <f t="shared" ca="1" si="272"/>
        <v>7.2862107368582212</v>
      </c>
      <c r="H586" s="307">
        <f t="shared" ca="1" si="273"/>
        <v>-98.477871127292872</v>
      </c>
      <c r="I586" s="304">
        <f t="shared" ca="1" si="274"/>
        <v>98.747050430205817</v>
      </c>
      <c r="J586" s="306">
        <f t="shared" ca="1" si="275"/>
        <v>678.53524446899166</v>
      </c>
      <c r="K586" s="307">
        <f t="shared" ca="1" si="276"/>
        <v>-4.8995610689647542</v>
      </c>
      <c r="L586" s="304">
        <f t="shared" ca="1" si="261"/>
        <v>678.55293359122902</v>
      </c>
      <c r="M586" s="306">
        <f t="shared" ca="1" si="277"/>
        <v>-1.496942590987101</v>
      </c>
      <c r="N586" s="304">
        <f t="shared" ca="1" si="278"/>
        <v>-85.768492636939115</v>
      </c>
      <c r="P586" s="310">
        <f t="shared" ca="1" si="279"/>
        <v>23</v>
      </c>
      <c r="Q586" s="304">
        <f t="shared" ca="1" si="280"/>
        <v>0</v>
      </c>
      <c r="R586" s="306">
        <f t="shared" ca="1" si="281"/>
        <v>0</v>
      </c>
      <c r="S586" s="307">
        <f t="shared" ca="1" si="282"/>
        <v>4.341000000000002</v>
      </c>
      <c r="T586" s="304">
        <f t="shared" ca="1" si="262"/>
        <v>42.585210000000025</v>
      </c>
      <c r="U586" s="311">
        <f t="shared" ca="1" si="263"/>
        <v>0</v>
      </c>
      <c r="V586" s="306">
        <f t="shared" ca="1" si="264"/>
        <v>1.2256003433018816</v>
      </c>
      <c r="W586" s="304">
        <f t="shared" ca="1" si="265"/>
        <v>38.77390636334372</v>
      </c>
      <c r="Y586" s="314" t="str">
        <f t="shared" ca="1" si="283"/>
        <v/>
      </c>
      <c r="Z586" s="315" t="str">
        <f t="shared" ca="1" si="284"/>
        <v/>
      </c>
      <c r="AA586" s="316" t="str">
        <f t="shared" ca="1" si="285"/>
        <v/>
      </c>
      <c r="AC586" s="310" t="e">
        <f t="shared" ca="1" si="286"/>
        <v>#N/A</v>
      </c>
      <c r="AD586" s="323" t="e">
        <f t="shared" ca="1" si="287"/>
        <v>#N/A</v>
      </c>
      <c r="AE586" s="324" t="e">
        <f t="shared" ca="1" si="266"/>
        <v>#N/A</v>
      </c>
      <c r="AG586" s="306">
        <f t="shared" ca="1" si="288"/>
        <v>0.85126037991523695</v>
      </c>
      <c r="AH586" s="304">
        <f t="shared" ca="1" si="289"/>
        <v>-8.9319975417517341</v>
      </c>
    </row>
    <row r="587" spans="1:34" x14ac:dyDescent="0.2">
      <c r="A587" s="347">
        <f t="shared" ca="1" si="267"/>
        <v>1E-4</v>
      </c>
      <c r="B587" s="304">
        <f t="shared" ca="1" si="268"/>
        <v>28.620700000000092</v>
      </c>
      <c r="D587" s="306">
        <f t="shared" ca="1" si="269"/>
        <v>-0.65906366219069434</v>
      </c>
      <c r="E587" s="307">
        <f t="shared" ca="1" si="270"/>
        <v>-0.90232648713056385</v>
      </c>
      <c r="F587" s="304">
        <f t="shared" ca="1" si="271"/>
        <v>1.1173889207422782</v>
      </c>
      <c r="G587" s="306">
        <f t="shared" ca="1" si="272"/>
        <v>7.2861448304920025</v>
      </c>
      <c r="H587" s="307">
        <f t="shared" ca="1" si="273"/>
        <v>-98.477961359941588</v>
      </c>
      <c r="I587" s="304">
        <f t="shared" ca="1" si="274"/>
        <v>98.747135553903817</v>
      </c>
      <c r="J587" s="306">
        <f t="shared" ca="1" si="275"/>
        <v>678.53524446899166</v>
      </c>
      <c r="K587" s="307">
        <f t="shared" ca="1" si="276"/>
        <v>-4.9094088605891155</v>
      </c>
      <c r="L587" s="304">
        <f t="shared" ca="1" si="261"/>
        <v>678.55300476967511</v>
      </c>
      <c r="M587" s="306">
        <f t="shared" ca="1" si="277"/>
        <v>-1.4969433240176881</v>
      </c>
      <c r="N587" s="304">
        <f t="shared" ca="1" si="278"/>
        <v>-85.768534636498003</v>
      </c>
      <c r="P587" s="310">
        <f t="shared" ca="1" si="279"/>
        <v>23</v>
      </c>
      <c r="Q587" s="304">
        <f t="shared" ca="1" si="280"/>
        <v>0</v>
      </c>
      <c r="R587" s="306">
        <f t="shared" ca="1" si="281"/>
        <v>0</v>
      </c>
      <c r="S587" s="307">
        <f t="shared" ca="1" si="282"/>
        <v>4.341000000000002</v>
      </c>
      <c r="T587" s="304">
        <f t="shared" ca="1" si="262"/>
        <v>42.585210000000025</v>
      </c>
      <c r="U587" s="311">
        <f t="shared" ca="1" si="263"/>
        <v>0</v>
      </c>
      <c r="V587" s="306">
        <f t="shared" ca="1" si="264"/>
        <v>1.2256015502482283</v>
      </c>
      <c r="W587" s="304">
        <f t="shared" ca="1" si="265"/>
        <v>38.774011396346573</v>
      </c>
      <c r="Y587" s="314" t="str">
        <f t="shared" ca="1" si="283"/>
        <v/>
      </c>
      <c r="Z587" s="315" t="str">
        <f t="shared" ca="1" si="284"/>
        <v/>
      </c>
      <c r="AA587" s="316" t="str">
        <f t="shared" ca="1" si="285"/>
        <v/>
      </c>
      <c r="AC587" s="310" t="e">
        <f t="shared" ca="1" si="286"/>
        <v>#N/A</v>
      </c>
      <c r="AD587" s="323" t="e">
        <f t="shared" ca="1" si="287"/>
        <v>#N/A</v>
      </c>
      <c r="AE587" s="324" t="e">
        <f t="shared" ca="1" si="266"/>
        <v>#N/A</v>
      </c>
      <c r="AG587" s="306">
        <f t="shared" ca="1" si="288"/>
        <v>0.85123671457985495</v>
      </c>
      <c r="AH587" s="304">
        <f t="shared" ca="1" si="289"/>
        <v>-8.9320217376972355</v>
      </c>
    </row>
    <row r="588" spans="1:34" x14ac:dyDescent="0.2">
      <c r="A588" s="347">
        <f t="shared" ca="1" si="267"/>
        <v>1E-4</v>
      </c>
      <c r="B588" s="304">
        <f t="shared" ca="1" si="268"/>
        <v>28.620800000000092</v>
      </c>
      <c r="D588" s="306">
        <f t="shared" ca="1" si="269"/>
        <v>-0.65905891788549742</v>
      </c>
      <c r="E588" s="307">
        <f t="shared" ca="1" si="270"/>
        <v>-0.90230187439599341</v>
      </c>
      <c r="F588" s="304">
        <f t="shared" ca="1" si="271"/>
        <v>1.1173662469320103</v>
      </c>
      <c r="G588" s="306">
        <f t="shared" ca="1" si="272"/>
        <v>7.286078924600214</v>
      </c>
      <c r="H588" s="307">
        <f t="shared" ca="1" si="273"/>
        <v>-98.478051590129027</v>
      </c>
      <c r="I588" s="304">
        <f t="shared" ca="1" si="274"/>
        <v>98.747220675235297</v>
      </c>
      <c r="J588" s="306">
        <f t="shared" ca="1" si="275"/>
        <v>678.53524446899166</v>
      </c>
      <c r="K588" s="307">
        <f t="shared" ca="1" si="276"/>
        <v>-4.9192566612366191</v>
      </c>
      <c r="L588" s="304">
        <f t="shared" ca="1" si="261"/>
        <v>678.55307609109946</v>
      </c>
      <c r="M588" s="306">
        <f t="shared" ca="1" si="277"/>
        <v>-1.4969440570403809</v>
      </c>
      <c r="N588" s="304">
        <f t="shared" ca="1" si="278"/>
        <v>-85.768576635604589</v>
      </c>
      <c r="P588" s="310">
        <f t="shared" ca="1" si="279"/>
        <v>23</v>
      </c>
      <c r="Q588" s="304">
        <f t="shared" ca="1" si="280"/>
        <v>0</v>
      </c>
      <c r="R588" s="306">
        <f t="shared" ca="1" si="281"/>
        <v>0</v>
      </c>
      <c r="S588" s="307">
        <f t="shared" ca="1" si="282"/>
        <v>4.341000000000002</v>
      </c>
      <c r="T588" s="304">
        <f t="shared" ca="1" si="262"/>
        <v>42.585210000000025</v>
      </c>
      <c r="U588" s="311">
        <f t="shared" ca="1" si="263"/>
        <v>0</v>
      </c>
      <c r="V588" s="306">
        <f t="shared" ca="1" si="264"/>
        <v>1.2256027571968693</v>
      </c>
      <c r="W588" s="304">
        <f t="shared" ca="1" si="265"/>
        <v>38.77411642775283</v>
      </c>
      <c r="Y588" s="314" t="str">
        <f t="shared" ca="1" si="283"/>
        <v/>
      </c>
      <c r="Z588" s="315" t="str">
        <f t="shared" ca="1" si="284"/>
        <v/>
      </c>
      <c r="AA588" s="316" t="str">
        <f t="shared" ca="1" si="285"/>
        <v/>
      </c>
      <c r="AC588" s="310" t="e">
        <f t="shared" ca="1" si="286"/>
        <v>#N/A</v>
      </c>
      <c r="AD588" s="323" t="e">
        <f t="shared" ca="1" si="287"/>
        <v>#N/A</v>
      </c>
      <c r="AE588" s="324" t="e">
        <f t="shared" ca="1" si="266"/>
        <v>#N/A</v>
      </c>
      <c r="AG588" s="306">
        <f t="shared" ca="1" si="288"/>
        <v>0.85121304960128974</v>
      </c>
      <c r="AH588" s="304">
        <f t="shared" ca="1" si="289"/>
        <v>-8.9320459332749493</v>
      </c>
    </row>
    <row r="589" spans="1:34" x14ac:dyDescent="0.2">
      <c r="A589" s="347">
        <f t="shared" ca="1" si="267"/>
        <v>1E-4</v>
      </c>
      <c r="B589" s="304">
        <f t="shared" ca="1" si="268"/>
        <v>28.620900000000091</v>
      </c>
      <c r="D589" s="306">
        <f t="shared" ca="1" si="269"/>
        <v>-0.65905417358775376</v>
      </c>
      <c r="E589" s="307">
        <f t="shared" ca="1" si="270"/>
        <v>-0.90227726203558589</v>
      </c>
      <c r="F589" s="304">
        <f t="shared" ca="1" si="271"/>
        <v>1.1173435735304833</v>
      </c>
      <c r="G589" s="306">
        <f t="shared" ca="1" si="272"/>
        <v>7.2860130191828549</v>
      </c>
      <c r="H589" s="307">
        <f t="shared" ca="1" si="273"/>
        <v>-98.478141817855231</v>
      </c>
      <c r="I589" s="304">
        <f t="shared" ca="1" si="274"/>
        <v>98.747305794200329</v>
      </c>
      <c r="J589" s="306">
        <f t="shared" ca="1" si="275"/>
        <v>678.53524446899166</v>
      </c>
      <c r="K589" s="307">
        <f t="shared" ca="1" si="276"/>
        <v>-4.929104470907018</v>
      </c>
      <c r="L589" s="304">
        <f t="shared" ca="1" si="261"/>
        <v>678.55314755550239</v>
      </c>
      <c r="M589" s="306">
        <f t="shared" ca="1" si="277"/>
        <v>-1.4969447900551796</v>
      </c>
      <c r="N589" s="304">
        <f t="shared" ca="1" si="278"/>
        <v>-85.768618634258871</v>
      </c>
      <c r="P589" s="310">
        <f t="shared" ca="1" si="279"/>
        <v>23</v>
      </c>
      <c r="Q589" s="304">
        <f t="shared" ca="1" si="280"/>
        <v>0</v>
      </c>
      <c r="R589" s="306">
        <f t="shared" ca="1" si="281"/>
        <v>0</v>
      </c>
      <c r="S589" s="307">
        <f t="shared" ca="1" si="282"/>
        <v>4.341000000000002</v>
      </c>
      <c r="T589" s="304">
        <f t="shared" ca="1" si="262"/>
        <v>42.585210000000025</v>
      </c>
      <c r="U589" s="311">
        <f t="shared" ca="1" si="263"/>
        <v>0</v>
      </c>
      <c r="V589" s="306">
        <f t="shared" ca="1" si="264"/>
        <v>1.2256039641478051</v>
      </c>
      <c r="W589" s="304">
        <f t="shared" ca="1" si="265"/>
        <v>38.774221457562554</v>
      </c>
      <c r="Y589" s="314" t="str">
        <f t="shared" ca="1" si="283"/>
        <v/>
      </c>
      <c r="Z589" s="315" t="str">
        <f t="shared" ca="1" si="284"/>
        <v/>
      </c>
      <c r="AA589" s="316" t="str">
        <f t="shared" ca="1" si="285"/>
        <v/>
      </c>
      <c r="AC589" s="310" t="e">
        <f t="shared" ca="1" si="286"/>
        <v>#N/A</v>
      </c>
      <c r="AD589" s="323" t="e">
        <f t="shared" ca="1" si="287"/>
        <v>#N/A</v>
      </c>
      <c r="AE589" s="324" t="e">
        <f t="shared" ca="1" si="266"/>
        <v>#N/A</v>
      </c>
      <c r="AG589" s="306">
        <f t="shared" ca="1" si="288"/>
        <v>0.85118938497954844</v>
      </c>
      <c r="AH589" s="304">
        <f t="shared" ca="1" si="289"/>
        <v>-8.9320701284848685</v>
      </c>
    </row>
    <row r="590" spans="1:34" x14ac:dyDescent="0.2">
      <c r="A590" s="347">
        <f t="shared" ca="1" si="267"/>
        <v>1E-4</v>
      </c>
      <c r="B590" s="304">
        <f t="shared" ca="1" si="268"/>
        <v>28.621000000000091</v>
      </c>
      <c r="D590" s="306">
        <f t="shared" ca="1" si="269"/>
        <v>-0.65904942929746368</v>
      </c>
      <c r="E590" s="307">
        <f t="shared" ca="1" si="270"/>
        <v>-0.90225265004932709</v>
      </c>
      <c r="F590" s="304">
        <f t="shared" ca="1" si="271"/>
        <v>1.1173209005376863</v>
      </c>
      <c r="G590" s="306">
        <f t="shared" ca="1" si="272"/>
        <v>7.2859471142399252</v>
      </c>
      <c r="H590" s="307">
        <f t="shared" ca="1" si="273"/>
        <v>-98.478232043120229</v>
      </c>
      <c r="I590" s="304">
        <f t="shared" ca="1" si="274"/>
        <v>98.747390910798913</v>
      </c>
      <c r="J590" s="306">
        <f t="shared" ca="1" si="275"/>
        <v>678.53524446899166</v>
      </c>
      <c r="K590" s="307">
        <f t="shared" ca="1" si="276"/>
        <v>-4.938952289600067</v>
      </c>
      <c r="L590" s="304">
        <f t="shared" ca="1" si="261"/>
        <v>678.55321916288426</v>
      </c>
      <c r="M590" s="306">
        <f t="shared" ca="1" si="277"/>
        <v>-1.4969455230620841</v>
      </c>
      <c r="N590" s="304">
        <f t="shared" ca="1" si="278"/>
        <v>-85.768660632460865</v>
      </c>
      <c r="P590" s="310">
        <f t="shared" ca="1" si="279"/>
        <v>23</v>
      </c>
      <c r="Q590" s="304">
        <f t="shared" ca="1" si="280"/>
        <v>0</v>
      </c>
      <c r="R590" s="306">
        <f t="shared" ca="1" si="281"/>
        <v>0</v>
      </c>
      <c r="S590" s="307">
        <f t="shared" ca="1" si="282"/>
        <v>4.341000000000002</v>
      </c>
      <c r="T590" s="304">
        <f t="shared" ca="1" si="262"/>
        <v>42.585210000000025</v>
      </c>
      <c r="U590" s="311">
        <f t="shared" ca="1" si="263"/>
        <v>0</v>
      </c>
      <c r="V590" s="306">
        <f t="shared" ca="1" si="264"/>
        <v>1.2256051711010361</v>
      </c>
      <c r="W590" s="304">
        <f t="shared" ca="1" si="265"/>
        <v>38.774326485775724</v>
      </c>
      <c r="Y590" s="314" t="str">
        <f t="shared" ca="1" si="283"/>
        <v/>
      </c>
      <c r="Z590" s="315" t="str">
        <f t="shared" ca="1" si="284"/>
        <v/>
      </c>
      <c r="AA590" s="316" t="str">
        <f t="shared" ca="1" si="285"/>
        <v/>
      </c>
      <c r="AC590" s="310" t="e">
        <f t="shared" ca="1" si="286"/>
        <v>#N/A</v>
      </c>
      <c r="AD590" s="323" t="e">
        <f t="shared" ca="1" si="287"/>
        <v>#N/A</v>
      </c>
      <c r="AE590" s="324" t="e">
        <f t="shared" ca="1" si="266"/>
        <v>#N/A</v>
      </c>
      <c r="AG590" s="306">
        <f t="shared" ca="1" si="288"/>
        <v>0.85116572071461682</v>
      </c>
      <c r="AH590" s="304">
        <f t="shared" ca="1" si="289"/>
        <v>-8.9320943233270071</v>
      </c>
    </row>
    <row r="591" spans="1:34" x14ac:dyDescent="0.2">
      <c r="A591" s="347">
        <f t="shared" ca="1" si="267"/>
        <v>1E-4</v>
      </c>
      <c r="B591" s="304">
        <f t="shared" ca="1" si="268"/>
        <v>28.621100000000091</v>
      </c>
      <c r="D591" s="306">
        <f t="shared" ca="1" si="269"/>
        <v>-0.65904468501462854</v>
      </c>
      <c r="E591" s="307">
        <f t="shared" ca="1" si="270"/>
        <v>-0.9022280384372241</v>
      </c>
      <c r="F591" s="304">
        <f t="shared" ca="1" si="271"/>
        <v>1.1172982279536257</v>
      </c>
      <c r="G591" s="306">
        <f t="shared" ca="1" si="272"/>
        <v>7.2858812097714241</v>
      </c>
      <c r="H591" s="307">
        <f t="shared" ca="1" si="273"/>
        <v>-98.478322265924078</v>
      </c>
      <c r="I591" s="304">
        <f t="shared" ca="1" si="274"/>
        <v>98.747476025031133</v>
      </c>
      <c r="J591" s="306">
        <f t="shared" ca="1" si="275"/>
        <v>678.53524446899166</v>
      </c>
      <c r="K591" s="307">
        <f t="shared" ca="1" si="276"/>
        <v>-4.9488001173155194</v>
      </c>
      <c r="L591" s="304">
        <f t="shared" ca="1" si="261"/>
        <v>678.55329091324541</v>
      </c>
      <c r="M591" s="306">
        <f t="shared" ca="1" si="277"/>
        <v>-1.4969462560610947</v>
      </c>
      <c r="N591" s="304">
        <f t="shared" ca="1" si="278"/>
        <v>-85.768702630210555</v>
      </c>
      <c r="P591" s="310">
        <f t="shared" ca="1" si="279"/>
        <v>23</v>
      </c>
      <c r="Q591" s="304">
        <f t="shared" ca="1" si="280"/>
        <v>0</v>
      </c>
      <c r="R591" s="306">
        <f t="shared" ca="1" si="281"/>
        <v>0</v>
      </c>
      <c r="S591" s="307">
        <f t="shared" ca="1" si="282"/>
        <v>4.341000000000002</v>
      </c>
      <c r="T591" s="304">
        <f t="shared" ca="1" si="262"/>
        <v>42.585210000000025</v>
      </c>
      <c r="U591" s="311">
        <f t="shared" ca="1" si="263"/>
        <v>0</v>
      </c>
      <c r="V591" s="306">
        <f t="shared" ca="1" si="264"/>
        <v>1.2256063780565611</v>
      </c>
      <c r="W591" s="304">
        <f t="shared" ca="1" si="265"/>
        <v>38.774431512392383</v>
      </c>
      <c r="Y591" s="314" t="str">
        <f t="shared" ca="1" si="283"/>
        <v/>
      </c>
      <c r="Z591" s="315" t="str">
        <f t="shared" ca="1" si="284"/>
        <v/>
      </c>
      <c r="AA591" s="316" t="str">
        <f t="shared" ca="1" si="285"/>
        <v/>
      </c>
      <c r="AC591" s="310" t="e">
        <f t="shared" ca="1" si="286"/>
        <v>#N/A</v>
      </c>
      <c r="AD591" s="323" t="e">
        <f t="shared" ca="1" si="287"/>
        <v>#N/A</v>
      </c>
      <c r="AE591" s="324" t="e">
        <f t="shared" ca="1" si="266"/>
        <v>#N/A</v>
      </c>
      <c r="AG591" s="306">
        <f t="shared" ca="1" si="288"/>
        <v>0.85114205680650024</v>
      </c>
      <c r="AH591" s="304">
        <f t="shared" ca="1" si="289"/>
        <v>-8.93211851780136</v>
      </c>
    </row>
    <row r="592" spans="1:34" x14ac:dyDescent="0.2">
      <c r="A592" s="347">
        <f t="shared" ca="1" si="267"/>
        <v>1E-4</v>
      </c>
      <c r="B592" s="304">
        <f t="shared" ca="1" si="268"/>
        <v>28.621200000000091</v>
      </c>
      <c r="D592" s="306">
        <f t="shared" ca="1" si="269"/>
        <v>-0.65903994073924832</v>
      </c>
      <c r="E592" s="307">
        <f t="shared" ca="1" si="270"/>
        <v>-0.9022034271992645</v>
      </c>
      <c r="F592" s="304">
        <f t="shared" ca="1" si="271"/>
        <v>1.1172755557782916</v>
      </c>
      <c r="G592" s="306">
        <f t="shared" ca="1" si="272"/>
        <v>7.2858153057773505</v>
      </c>
      <c r="H592" s="307">
        <f t="shared" ca="1" si="273"/>
        <v>-98.478412486266791</v>
      </c>
      <c r="I592" s="304">
        <f t="shared" ca="1" si="274"/>
        <v>98.747561136896977</v>
      </c>
      <c r="J592" s="306">
        <f t="shared" ca="1" si="275"/>
        <v>678.53524446899166</v>
      </c>
      <c r="K592" s="307">
        <f t="shared" ca="1" si="276"/>
        <v>-4.958647954053129</v>
      </c>
      <c r="L592" s="304">
        <f t="shared" ca="1" si="261"/>
        <v>678.55336280658616</v>
      </c>
      <c r="M592" s="306">
        <f t="shared" ca="1" si="277"/>
        <v>-1.4969469890522114</v>
      </c>
      <c r="N592" s="304">
        <f t="shared" ca="1" si="278"/>
        <v>-85.768744627507957</v>
      </c>
      <c r="P592" s="310">
        <f t="shared" ca="1" si="279"/>
        <v>23</v>
      </c>
      <c r="Q592" s="304">
        <f t="shared" ca="1" si="280"/>
        <v>0</v>
      </c>
      <c r="R592" s="306">
        <f t="shared" ca="1" si="281"/>
        <v>0</v>
      </c>
      <c r="S592" s="307">
        <f t="shared" ca="1" si="282"/>
        <v>4.341000000000002</v>
      </c>
      <c r="T592" s="304">
        <f t="shared" ca="1" si="262"/>
        <v>42.585210000000025</v>
      </c>
      <c r="U592" s="311">
        <f t="shared" ca="1" si="263"/>
        <v>0</v>
      </c>
      <c r="V592" s="306">
        <f t="shared" ca="1" si="264"/>
        <v>1.2256075850143808</v>
      </c>
      <c r="W592" s="304">
        <f t="shared" ca="1" si="265"/>
        <v>38.774536537412523</v>
      </c>
      <c r="Y592" s="314" t="str">
        <f t="shared" ca="1" si="283"/>
        <v/>
      </c>
      <c r="Z592" s="315" t="str">
        <f t="shared" ca="1" si="284"/>
        <v/>
      </c>
      <c r="AA592" s="316" t="str">
        <f t="shared" ca="1" si="285"/>
        <v/>
      </c>
      <c r="AC592" s="310" t="e">
        <f t="shared" ca="1" si="286"/>
        <v>#N/A</v>
      </c>
      <c r="AD592" s="323" t="e">
        <f t="shared" ca="1" si="287"/>
        <v>#N/A</v>
      </c>
      <c r="AE592" s="324" t="e">
        <f t="shared" ca="1" si="266"/>
        <v>#N/A</v>
      </c>
      <c r="AG592" s="306">
        <f t="shared" ca="1" si="288"/>
        <v>0.85111839325518623</v>
      </c>
      <c r="AH592" s="304">
        <f t="shared" ca="1" si="289"/>
        <v>-8.9321427119079395</v>
      </c>
    </row>
    <row r="593" spans="1:34" x14ac:dyDescent="0.2">
      <c r="A593" s="347">
        <f t="shared" ca="1" si="267"/>
        <v>1E-4</v>
      </c>
      <c r="B593" s="304">
        <f t="shared" ca="1" si="268"/>
        <v>28.62130000000009</v>
      </c>
      <c r="D593" s="306">
        <f t="shared" ca="1" si="269"/>
        <v>-0.65903519647132425</v>
      </c>
      <c r="E593" s="307">
        <f t="shared" ca="1" si="270"/>
        <v>-0.90217881633545183</v>
      </c>
      <c r="F593" s="304">
        <f t="shared" ca="1" si="271"/>
        <v>1.1172528840116878</v>
      </c>
      <c r="G593" s="306">
        <f t="shared" ca="1" si="272"/>
        <v>7.2857494022577036</v>
      </c>
      <c r="H593" s="307">
        <f t="shared" ca="1" si="273"/>
        <v>-98.478502704148426</v>
      </c>
      <c r="I593" s="304">
        <f t="shared" ca="1" si="274"/>
        <v>98.747646246396513</v>
      </c>
      <c r="J593" s="306">
        <f t="shared" ca="1" si="275"/>
        <v>678.53524446899166</v>
      </c>
      <c r="K593" s="307">
        <f t="shared" ca="1" si="276"/>
        <v>-4.9684957998126498</v>
      </c>
      <c r="L593" s="304">
        <f t="shared" ca="1" si="261"/>
        <v>678.55343484290688</v>
      </c>
      <c r="M593" s="306">
        <f t="shared" ca="1" si="277"/>
        <v>-1.4969477220354344</v>
      </c>
      <c r="N593" s="304">
        <f t="shared" ca="1" si="278"/>
        <v>-85.768786624353098</v>
      </c>
      <c r="P593" s="310">
        <f t="shared" ca="1" si="279"/>
        <v>23</v>
      </c>
      <c r="Q593" s="304">
        <f t="shared" ca="1" si="280"/>
        <v>0</v>
      </c>
      <c r="R593" s="306">
        <f t="shared" ca="1" si="281"/>
        <v>0</v>
      </c>
      <c r="S593" s="307">
        <f t="shared" ca="1" si="282"/>
        <v>4.341000000000002</v>
      </c>
      <c r="T593" s="304">
        <f t="shared" ca="1" si="262"/>
        <v>42.585210000000025</v>
      </c>
      <c r="U593" s="311">
        <f t="shared" ca="1" si="263"/>
        <v>0</v>
      </c>
      <c r="V593" s="306">
        <f t="shared" ca="1" si="264"/>
        <v>1.2256087919744958</v>
      </c>
      <c r="W593" s="304">
        <f t="shared" ca="1" si="265"/>
        <v>38.774641560836223</v>
      </c>
      <c r="Y593" s="314" t="str">
        <f t="shared" ca="1" si="283"/>
        <v/>
      </c>
      <c r="Z593" s="315" t="str">
        <f t="shared" ca="1" si="284"/>
        <v/>
      </c>
      <c r="AA593" s="316" t="str">
        <f t="shared" ca="1" si="285"/>
        <v/>
      </c>
      <c r="AC593" s="310" t="e">
        <f t="shared" ca="1" si="286"/>
        <v>#N/A</v>
      </c>
      <c r="AD593" s="323" t="e">
        <f t="shared" ca="1" si="287"/>
        <v>#N/A</v>
      </c>
      <c r="AE593" s="324" t="e">
        <f t="shared" ca="1" si="266"/>
        <v>#N/A</v>
      </c>
      <c r="AG593" s="306">
        <f t="shared" ca="1" si="288"/>
        <v>0.85109473006068015</v>
      </c>
      <c r="AH593" s="304">
        <f t="shared" ca="1" si="289"/>
        <v>-8.9321669056467421</v>
      </c>
    </row>
    <row r="594" spans="1:34" x14ac:dyDescent="0.2">
      <c r="A594" s="347">
        <f t="shared" ca="1" si="267"/>
        <v>1E-4</v>
      </c>
      <c r="B594" s="304">
        <f t="shared" ca="1" si="268"/>
        <v>28.62140000000009</v>
      </c>
      <c r="D594" s="306">
        <f t="shared" ca="1" si="269"/>
        <v>-0.65903045221085721</v>
      </c>
      <c r="E594" s="307">
        <f t="shared" ca="1" si="270"/>
        <v>-0.90215420584576478</v>
      </c>
      <c r="F594" s="304">
        <f t="shared" ca="1" si="271"/>
        <v>1.1172302126537974</v>
      </c>
      <c r="G594" s="306">
        <f t="shared" ca="1" si="272"/>
        <v>7.2856834992124826</v>
      </c>
      <c r="H594" s="307">
        <f t="shared" ca="1" si="273"/>
        <v>-98.47859291956901</v>
      </c>
      <c r="I594" s="304">
        <f t="shared" ca="1" si="274"/>
        <v>98.747731353529758</v>
      </c>
      <c r="J594" s="306">
        <f t="shared" ca="1" si="275"/>
        <v>678.53524446899166</v>
      </c>
      <c r="K594" s="307">
        <f t="shared" ca="1" si="276"/>
        <v>-4.9783436545938358</v>
      </c>
      <c r="L594" s="304">
        <f t="shared" ca="1" si="261"/>
        <v>678.5535070222079</v>
      </c>
      <c r="M594" s="306">
        <f t="shared" ca="1" si="277"/>
        <v>-1.4969484550107637</v>
      </c>
      <c r="N594" s="304">
        <f t="shared" ca="1" si="278"/>
        <v>-85.76882862074595</v>
      </c>
      <c r="P594" s="310">
        <f t="shared" ca="1" si="279"/>
        <v>23</v>
      </c>
      <c r="Q594" s="304">
        <f t="shared" ca="1" si="280"/>
        <v>0</v>
      </c>
      <c r="R594" s="306">
        <f t="shared" ca="1" si="281"/>
        <v>0</v>
      </c>
      <c r="S594" s="307">
        <f t="shared" ca="1" si="282"/>
        <v>4.341000000000002</v>
      </c>
      <c r="T594" s="304">
        <f t="shared" ca="1" si="262"/>
        <v>42.585210000000025</v>
      </c>
      <c r="U594" s="311">
        <f t="shared" ca="1" si="263"/>
        <v>0</v>
      </c>
      <c r="V594" s="306">
        <f t="shared" ca="1" si="264"/>
        <v>1.2256099989369049</v>
      </c>
      <c r="W594" s="304">
        <f t="shared" ca="1" si="265"/>
        <v>38.774746582663425</v>
      </c>
      <c r="Y594" s="314" t="str">
        <f t="shared" ca="1" si="283"/>
        <v/>
      </c>
      <c r="Z594" s="315" t="str">
        <f t="shared" ca="1" si="284"/>
        <v/>
      </c>
      <c r="AA594" s="316" t="str">
        <f t="shared" ca="1" si="285"/>
        <v/>
      </c>
      <c r="AC594" s="310" t="e">
        <f t="shared" ca="1" si="286"/>
        <v>#N/A</v>
      </c>
      <c r="AD594" s="323" t="e">
        <f t="shared" ca="1" si="287"/>
        <v>#N/A</v>
      </c>
      <c r="AE594" s="324" t="e">
        <f t="shared" ca="1" si="266"/>
        <v>#N/A</v>
      </c>
      <c r="AG594" s="306">
        <f t="shared" ca="1" si="288"/>
        <v>0.85107106722296066</v>
      </c>
      <c r="AH594" s="304">
        <f t="shared" ca="1" si="289"/>
        <v>-8.9321910990177855</v>
      </c>
    </row>
    <row r="595" spans="1:34" x14ac:dyDescent="0.2">
      <c r="A595" s="347">
        <f t="shared" ca="1" si="267"/>
        <v>1E-4</v>
      </c>
      <c r="B595" s="304">
        <f t="shared" ca="1" si="268"/>
        <v>28.62150000000009</v>
      </c>
      <c r="D595" s="306">
        <f t="shared" ca="1" si="269"/>
        <v>-0.65902570795784754</v>
      </c>
      <c r="E595" s="307">
        <f t="shared" ca="1" si="270"/>
        <v>-0.90212959573021934</v>
      </c>
      <c r="F595" s="304">
        <f t="shared" ca="1" si="271"/>
        <v>1.1172075417046339</v>
      </c>
      <c r="G595" s="306">
        <f t="shared" ca="1" si="272"/>
        <v>7.2856175966416865</v>
      </c>
      <c r="H595" s="307">
        <f t="shared" ca="1" si="273"/>
        <v>-98.478683132528587</v>
      </c>
      <c r="I595" s="304">
        <f t="shared" ca="1" si="274"/>
        <v>98.747816458296768</v>
      </c>
      <c r="J595" s="306">
        <f t="shared" ca="1" si="275"/>
        <v>678.53524446899166</v>
      </c>
      <c r="K595" s="307">
        <f t="shared" ca="1" si="276"/>
        <v>-4.9881915183964409</v>
      </c>
      <c r="L595" s="304">
        <f t="shared" ca="1" si="261"/>
        <v>678.55357934448955</v>
      </c>
      <c r="M595" s="306">
        <f t="shared" ca="1" si="277"/>
        <v>-1.4969491879781995</v>
      </c>
      <c r="N595" s="304">
        <f t="shared" ca="1" si="278"/>
        <v>-85.768870616686542</v>
      </c>
      <c r="P595" s="310">
        <f t="shared" ca="1" si="279"/>
        <v>23</v>
      </c>
      <c r="Q595" s="304">
        <f t="shared" ca="1" si="280"/>
        <v>0</v>
      </c>
      <c r="R595" s="306">
        <f t="shared" ca="1" si="281"/>
        <v>0</v>
      </c>
      <c r="S595" s="307">
        <f t="shared" ca="1" si="282"/>
        <v>4.341000000000002</v>
      </c>
      <c r="T595" s="304">
        <f t="shared" ca="1" si="262"/>
        <v>42.585210000000025</v>
      </c>
      <c r="U595" s="311">
        <f t="shared" ca="1" si="263"/>
        <v>0</v>
      </c>
      <c r="V595" s="306">
        <f t="shared" ca="1" si="264"/>
        <v>1.2256112059016084</v>
      </c>
      <c r="W595" s="304">
        <f t="shared" ca="1" si="265"/>
        <v>38.774851602894174</v>
      </c>
      <c r="Y595" s="314" t="str">
        <f t="shared" ca="1" si="283"/>
        <v/>
      </c>
      <c r="Z595" s="315" t="str">
        <f t="shared" ca="1" si="284"/>
        <v/>
      </c>
      <c r="AA595" s="316" t="str">
        <f t="shared" ca="1" si="285"/>
        <v/>
      </c>
      <c r="AC595" s="310" t="e">
        <f t="shared" ca="1" si="286"/>
        <v>#N/A</v>
      </c>
      <c r="AD595" s="323" t="e">
        <f t="shared" ca="1" si="287"/>
        <v>#N/A</v>
      </c>
      <c r="AE595" s="324" t="e">
        <f t="shared" ca="1" si="266"/>
        <v>#N/A</v>
      </c>
      <c r="AG595" s="306">
        <f t="shared" ca="1" si="288"/>
        <v>0.85104740474204732</v>
      </c>
      <c r="AH595" s="304">
        <f t="shared" ca="1" si="289"/>
        <v>-8.9322152920210574</v>
      </c>
    </row>
    <row r="596" spans="1:34" x14ac:dyDescent="0.2">
      <c r="A596" s="347">
        <f t="shared" ca="1" si="267"/>
        <v>1E-4</v>
      </c>
      <c r="B596" s="304">
        <f t="shared" ca="1" si="268"/>
        <v>28.62160000000009</v>
      </c>
      <c r="D596" s="306">
        <f t="shared" ca="1" si="269"/>
        <v>-0.65902096371229535</v>
      </c>
      <c r="E596" s="307">
        <f t="shared" ca="1" si="270"/>
        <v>-0.90210498598880484</v>
      </c>
      <c r="F596" s="304">
        <f t="shared" ca="1" si="271"/>
        <v>1.1171848711641885</v>
      </c>
      <c r="G596" s="306">
        <f t="shared" ca="1" si="272"/>
        <v>7.2855516945453154</v>
      </c>
      <c r="H596" s="307">
        <f t="shared" ca="1" si="273"/>
        <v>-98.478773343027186</v>
      </c>
      <c r="I596" s="304">
        <f t="shared" ca="1" si="274"/>
        <v>98.747901560697557</v>
      </c>
      <c r="J596" s="306">
        <f t="shared" ca="1" si="275"/>
        <v>678.53524446899166</v>
      </c>
      <c r="K596" s="307">
        <f t="shared" ca="1" si="276"/>
        <v>-4.9980393912202183</v>
      </c>
      <c r="L596" s="304">
        <f t="shared" ca="1" si="261"/>
        <v>678.5536518097523</v>
      </c>
      <c r="M596" s="306">
        <f t="shared" ca="1" si="277"/>
        <v>-1.4969499209377419</v>
      </c>
      <c r="N596" s="304">
        <f t="shared" ca="1" si="278"/>
        <v>-85.768912612174873</v>
      </c>
      <c r="P596" s="310">
        <f t="shared" ca="1" si="279"/>
        <v>23</v>
      </c>
      <c r="Q596" s="304">
        <f t="shared" ca="1" si="280"/>
        <v>0</v>
      </c>
      <c r="R596" s="306">
        <f t="shared" ca="1" si="281"/>
        <v>0</v>
      </c>
      <c r="S596" s="307">
        <f t="shared" ca="1" si="282"/>
        <v>4.341000000000002</v>
      </c>
      <c r="T596" s="304">
        <f t="shared" ca="1" si="262"/>
        <v>42.585210000000025</v>
      </c>
      <c r="U596" s="311">
        <f t="shared" ca="1" si="263"/>
        <v>0</v>
      </c>
      <c r="V596" s="306">
        <f t="shared" ca="1" si="264"/>
        <v>1.2256124128686066</v>
      </c>
      <c r="W596" s="304">
        <f t="shared" ca="1" si="265"/>
        <v>38.77495662152851</v>
      </c>
      <c r="Y596" s="314" t="str">
        <f t="shared" ca="1" si="283"/>
        <v/>
      </c>
      <c r="Z596" s="315" t="str">
        <f t="shared" ca="1" si="284"/>
        <v/>
      </c>
      <c r="AA596" s="316" t="str">
        <f t="shared" ca="1" si="285"/>
        <v/>
      </c>
      <c r="AC596" s="310" t="e">
        <f t="shared" ca="1" si="286"/>
        <v>#N/A</v>
      </c>
      <c r="AD596" s="323" t="e">
        <f t="shared" ca="1" si="287"/>
        <v>#N/A</v>
      </c>
      <c r="AE596" s="324" t="e">
        <f t="shared" ca="1" si="266"/>
        <v>#N/A</v>
      </c>
      <c r="AG596" s="306">
        <f t="shared" ca="1" si="288"/>
        <v>0.85102374261792413</v>
      </c>
      <c r="AH596" s="304">
        <f t="shared" ca="1" si="289"/>
        <v>-8.9322394846565665</v>
      </c>
    </row>
    <row r="597" spans="1:34" x14ac:dyDescent="0.2">
      <c r="A597" s="347">
        <f t="shared" ca="1" si="267"/>
        <v>1E-4</v>
      </c>
      <c r="B597" s="304">
        <f t="shared" ca="1" si="268"/>
        <v>28.621700000000089</v>
      </c>
      <c r="D597" s="306">
        <f t="shared" ca="1" si="269"/>
        <v>-0.65901621947420286</v>
      </c>
      <c r="E597" s="307">
        <f t="shared" ca="1" si="270"/>
        <v>-0.90208037662150886</v>
      </c>
      <c r="F597" s="304">
        <f t="shared" ca="1" si="271"/>
        <v>1.1171622010324527</v>
      </c>
      <c r="G597" s="306">
        <f t="shared" ca="1" si="272"/>
        <v>7.2854857929233683</v>
      </c>
      <c r="H597" s="307">
        <f t="shared" ca="1" si="273"/>
        <v>-98.478863551064848</v>
      </c>
      <c r="I597" s="304">
        <f t="shared" ca="1" si="274"/>
        <v>98.747986660732153</v>
      </c>
      <c r="J597" s="306">
        <f t="shared" ca="1" si="275"/>
        <v>678.53524446899166</v>
      </c>
      <c r="K597" s="307">
        <f t="shared" ca="1" si="276"/>
        <v>-5.0078872730649229</v>
      </c>
      <c r="L597" s="304">
        <f t="shared" ca="1" si="261"/>
        <v>678.55372441799625</v>
      </c>
      <c r="M597" s="306">
        <f t="shared" ca="1" si="277"/>
        <v>-1.4969506538893911</v>
      </c>
      <c r="N597" s="304">
        <f t="shared" ca="1" si="278"/>
        <v>-85.768954607210958</v>
      </c>
      <c r="P597" s="310">
        <f t="shared" ca="1" si="279"/>
        <v>23</v>
      </c>
      <c r="Q597" s="304">
        <f t="shared" ca="1" si="280"/>
        <v>0</v>
      </c>
      <c r="R597" s="306">
        <f t="shared" ca="1" si="281"/>
        <v>0</v>
      </c>
      <c r="S597" s="307">
        <f t="shared" ca="1" si="282"/>
        <v>4.341000000000002</v>
      </c>
      <c r="T597" s="304">
        <f t="shared" ca="1" si="262"/>
        <v>42.585210000000025</v>
      </c>
      <c r="U597" s="311">
        <f t="shared" ca="1" si="263"/>
        <v>0</v>
      </c>
      <c r="V597" s="306">
        <f t="shared" ca="1" si="264"/>
        <v>1.2256136198378995</v>
      </c>
      <c r="W597" s="304">
        <f t="shared" ca="1" si="265"/>
        <v>38.775061638566399</v>
      </c>
      <c r="Y597" s="314" t="str">
        <f t="shared" ca="1" si="283"/>
        <v/>
      </c>
      <c r="Z597" s="315" t="str">
        <f t="shared" ca="1" si="284"/>
        <v/>
      </c>
      <c r="AA597" s="316" t="str">
        <f t="shared" ca="1" si="285"/>
        <v/>
      </c>
      <c r="AC597" s="310" t="e">
        <f t="shared" ca="1" si="286"/>
        <v>#N/A</v>
      </c>
      <c r="AD597" s="323" t="e">
        <f t="shared" ca="1" si="287"/>
        <v>#N/A</v>
      </c>
      <c r="AE597" s="324" t="e">
        <f t="shared" ca="1" si="266"/>
        <v>#N/A</v>
      </c>
      <c r="AG597" s="306">
        <f t="shared" ca="1" si="288"/>
        <v>0.85100008085058576</v>
      </c>
      <c r="AH597" s="304">
        <f t="shared" ca="1" si="289"/>
        <v>-8.9322636769243253</v>
      </c>
    </row>
    <row r="598" spans="1:34" x14ac:dyDescent="0.2">
      <c r="A598" s="347">
        <f t="shared" ca="1" si="267"/>
        <v>1E-4</v>
      </c>
      <c r="B598" s="304">
        <f t="shared" ca="1" si="268"/>
        <v>28.621800000000089</v>
      </c>
      <c r="D598" s="306">
        <f t="shared" ca="1" si="269"/>
        <v>-0.65901147524356862</v>
      </c>
      <c r="E598" s="307">
        <f t="shared" ca="1" si="270"/>
        <v>-0.90205576762834561</v>
      </c>
      <c r="F598" s="304">
        <f t="shared" ca="1" si="271"/>
        <v>1.117139531309437</v>
      </c>
      <c r="G598" s="306">
        <f t="shared" ca="1" si="272"/>
        <v>7.2854198917758444</v>
      </c>
      <c r="H598" s="307">
        <f t="shared" ca="1" si="273"/>
        <v>-98.478953756641616</v>
      </c>
      <c r="I598" s="304">
        <f t="shared" ca="1" si="274"/>
        <v>98.748071758400627</v>
      </c>
      <c r="J598" s="306">
        <f t="shared" ca="1" si="275"/>
        <v>678.53524446899166</v>
      </c>
      <c r="K598" s="307">
        <f t="shared" ca="1" si="276"/>
        <v>-5.0177351639303085</v>
      </c>
      <c r="L598" s="304">
        <f t="shared" ca="1" si="261"/>
        <v>678.55379716922198</v>
      </c>
      <c r="M598" s="306">
        <f t="shared" ca="1" si="277"/>
        <v>-1.496951386833147</v>
      </c>
      <c r="N598" s="304">
        <f t="shared" ca="1" si="278"/>
        <v>-85.768996601794797</v>
      </c>
      <c r="P598" s="310">
        <f t="shared" ca="1" si="279"/>
        <v>23</v>
      </c>
      <c r="Q598" s="304">
        <f t="shared" ca="1" si="280"/>
        <v>0</v>
      </c>
      <c r="R598" s="306">
        <f t="shared" ca="1" si="281"/>
        <v>0</v>
      </c>
      <c r="S598" s="307">
        <f t="shared" ca="1" si="282"/>
        <v>4.341000000000002</v>
      </c>
      <c r="T598" s="304">
        <f t="shared" ca="1" si="262"/>
        <v>42.585210000000025</v>
      </c>
      <c r="U598" s="311">
        <f t="shared" ca="1" si="263"/>
        <v>0</v>
      </c>
      <c r="V598" s="306">
        <f t="shared" ca="1" si="264"/>
        <v>1.2256148268094864</v>
      </c>
      <c r="W598" s="304">
        <f t="shared" ca="1" si="265"/>
        <v>38.775166654007911</v>
      </c>
      <c r="Y598" s="314" t="str">
        <f t="shared" ca="1" si="283"/>
        <v/>
      </c>
      <c r="Z598" s="315" t="str">
        <f t="shared" ca="1" si="284"/>
        <v/>
      </c>
      <c r="AA598" s="316" t="str">
        <f t="shared" ca="1" si="285"/>
        <v/>
      </c>
      <c r="AC598" s="310" t="e">
        <f t="shared" ca="1" si="286"/>
        <v>#N/A</v>
      </c>
      <c r="AD598" s="323" t="e">
        <f t="shared" ca="1" si="287"/>
        <v>#N/A</v>
      </c>
      <c r="AE598" s="324" t="e">
        <f t="shared" ca="1" si="266"/>
        <v>#N/A</v>
      </c>
      <c r="AG598" s="306">
        <f t="shared" ca="1" si="288"/>
        <v>0.85097641944003755</v>
      </c>
      <c r="AH598" s="304">
        <f t="shared" ca="1" si="289"/>
        <v>-8.9322878688243215</v>
      </c>
    </row>
    <row r="599" spans="1:34" x14ac:dyDescent="0.2">
      <c r="A599" s="347">
        <f t="shared" ca="1" si="267"/>
        <v>1E-4</v>
      </c>
      <c r="B599" s="304">
        <f t="shared" ca="1" si="268"/>
        <v>28.621900000000089</v>
      </c>
      <c r="D599" s="306">
        <f t="shared" ca="1" si="269"/>
        <v>-0.65900673102039542</v>
      </c>
      <c r="E599" s="307">
        <f t="shared" ca="1" si="270"/>
        <v>-0.90203115900929198</v>
      </c>
      <c r="F599" s="304">
        <f t="shared" ca="1" si="271"/>
        <v>1.1171168619951246</v>
      </c>
      <c r="G599" s="306">
        <f t="shared" ca="1" si="272"/>
        <v>7.2853539911027427</v>
      </c>
      <c r="H599" s="307">
        <f t="shared" ca="1" si="273"/>
        <v>-98.479043959757519</v>
      </c>
      <c r="I599" s="304">
        <f t="shared" ca="1" si="274"/>
        <v>98.748156853702994</v>
      </c>
      <c r="J599" s="306">
        <f t="shared" ca="1" si="275"/>
        <v>678.53524446899166</v>
      </c>
      <c r="K599" s="307">
        <f t="shared" ca="1" si="276"/>
        <v>-5.0275830638161283</v>
      </c>
      <c r="L599" s="304">
        <f t="shared" ca="1" si="261"/>
        <v>678.55387006342971</v>
      </c>
      <c r="M599" s="306">
        <f t="shared" ca="1" si="277"/>
        <v>-1.4969521197690097</v>
      </c>
      <c r="N599" s="304">
        <f t="shared" ca="1" si="278"/>
        <v>-85.769038595926375</v>
      </c>
      <c r="P599" s="310">
        <f t="shared" ca="1" si="279"/>
        <v>23</v>
      </c>
      <c r="Q599" s="304">
        <f t="shared" ca="1" si="280"/>
        <v>0</v>
      </c>
      <c r="R599" s="306">
        <f t="shared" ca="1" si="281"/>
        <v>0</v>
      </c>
      <c r="S599" s="307">
        <f t="shared" ca="1" si="282"/>
        <v>4.341000000000002</v>
      </c>
      <c r="T599" s="304">
        <f t="shared" ca="1" si="262"/>
        <v>42.585210000000025</v>
      </c>
      <c r="U599" s="311">
        <f t="shared" ca="1" si="263"/>
        <v>0</v>
      </c>
      <c r="V599" s="306">
        <f t="shared" ca="1" si="264"/>
        <v>1.2256160337833686</v>
      </c>
      <c r="W599" s="304">
        <f t="shared" ca="1" si="265"/>
        <v>38.775271667853069</v>
      </c>
      <c r="Y599" s="314" t="str">
        <f t="shared" ca="1" si="283"/>
        <v/>
      </c>
      <c r="Z599" s="315" t="str">
        <f t="shared" ca="1" si="284"/>
        <v/>
      </c>
      <c r="AA599" s="316" t="str">
        <f t="shared" ca="1" si="285"/>
        <v/>
      </c>
      <c r="AC599" s="310" t="e">
        <f t="shared" ca="1" si="286"/>
        <v>#N/A</v>
      </c>
      <c r="AD599" s="323" t="e">
        <f t="shared" ca="1" si="287"/>
        <v>#N/A</v>
      </c>
      <c r="AE599" s="324" t="e">
        <f t="shared" ca="1" si="266"/>
        <v>#N/A</v>
      </c>
      <c r="AG599" s="306">
        <f t="shared" ca="1" si="288"/>
        <v>0.85095275838626527</v>
      </c>
      <c r="AH599" s="304">
        <f t="shared" ca="1" si="289"/>
        <v>-8.9323120603565762</v>
      </c>
    </row>
    <row r="600" spans="1:34" x14ac:dyDescent="0.2">
      <c r="A600" s="347">
        <f t="shared" ca="1" si="267"/>
        <v>1E-4</v>
      </c>
      <c r="B600" s="304">
        <f t="shared" ca="1" si="268"/>
        <v>28.622000000000089</v>
      </c>
      <c r="D600" s="306">
        <f t="shared" ca="1" si="269"/>
        <v>-0.65900198680468502</v>
      </c>
      <c r="E600" s="307">
        <f t="shared" ca="1" si="270"/>
        <v>-0.90200655076434799</v>
      </c>
      <c r="F600" s="304">
        <f t="shared" ca="1" si="271"/>
        <v>1.1170941930895169</v>
      </c>
      <c r="G600" s="306">
        <f t="shared" ca="1" si="272"/>
        <v>7.2852880909040625</v>
      </c>
      <c r="H600" s="307">
        <f t="shared" ca="1" si="273"/>
        <v>-98.479134160412599</v>
      </c>
      <c r="I600" s="304">
        <f t="shared" ca="1" si="274"/>
        <v>98.748241946639297</v>
      </c>
      <c r="J600" s="306">
        <f t="shared" ca="1" si="275"/>
        <v>678.53524446899166</v>
      </c>
      <c r="K600" s="307">
        <f t="shared" ca="1" si="276"/>
        <v>-5.0374309727221371</v>
      </c>
      <c r="L600" s="304">
        <f t="shared" ca="1" si="261"/>
        <v>678.55394310061979</v>
      </c>
      <c r="M600" s="306">
        <f t="shared" ca="1" si="277"/>
        <v>-1.4969528526969795</v>
      </c>
      <c r="N600" s="304">
        <f t="shared" ca="1" si="278"/>
        <v>-85.769080589605736</v>
      </c>
      <c r="P600" s="310">
        <f t="shared" ca="1" si="279"/>
        <v>23</v>
      </c>
      <c r="Q600" s="304">
        <f t="shared" ca="1" si="280"/>
        <v>0</v>
      </c>
      <c r="R600" s="306">
        <f t="shared" ca="1" si="281"/>
        <v>0</v>
      </c>
      <c r="S600" s="307">
        <f t="shared" ca="1" si="282"/>
        <v>4.341000000000002</v>
      </c>
      <c r="T600" s="304">
        <f t="shared" ca="1" si="262"/>
        <v>42.585210000000025</v>
      </c>
      <c r="U600" s="311">
        <f t="shared" ca="1" si="263"/>
        <v>0</v>
      </c>
      <c r="V600" s="306">
        <f t="shared" ca="1" si="264"/>
        <v>1.2256172407595447</v>
      </c>
      <c r="W600" s="304">
        <f t="shared" ca="1" si="265"/>
        <v>38.775376680101843</v>
      </c>
      <c r="Y600" s="314" t="str">
        <f t="shared" ca="1" si="283"/>
        <v/>
      </c>
      <c r="Z600" s="315" t="str">
        <f t="shared" ca="1" si="284"/>
        <v/>
      </c>
      <c r="AA600" s="316" t="str">
        <f t="shared" ca="1" si="285"/>
        <v/>
      </c>
      <c r="AC600" s="310" t="e">
        <f t="shared" ca="1" si="286"/>
        <v>#N/A</v>
      </c>
      <c r="AD600" s="323" t="e">
        <f t="shared" ca="1" si="287"/>
        <v>#N/A</v>
      </c>
      <c r="AE600" s="324" t="e">
        <f t="shared" ca="1" si="266"/>
        <v>#N/A</v>
      </c>
      <c r="AG600" s="306">
        <f t="shared" ca="1" si="288"/>
        <v>0.85092909768926361</v>
      </c>
      <c r="AH600" s="304">
        <f t="shared" ca="1" si="289"/>
        <v>-8.9323362515210896</v>
      </c>
    </row>
    <row r="601" spans="1:34" x14ac:dyDescent="0.2">
      <c r="A601" s="347">
        <f t="shared" ca="1" si="267"/>
        <v>1E-4</v>
      </c>
      <c r="B601" s="304">
        <f t="shared" ca="1" si="268"/>
        <v>28.622100000000088</v>
      </c>
      <c r="D601" s="306">
        <f t="shared" ca="1" si="269"/>
        <v>-0.65899724259643455</v>
      </c>
      <c r="E601" s="307">
        <f t="shared" ca="1" si="270"/>
        <v>-0.90198194289351541</v>
      </c>
      <c r="F601" s="304">
        <f t="shared" ca="1" si="271"/>
        <v>1.1170715245926131</v>
      </c>
      <c r="G601" s="306">
        <f t="shared" ca="1" si="272"/>
        <v>7.2852221911798027</v>
      </c>
      <c r="H601" s="307">
        <f t="shared" ca="1" si="273"/>
        <v>-98.479224358606885</v>
      </c>
      <c r="I601" s="304">
        <f t="shared" ca="1" si="274"/>
        <v>98.748327037209549</v>
      </c>
      <c r="J601" s="306">
        <f t="shared" ca="1" si="275"/>
        <v>678.53524446899166</v>
      </c>
      <c r="K601" s="307">
        <f t="shared" ca="1" si="276"/>
        <v>-5.0472788906480881</v>
      </c>
      <c r="L601" s="304">
        <f t="shared" ca="1" si="261"/>
        <v>678.55401628079267</v>
      </c>
      <c r="M601" s="306">
        <f t="shared" ca="1" si="277"/>
        <v>-1.4969535856170564</v>
      </c>
      <c r="N601" s="304">
        <f t="shared" ca="1" si="278"/>
        <v>-85.769122582832864</v>
      </c>
      <c r="P601" s="310">
        <f t="shared" ca="1" si="279"/>
        <v>23</v>
      </c>
      <c r="Q601" s="304">
        <f t="shared" ca="1" si="280"/>
        <v>0</v>
      </c>
      <c r="R601" s="306">
        <f t="shared" ca="1" si="281"/>
        <v>0</v>
      </c>
      <c r="S601" s="307">
        <f t="shared" ca="1" si="282"/>
        <v>4.341000000000002</v>
      </c>
      <c r="T601" s="304">
        <f t="shared" ca="1" si="262"/>
        <v>42.585210000000025</v>
      </c>
      <c r="U601" s="311">
        <f t="shared" ca="1" si="263"/>
        <v>0</v>
      </c>
      <c r="V601" s="306">
        <f t="shared" ca="1" si="264"/>
        <v>1.2256184477380152</v>
      </c>
      <c r="W601" s="304">
        <f t="shared" ca="1" si="265"/>
        <v>38.775481690754262</v>
      </c>
      <c r="Y601" s="314" t="str">
        <f t="shared" ca="1" si="283"/>
        <v/>
      </c>
      <c r="Z601" s="315" t="str">
        <f t="shared" ca="1" si="284"/>
        <v/>
      </c>
      <c r="AA601" s="316" t="str">
        <f t="shared" ca="1" si="285"/>
        <v/>
      </c>
      <c r="AC601" s="310" t="e">
        <f t="shared" ca="1" si="286"/>
        <v>#N/A</v>
      </c>
      <c r="AD601" s="323" t="e">
        <f t="shared" ca="1" si="287"/>
        <v>#N/A</v>
      </c>
      <c r="AE601" s="324" t="e">
        <f t="shared" ca="1" si="266"/>
        <v>#N/A</v>
      </c>
      <c r="AG601" s="306">
        <f t="shared" ca="1" si="288"/>
        <v>0.85090543734903612</v>
      </c>
      <c r="AH601" s="304">
        <f t="shared" ca="1" si="289"/>
        <v>-8.9323604423178598</v>
      </c>
    </row>
    <row r="602" spans="1:34" x14ac:dyDescent="0.2">
      <c r="A602" s="347">
        <f t="shared" ca="1" si="267"/>
        <v>1E-4</v>
      </c>
      <c r="B602" s="304">
        <f t="shared" ca="1" si="268"/>
        <v>28.622200000000088</v>
      </c>
      <c r="D602" s="306">
        <f t="shared" ca="1" si="269"/>
        <v>-0.65899249839564744</v>
      </c>
      <c r="E602" s="307">
        <f t="shared" ca="1" si="270"/>
        <v>-0.90195733539679246</v>
      </c>
      <c r="F602" s="304">
        <f t="shared" ca="1" si="271"/>
        <v>1.1170488565044141</v>
      </c>
      <c r="G602" s="306">
        <f t="shared" ca="1" si="272"/>
        <v>7.2851562919299635</v>
      </c>
      <c r="H602" s="307">
        <f t="shared" ca="1" si="273"/>
        <v>-98.479314554340419</v>
      </c>
      <c r="I602" s="304">
        <f t="shared" ca="1" si="274"/>
        <v>98.748412125413807</v>
      </c>
      <c r="J602" s="306">
        <f t="shared" ca="1" si="275"/>
        <v>678.53524446899166</v>
      </c>
      <c r="K602" s="307">
        <f t="shared" ca="1" si="276"/>
        <v>-5.0571268175937352</v>
      </c>
      <c r="L602" s="304">
        <f t="shared" ca="1" si="261"/>
        <v>678.55408960394857</v>
      </c>
      <c r="M602" s="306">
        <f t="shared" ca="1" si="277"/>
        <v>-1.4969543185292407</v>
      </c>
      <c r="N602" s="304">
        <f t="shared" ca="1" si="278"/>
        <v>-85.769164575607775</v>
      </c>
      <c r="P602" s="310">
        <f t="shared" ca="1" si="279"/>
        <v>23</v>
      </c>
      <c r="Q602" s="304">
        <f t="shared" ca="1" si="280"/>
        <v>0</v>
      </c>
      <c r="R602" s="306">
        <f t="shared" ca="1" si="281"/>
        <v>0</v>
      </c>
      <c r="S602" s="307">
        <f t="shared" ca="1" si="282"/>
        <v>4.341000000000002</v>
      </c>
      <c r="T602" s="304">
        <f t="shared" ca="1" si="262"/>
        <v>42.585210000000025</v>
      </c>
      <c r="U602" s="311">
        <f t="shared" ca="1" si="263"/>
        <v>0</v>
      </c>
      <c r="V602" s="306">
        <f t="shared" ca="1" si="264"/>
        <v>1.2256196547187803</v>
      </c>
      <c r="W602" s="304">
        <f t="shared" ca="1" si="265"/>
        <v>38.775586699810368</v>
      </c>
      <c r="Y602" s="314" t="str">
        <f t="shared" ca="1" si="283"/>
        <v/>
      </c>
      <c r="Z602" s="315" t="str">
        <f t="shared" ca="1" si="284"/>
        <v/>
      </c>
      <c r="AA602" s="316" t="str">
        <f t="shared" ca="1" si="285"/>
        <v/>
      </c>
      <c r="AC602" s="310" t="e">
        <f t="shared" ca="1" si="286"/>
        <v>#N/A</v>
      </c>
      <c r="AD602" s="323" t="e">
        <f t="shared" ca="1" si="287"/>
        <v>#N/A</v>
      </c>
      <c r="AE602" s="324" t="e">
        <f t="shared" ca="1" si="266"/>
        <v>#N/A</v>
      </c>
      <c r="AG602" s="306">
        <f t="shared" ca="1" si="288"/>
        <v>0.85088177736558457</v>
      </c>
      <c r="AH602" s="304">
        <f t="shared" ca="1" si="289"/>
        <v>-8.9323846327468885</v>
      </c>
    </row>
    <row r="603" spans="1:34" x14ac:dyDescent="0.2">
      <c r="A603" s="347">
        <f t="shared" ca="1" si="267"/>
        <v>1E-4</v>
      </c>
      <c r="B603" s="304">
        <f t="shared" ca="1" si="268"/>
        <v>28.622300000000088</v>
      </c>
      <c r="D603" s="306">
        <f t="shared" ca="1" si="269"/>
        <v>-0.65898775420232225</v>
      </c>
      <c r="E603" s="307">
        <f t="shared" ca="1" si="270"/>
        <v>-0.90193272827416493</v>
      </c>
      <c r="F603" s="304">
        <f t="shared" ca="1" si="271"/>
        <v>1.117026188824908</v>
      </c>
      <c r="G603" s="306">
        <f t="shared" ca="1" si="272"/>
        <v>7.285090393154543</v>
      </c>
      <c r="H603" s="307">
        <f t="shared" ca="1" si="273"/>
        <v>-98.479404747613245</v>
      </c>
      <c r="I603" s="304">
        <f t="shared" ca="1" si="274"/>
        <v>98.748497211252101</v>
      </c>
      <c r="J603" s="306">
        <f t="shared" ca="1" si="275"/>
        <v>678.53524446899166</v>
      </c>
      <c r="K603" s="307">
        <f t="shared" ca="1" si="276"/>
        <v>-5.0669747535588332</v>
      </c>
      <c r="L603" s="304">
        <f t="shared" ca="1" si="261"/>
        <v>678.55416307008795</v>
      </c>
      <c r="M603" s="306">
        <f t="shared" ca="1" si="277"/>
        <v>-1.4969550514335321</v>
      </c>
      <c r="N603" s="304">
        <f t="shared" ca="1" si="278"/>
        <v>-85.769206567930468</v>
      </c>
      <c r="P603" s="310">
        <f t="shared" ca="1" si="279"/>
        <v>23</v>
      </c>
      <c r="Q603" s="304">
        <f t="shared" ca="1" si="280"/>
        <v>0</v>
      </c>
      <c r="R603" s="306">
        <f t="shared" ca="1" si="281"/>
        <v>0</v>
      </c>
      <c r="S603" s="307">
        <f t="shared" ca="1" si="282"/>
        <v>4.341000000000002</v>
      </c>
      <c r="T603" s="304">
        <f t="shared" ca="1" si="262"/>
        <v>42.585210000000025</v>
      </c>
      <c r="U603" s="311">
        <f t="shared" ca="1" si="263"/>
        <v>0</v>
      </c>
      <c r="V603" s="306">
        <f t="shared" ca="1" si="264"/>
        <v>1.2256208617018394</v>
      </c>
      <c r="W603" s="304">
        <f t="shared" ca="1" si="265"/>
        <v>38.775691707270148</v>
      </c>
      <c r="Y603" s="314" t="str">
        <f t="shared" ca="1" si="283"/>
        <v/>
      </c>
      <c r="Z603" s="315" t="str">
        <f t="shared" ca="1" si="284"/>
        <v/>
      </c>
      <c r="AA603" s="316" t="str">
        <f t="shared" ca="1" si="285"/>
        <v/>
      </c>
      <c r="AC603" s="310" t="e">
        <f t="shared" ca="1" si="286"/>
        <v>#N/A</v>
      </c>
      <c r="AD603" s="323" t="e">
        <f t="shared" ca="1" si="287"/>
        <v>#N/A</v>
      </c>
      <c r="AE603" s="324" t="e">
        <f t="shared" ca="1" si="266"/>
        <v>#N/A</v>
      </c>
      <c r="AG603" s="306">
        <f t="shared" ca="1" si="288"/>
        <v>0.85085811773889297</v>
      </c>
      <c r="AH603" s="304">
        <f t="shared" ca="1" si="289"/>
        <v>-8.9324088228081902</v>
      </c>
    </row>
    <row r="604" spans="1:34" x14ac:dyDescent="0.2">
      <c r="A604" s="347">
        <f t="shared" ca="1" si="267"/>
        <v>1E-4</v>
      </c>
      <c r="B604" s="304">
        <f t="shared" ca="1" si="268"/>
        <v>28.622400000000088</v>
      </c>
      <c r="D604" s="306">
        <f t="shared" ca="1" si="269"/>
        <v>-0.65898301001646176</v>
      </c>
      <c r="E604" s="307">
        <f t="shared" ca="1" si="270"/>
        <v>-0.90190812152563993</v>
      </c>
      <c r="F604" s="304">
        <f t="shared" ca="1" si="271"/>
        <v>1.1170035215541019</v>
      </c>
      <c r="G604" s="306">
        <f t="shared" ca="1" si="272"/>
        <v>7.2850244948535412</v>
      </c>
      <c r="H604" s="307">
        <f t="shared" ca="1" si="273"/>
        <v>-98.479494938425404</v>
      </c>
      <c r="I604" s="304">
        <f t="shared" ca="1" si="274"/>
        <v>98.748582294724471</v>
      </c>
      <c r="J604" s="306">
        <f t="shared" ca="1" si="275"/>
        <v>678.53524446899166</v>
      </c>
      <c r="K604" s="307">
        <f t="shared" ca="1" si="276"/>
        <v>-5.0768226985431353</v>
      </c>
      <c r="L604" s="304">
        <f t="shared" ca="1" si="261"/>
        <v>678.55423667921104</v>
      </c>
      <c r="M604" s="306">
        <f t="shared" ca="1" si="277"/>
        <v>-1.496955784329931</v>
      </c>
      <c r="N604" s="304">
        <f t="shared" ca="1" si="278"/>
        <v>-85.769248559800943</v>
      </c>
      <c r="P604" s="310">
        <f t="shared" ca="1" si="279"/>
        <v>23</v>
      </c>
      <c r="Q604" s="304">
        <f t="shared" ca="1" si="280"/>
        <v>0</v>
      </c>
      <c r="R604" s="306">
        <f t="shared" ca="1" si="281"/>
        <v>0</v>
      </c>
      <c r="S604" s="307">
        <f t="shared" ca="1" si="282"/>
        <v>4.341000000000002</v>
      </c>
      <c r="T604" s="304">
        <f t="shared" ca="1" si="262"/>
        <v>42.585210000000025</v>
      </c>
      <c r="U604" s="311">
        <f t="shared" ca="1" si="263"/>
        <v>0</v>
      </c>
      <c r="V604" s="306">
        <f t="shared" ca="1" si="264"/>
        <v>1.225622068687193</v>
      </c>
      <c r="W604" s="304">
        <f t="shared" ca="1" si="265"/>
        <v>38.775796713133644</v>
      </c>
      <c r="Y604" s="314" t="str">
        <f t="shared" ca="1" si="283"/>
        <v/>
      </c>
      <c r="Z604" s="315" t="str">
        <f t="shared" ca="1" si="284"/>
        <v/>
      </c>
      <c r="AA604" s="316" t="str">
        <f t="shared" ca="1" si="285"/>
        <v/>
      </c>
      <c r="AC604" s="310" t="e">
        <f t="shared" ca="1" si="286"/>
        <v>#N/A</v>
      </c>
      <c r="AD604" s="323" t="e">
        <f t="shared" ca="1" si="287"/>
        <v>#N/A</v>
      </c>
      <c r="AE604" s="324" t="e">
        <f t="shared" ca="1" si="266"/>
        <v>#N/A</v>
      </c>
      <c r="AG604" s="306">
        <f t="shared" ca="1" si="288"/>
        <v>0.85083445846896844</v>
      </c>
      <c r="AH604" s="304">
        <f t="shared" ca="1" si="289"/>
        <v>-8.9324330125017575</v>
      </c>
    </row>
    <row r="605" spans="1:34" x14ac:dyDescent="0.2">
      <c r="A605" s="347">
        <f t="shared" ca="1" si="267"/>
        <v>1E-4</v>
      </c>
      <c r="B605" s="304">
        <f t="shared" ca="1" si="268"/>
        <v>28.622500000000088</v>
      </c>
      <c r="D605" s="306">
        <f t="shared" ca="1" si="269"/>
        <v>-0.65897826583806629</v>
      </c>
      <c r="E605" s="307">
        <f t="shared" ca="1" si="270"/>
        <v>-0.90188351515120502</v>
      </c>
      <c r="F605" s="304">
        <f t="shared" ca="1" si="271"/>
        <v>1.1169808546919857</v>
      </c>
      <c r="G605" s="306">
        <f t="shared" ca="1" si="272"/>
        <v>7.2849585970269572</v>
      </c>
      <c r="H605" s="307">
        <f t="shared" ca="1" si="273"/>
        <v>-98.479585126776925</v>
      </c>
      <c r="I605" s="304">
        <f t="shared" ca="1" si="274"/>
        <v>98.748667375830948</v>
      </c>
      <c r="J605" s="306">
        <f t="shared" ca="1" si="275"/>
        <v>678.53524446899166</v>
      </c>
      <c r="K605" s="307">
        <f t="shared" ca="1" si="276"/>
        <v>-5.0866706525463954</v>
      </c>
      <c r="L605" s="304">
        <f t="shared" ca="1" si="261"/>
        <v>678.55431043131819</v>
      </c>
      <c r="M605" s="306">
        <f t="shared" ca="1" si="277"/>
        <v>-1.4969565172184376</v>
      </c>
      <c r="N605" s="304">
        <f t="shared" ca="1" si="278"/>
        <v>-85.769290551219228</v>
      </c>
      <c r="P605" s="310">
        <f t="shared" ca="1" si="279"/>
        <v>23</v>
      </c>
      <c r="Q605" s="304">
        <f t="shared" ca="1" si="280"/>
        <v>0</v>
      </c>
      <c r="R605" s="306">
        <f t="shared" ca="1" si="281"/>
        <v>0</v>
      </c>
      <c r="S605" s="307">
        <f t="shared" ca="1" si="282"/>
        <v>4.341000000000002</v>
      </c>
      <c r="T605" s="304">
        <f t="shared" ca="1" si="262"/>
        <v>42.585210000000025</v>
      </c>
      <c r="U605" s="311">
        <f t="shared" ca="1" si="263"/>
        <v>0</v>
      </c>
      <c r="V605" s="306">
        <f t="shared" ca="1" si="264"/>
        <v>1.2256232756748411</v>
      </c>
      <c r="W605" s="304">
        <f t="shared" ca="1" si="265"/>
        <v>38.77590171740087</v>
      </c>
      <c r="Y605" s="314" t="str">
        <f t="shared" ca="1" si="283"/>
        <v/>
      </c>
      <c r="Z605" s="315" t="str">
        <f t="shared" ca="1" si="284"/>
        <v/>
      </c>
      <c r="AA605" s="316" t="str">
        <f t="shared" ca="1" si="285"/>
        <v/>
      </c>
      <c r="AC605" s="310" t="e">
        <f t="shared" ca="1" si="286"/>
        <v>#N/A</v>
      </c>
      <c r="AD605" s="323" t="e">
        <f t="shared" ca="1" si="287"/>
        <v>#N/A</v>
      </c>
      <c r="AE605" s="324" t="e">
        <f t="shared" ca="1" si="266"/>
        <v>#N/A</v>
      </c>
      <c r="AG605" s="306">
        <f t="shared" ca="1" si="288"/>
        <v>0.85081079955579852</v>
      </c>
      <c r="AH605" s="304">
        <f t="shared" ca="1" si="289"/>
        <v>-8.9324572018276029</v>
      </c>
    </row>
    <row r="606" spans="1:34" x14ac:dyDescent="0.2">
      <c r="A606" s="347">
        <f t="shared" ca="1" si="267"/>
        <v>1E-4</v>
      </c>
      <c r="B606" s="304">
        <f t="shared" ca="1" si="268"/>
        <v>28.622600000000087</v>
      </c>
      <c r="D606" s="306">
        <f t="shared" ca="1" si="269"/>
        <v>-0.65897352166713552</v>
      </c>
      <c r="E606" s="307">
        <f t="shared" ca="1" si="270"/>
        <v>-0.90185890915085665</v>
      </c>
      <c r="F606" s="304">
        <f t="shared" ca="1" si="271"/>
        <v>1.1169581882385571</v>
      </c>
      <c r="G606" s="306">
        <f t="shared" ca="1" si="272"/>
        <v>7.2848926996747903</v>
      </c>
      <c r="H606" s="307">
        <f t="shared" ca="1" si="273"/>
        <v>-98.479675312667837</v>
      </c>
      <c r="I606" s="304">
        <f t="shared" ca="1" si="274"/>
        <v>98.748752454571573</v>
      </c>
      <c r="J606" s="306">
        <f t="shared" ca="1" si="275"/>
        <v>678.53524446899166</v>
      </c>
      <c r="K606" s="307">
        <f t="shared" ca="1" si="276"/>
        <v>-5.0965186155683675</v>
      </c>
      <c r="L606" s="304">
        <f t="shared" ca="1" si="261"/>
        <v>678.55438432640983</v>
      </c>
      <c r="M606" s="306">
        <f t="shared" ca="1" si="277"/>
        <v>-1.4969572500990518</v>
      </c>
      <c r="N606" s="304">
        <f t="shared" ca="1" si="278"/>
        <v>-85.769332542185296</v>
      </c>
      <c r="P606" s="310">
        <f t="shared" ca="1" si="279"/>
        <v>23</v>
      </c>
      <c r="Q606" s="304">
        <f t="shared" ca="1" si="280"/>
        <v>0</v>
      </c>
      <c r="R606" s="306">
        <f t="shared" ca="1" si="281"/>
        <v>0</v>
      </c>
      <c r="S606" s="307">
        <f t="shared" ca="1" si="282"/>
        <v>4.341000000000002</v>
      </c>
      <c r="T606" s="304">
        <f t="shared" ca="1" si="262"/>
        <v>42.585210000000025</v>
      </c>
      <c r="U606" s="311">
        <f t="shared" ca="1" si="263"/>
        <v>0</v>
      </c>
      <c r="V606" s="306">
        <f t="shared" ca="1" si="264"/>
        <v>1.2256244826647837</v>
      </c>
      <c r="W606" s="304">
        <f t="shared" ca="1" si="265"/>
        <v>38.776006720071855</v>
      </c>
      <c r="Y606" s="314" t="str">
        <f t="shared" ca="1" si="283"/>
        <v/>
      </c>
      <c r="Z606" s="315" t="str">
        <f t="shared" ca="1" si="284"/>
        <v/>
      </c>
      <c r="AA606" s="316" t="str">
        <f t="shared" ca="1" si="285"/>
        <v/>
      </c>
      <c r="AC606" s="310" t="e">
        <f t="shared" ca="1" si="286"/>
        <v>#N/A</v>
      </c>
      <c r="AD606" s="323" t="e">
        <f t="shared" ca="1" si="287"/>
        <v>#N/A</v>
      </c>
      <c r="AE606" s="324" t="e">
        <f t="shared" ca="1" si="266"/>
        <v>#N/A</v>
      </c>
      <c r="AG606" s="306">
        <f t="shared" ca="1" si="288"/>
        <v>0.85078714099937791</v>
      </c>
      <c r="AH606" s="304">
        <f t="shared" ca="1" si="289"/>
        <v>-8.9324813907857301</v>
      </c>
    </row>
    <row r="607" spans="1:34" x14ac:dyDescent="0.2">
      <c r="A607" s="347">
        <f t="shared" ca="1" si="267"/>
        <v>1E-4</v>
      </c>
      <c r="B607" s="304">
        <f t="shared" ca="1" si="268"/>
        <v>28.622700000000087</v>
      </c>
      <c r="D607" s="306">
        <f t="shared" ca="1" si="269"/>
        <v>-0.65896877750367122</v>
      </c>
      <c r="E607" s="307">
        <f t="shared" ca="1" si="270"/>
        <v>-0.90183430352459126</v>
      </c>
      <c r="F607" s="304">
        <f t="shared" ca="1" si="271"/>
        <v>1.1169355221938138</v>
      </c>
      <c r="G607" s="306">
        <f t="shared" ca="1" si="272"/>
        <v>7.2848268027970402</v>
      </c>
      <c r="H607" s="307">
        <f t="shared" ca="1" si="273"/>
        <v>-98.479765496098196</v>
      </c>
      <c r="I607" s="304">
        <f t="shared" ca="1" si="274"/>
        <v>98.748837530946375</v>
      </c>
      <c r="J607" s="306">
        <f t="shared" ca="1" si="275"/>
        <v>678.53524446899166</v>
      </c>
      <c r="K607" s="307">
        <f t="shared" ca="1" si="276"/>
        <v>-5.1063665876088056</v>
      </c>
      <c r="L607" s="304">
        <f t="shared" ca="1" si="261"/>
        <v>678.55445836448632</v>
      </c>
      <c r="M607" s="306">
        <f t="shared" ca="1" si="277"/>
        <v>-1.4969579829717738</v>
      </c>
      <c r="N607" s="304">
        <f t="shared" ca="1" si="278"/>
        <v>-85.769374532699203</v>
      </c>
      <c r="P607" s="310">
        <f t="shared" ca="1" si="279"/>
        <v>23</v>
      </c>
      <c r="Q607" s="304">
        <f t="shared" ca="1" si="280"/>
        <v>0</v>
      </c>
      <c r="R607" s="306">
        <f t="shared" ca="1" si="281"/>
        <v>0</v>
      </c>
      <c r="S607" s="307">
        <f t="shared" ca="1" si="282"/>
        <v>4.341000000000002</v>
      </c>
      <c r="T607" s="304">
        <f t="shared" ca="1" si="262"/>
        <v>42.585210000000025</v>
      </c>
      <c r="U607" s="311">
        <f t="shared" ca="1" si="263"/>
        <v>0</v>
      </c>
      <c r="V607" s="306">
        <f t="shared" ca="1" si="264"/>
        <v>1.2256256896570203</v>
      </c>
      <c r="W607" s="304">
        <f t="shared" ca="1" si="265"/>
        <v>38.776111721146599</v>
      </c>
      <c r="Y607" s="314" t="str">
        <f t="shared" ca="1" si="283"/>
        <v/>
      </c>
      <c r="Z607" s="315" t="str">
        <f t="shared" ca="1" si="284"/>
        <v/>
      </c>
      <c r="AA607" s="316" t="str">
        <f t="shared" ca="1" si="285"/>
        <v/>
      </c>
      <c r="AC607" s="310" t="e">
        <f t="shared" ca="1" si="286"/>
        <v>#N/A</v>
      </c>
      <c r="AD607" s="323" t="e">
        <f t="shared" ca="1" si="287"/>
        <v>#N/A</v>
      </c>
      <c r="AE607" s="324" t="e">
        <f t="shared" ca="1" si="266"/>
        <v>#N/A</v>
      </c>
      <c r="AG607" s="306">
        <f t="shared" ca="1" si="288"/>
        <v>0.85076348279970659</v>
      </c>
      <c r="AH607" s="304">
        <f t="shared" ca="1" si="289"/>
        <v>-8.9325055793761425</v>
      </c>
    </row>
    <row r="608" spans="1:34" x14ac:dyDescent="0.2">
      <c r="A608" s="347">
        <f t="shared" ca="1" si="267"/>
        <v>1E-4</v>
      </c>
      <c r="B608" s="304">
        <f t="shared" ca="1" si="268"/>
        <v>28.622800000000087</v>
      </c>
      <c r="D608" s="306">
        <f t="shared" ca="1" si="269"/>
        <v>-0.65896403334767295</v>
      </c>
      <c r="E608" s="307">
        <f t="shared" ca="1" si="270"/>
        <v>-0.90180969827240354</v>
      </c>
      <c r="F608" s="304">
        <f t="shared" ca="1" si="271"/>
        <v>1.1169128565577515</v>
      </c>
      <c r="G608" s="306">
        <f t="shared" ca="1" si="272"/>
        <v>7.2847609063937053</v>
      </c>
      <c r="H608" s="307">
        <f t="shared" ca="1" si="273"/>
        <v>-98.479855677068016</v>
      </c>
      <c r="I608" s="304">
        <f t="shared" ca="1" si="274"/>
        <v>98.748922604955382</v>
      </c>
      <c r="J608" s="306">
        <f t="shared" ca="1" si="275"/>
        <v>678.53524446899166</v>
      </c>
      <c r="K608" s="307">
        <f t="shared" ca="1" si="276"/>
        <v>-5.1162145686674636</v>
      </c>
      <c r="L608" s="304">
        <f t="shared" ca="1" si="261"/>
        <v>678.55453254554777</v>
      </c>
      <c r="M608" s="306">
        <f t="shared" ca="1" si="277"/>
        <v>-1.4969587158366038</v>
      </c>
      <c r="N608" s="304">
        <f t="shared" ca="1" si="278"/>
        <v>-85.769416522760906</v>
      </c>
      <c r="P608" s="310">
        <f t="shared" ca="1" si="279"/>
        <v>23</v>
      </c>
      <c r="Q608" s="304">
        <f t="shared" ca="1" si="280"/>
        <v>0</v>
      </c>
      <c r="R608" s="306">
        <f t="shared" ca="1" si="281"/>
        <v>0</v>
      </c>
      <c r="S608" s="307">
        <f t="shared" ca="1" si="282"/>
        <v>4.341000000000002</v>
      </c>
      <c r="T608" s="304">
        <f t="shared" ca="1" si="262"/>
        <v>42.585210000000025</v>
      </c>
      <c r="U608" s="311">
        <f t="shared" ca="1" si="263"/>
        <v>0</v>
      </c>
      <c r="V608" s="306">
        <f t="shared" ca="1" si="264"/>
        <v>1.2256268966515511</v>
      </c>
      <c r="W608" s="304">
        <f t="shared" ca="1" si="265"/>
        <v>38.776216720625087</v>
      </c>
      <c r="Y608" s="314" t="str">
        <f t="shared" ca="1" si="283"/>
        <v/>
      </c>
      <c r="Z608" s="315" t="str">
        <f t="shared" ca="1" si="284"/>
        <v/>
      </c>
      <c r="AA608" s="316" t="str">
        <f t="shared" ca="1" si="285"/>
        <v/>
      </c>
      <c r="AC608" s="310" t="e">
        <f t="shared" ca="1" si="286"/>
        <v>#N/A</v>
      </c>
      <c r="AD608" s="323" t="e">
        <f t="shared" ca="1" si="287"/>
        <v>#N/A</v>
      </c>
      <c r="AE608" s="324" t="e">
        <f t="shared" ca="1" si="266"/>
        <v>#N/A</v>
      </c>
      <c r="AG608" s="306">
        <f t="shared" ca="1" si="288"/>
        <v>0.8507398249567828</v>
      </c>
      <c r="AH608" s="304">
        <f t="shared" ca="1" si="289"/>
        <v>-8.9325297675988438</v>
      </c>
    </row>
    <row r="609" spans="1:34" x14ac:dyDescent="0.2">
      <c r="A609" s="347">
        <f t="shared" ca="1" si="267"/>
        <v>1E-4</v>
      </c>
      <c r="B609" s="304">
        <f t="shared" ca="1" si="268"/>
        <v>28.622900000000087</v>
      </c>
      <c r="D609" s="306">
        <f t="shared" ca="1" si="269"/>
        <v>-0.65895928919914171</v>
      </c>
      <c r="E609" s="307">
        <f t="shared" ca="1" si="270"/>
        <v>-0.90178509339430057</v>
      </c>
      <c r="F609" s="304">
        <f t="shared" ca="1" si="271"/>
        <v>1.1168901913303768</v>
      </c>
      <c r="G609" s="306">
        <f t="shared" ca="1" si="272"/>
        <v>7.2846950104647856</v>
      </c>
      <c r="H609" s="307">
        <f t="shared" ca="1" si="273"/>
        <v>-98.479945855577355</v>
      </c>
      <c r="I609" s="304">
        <f t="shared" ca="1" si="274"/>
        <v>98.749007676598637</v>
      </c>
      <c r="J609" s="306">
        <f t="shared" ca="1" si="275"/>
        <v>678.53524446899166</v>
      </c>
      <c r="K609" s="307">
        <f t="shared" ca="1" si="276"/>
        <v>-5.1260625587440956</v>
      </c>
      <c r="L609" s="304">
        <f t="shared" ca="1" si="261"/>
        <v>678.55460686959486</v>
      </c>
      <c r="M609" s="306">
        <f t="shared" ca="1" si="277"/>
        <v>-1.4969594486935416</v>
      </c>
      <c r="N609" s="304">
        <f t="shared" ca="1" si="278"/>
        <v>-85.769458512370434</v>
      </c>
      <c r="P609" s="310">
        <f t="shared" ca="1" si="279"/>
        <v>23</v>
      </c>
      <c r="Q609" s="304">
        <f t="shared" ca="1" si="280"/>
        <v>0</v>
      </c>
      <c r="R609" s="306">
        <f t="shared" ca="1" si="281"/>
        <v>0</v>
      </c>
      <c r="S609" s="307">
        <f t="shared" ca="1" si="282"/>
        <v>4.341000000000002</v>
      </c>
      <c r="T609" s="304">
        <f t="shared" ca="1" si="262"/>
        <v>42.585210000000025</v>
      </c>
      <c r="U609" s="311">
        <f t="shared" ca="1" si="263"/>
        <v>0</v>
      </c>
      <c r="V609" s="306">
        <f t="shared" ca="1" si="264"/>
        <v>1.225628103648376</v>
      </c>
      <c r="W609" s="304">
        <f t="shared" ca="1" si="265"/>
        <v>38.776321718507369</v>
      </c>
      <c r="Y609" s="314" t="str">
        <f t="shared" ca="1" si="283"/>
        <v/>
      </c>
      <c r="Z609" s="315" t="str">
        <f t="shared" ca="1" si="284"/>
        <v/>
      </c>
      <c r="AA609" s="316" t="str">
        <f t="shared" ca="1" si="285"/>
        <v/>
      </c>
      <c r="AC609" s="310" t="e">
        <f t="shared" ca="1" si="286"/>
        <v>#N/A</v>
      </c>
      <c r="AD609" s="323" t="e">
        <f t="shared" ca="1" si="287"/>
        <v>#N/A</v>
      </c>
      <c r="AE609" s="324" t="e">
        <f t="shared" ca="1" si="266"/>
        <v>#N/A</v>
      </c>
      <c r="AG609" s="306">
        <f t="shared" ca="1" si="288"/>
        <v>0.85071616747060652</v>
      </c>
      <c r="AH609" s="304">
        <f t="shared" ca="1" si="289"/>
        <v>-8.9325539554538285</v>
      </c>
    </row>
    <row r="610" spans="1:34" x14ac:dyDescent="0.2">
      <c r="A610" s="347">
        <f t="shared" ca="1" si="267"/>
        <v>1E-4</v>
      </c>
      <c r="B610" s="304">
        <f t="shared" ca="1" si="268"/>
        <v>28.623000000000086</v>
      </c>
      <c r="D610" s="306">
        <f t="shared" ca="1" si="269"/>
        <v>-0.65895454505807993</v>
      </c>
      <c r="E610" s="307">
        <f t="shared" ca="1" si="270"/>
        <v>-0.90176048889026994</v>
      </c>
      <c r="F610" s="304">
        <f t="shared" ca="1" si="271"/>
        <v>1.1168675265116808</v>
      </c>
      <c r="G610" s="306">
        <f t="shared" ca="1" si="272"/>
        <v>7.2846291150102802</v>
      </c>
      <c r="H610" s="307">
        <f t="shared" ca="1" si="273"/>
        <v>-98.480036031626241</v>
      </c>
      <c r="I610" s="304">
        <f t="shared" ca="1" si="274"/>
        <v>98.749092745876197</v>
      </c>
      <c r="J610" s="306">
        <f t="shared" ca="1" si="275"/>
        <v>678.53524446899166</v>
      </c>
      <c r="K610" s="307">
        <f t="shared" ca="1" si="276"/>
        <v>-5.1359105578384554</v>
      </c>
      <c r="L610" s="304">
        <f t="shared" ca="1" si="261"/>
        <v>678.55468133662771</v>
      </c>
      <c r="M610" s="306">
        <f t="shared" ca="1" si="277"/>
        <v>-1.4969601815425875</v>
      </c>
      <c r="N610" s="304">
        <f t="shared" ca="1" si="278"/>
        <v>-85.769500501527773</v>
      </c>
      <c r="P610" s="310">
        <f t="shared" ca="1" si="279"/>
        <v>23</v>
      </c>
      <c r="Q610" s="304">
        <f t="shared" ca="1" si="280"/>
        <v>0</v>
      </c>
      <c r="R610" s="306">
        <f t="shared" ca="1" si="281"/>
        <v>0</v>
      </c>
      <c r="S610" s="307">
        <f t="shared" ca="1" si="282"/>
        <v>4.341000000000002</v>
      </c>
      <c r="T610" s="304">
        <f t="shared" ca="1" si="262"/>
        <v>42.585210000000025</v>
      </c>
      <c r="U610" s="311">
        <f t="shared" ca="1" si="263"/>
        <v>0</v>
      </c>
      <c r="V610" s="306">
        <f t="shared" ca="1" si="264"/>
        <v>1.2256293106474951</v>
      </c>
      <c r="W610" s="304">
        <f t="shared" ca="1" si="265"/>
        <v>38.776426714793487</v>
      </c>
      <c r="Y610" s="314" t="str">
        <f t="shared" ca="1" si="283"/>
        <v/>
      </c>
      <c r="Z610" s="315" t="str">
        <f t="shared" ca="1" si="284"/>
        <v/>
      </c>
      <c r="AA610" s="316" t="str">
        <f t="shared" ca="1" si="285"/>
        <v/>
      </c>
      <c r="AC610" s="310" t="e">
        <f t="shared" ca="1" si="286"/>
        <v>#N/A</v>
      </c>
      <c r="AD610" s="323" t="e">
        <f t="shared" ca="1" si="287"/>
        <v>#N/A</v>
      </c>
      <c r="AE610" s="324" t="e">
        <f t="shared" ca="1" si="266"/>
        <v>#N/A</v>
      </c>
      <c r="AG610" s="306">
        <f t="shared" ca="1" si="288"/>
        <v>0.85069251034116888</v>
      </c>
      <c r="AH610" s="304">
        <f t="shared" ca="1" si="289"/>
        <v>-8.9325781429411091</v>
      </c>
    </row>
    <row r="611" spans="1:34" x14ac:dyDescent="0.2">
      <c r="A611" s="347">
        <f t="shared" ca="1" si="267"/>
        <v>1E-4</v>
      </c>
      <c r="B611" s="304">
        <f t="shared" ca="1" si="268"/>
        <v>28.623100000000086</v>
      </c>
      <c r="D611" s="306">
        <f t="shared" ca="1" si="269"/>
        <v>-0.65894980092448741</v>
      </c>
      <c r="E611" s="307">
        <f t="shared" ca="1" si="270"/>
        <v>-0.90173588476030453</v>
      </c>
      <c r="F611" s="304">
        <f t="shared" ca="1" si="271"/>
        <v>1.1168448621016578</v>
      </c>
      <c r="G611" s="306">
        <f t="shared" ca="1" si="272"/>
        <v>7.2845632200301882</v>
      </c>
      <c r="H611" s="307">
        <f t="shared" ca="1" si="273"/>
        <v>-98.480126205214717</v>
      </c>
      <c r="I611" s="304">
        <f t="shared" ca="1" si="274"/>
        <v>98.749177812788062</v>
      </c>
      <c r="J611" s="306">
        <f t="shared" ca="1" si="275"/>
        <v>678.53524446899166</v>
      </c>
      <c r="K611" s="307">
        <f t="shared" ca="1" si="276"/>
        <v>-5.1457585659502971</v>
      </c>
      <c r="L611" s="304">
        <f t="shared" ca="1" si="261"/>
        <v>678.55475594664676</v>
      </c>
      <c r="M611" s="306">
        <f t="shared" ca="1" si="277"/>
        <v>-1.4969609143837417</v>
      </c>
      <c r="N611" s="304">
        <f t="shared" ca="1" si="278"/>
        <v>-85.769542490232965</v>
      </c>
      <c r="P611" s="310">
        <f t="shared" ca="1" si="279"/>
        <v>23</v>
      </c>
      <c r="Q611" s="304">
        <f t="shared" ca="1" si="280"/>
        <v>0</v>
      </c>
      <c r="R611" s="306">
        <f t="shared" ca="1" si="281"/>
        <v>0</v>
      </c>
      <c r="S611" s="307">
        <f t="shared" ca="1" si="282"/>
        <v>4.341000000000002</v>
      </c>
      <c r="T611" s="304">
        <f t="shared" ca="1" si="262"/>
        <v>42.585210000000025</v>
      </c>
      <c r="U611" s="311">
        <f t="shared" ca="1" si="263"/>
        <v>0</v>
      </c>
      <c r="V611" s="306">
        <f t="shared" ca="1" si="264"/>
        <v>1.2256305176489088</v>
      </c>
      <c r="W611" s="304">
        <f t="shared" ca="1" si="265"/>
        <v>38.776531709483436</v>
      </c>
      <c r="Y611" s="314" t="str">
        <f t="shared" ca="1" si="283"/>
        <v/>
      </c>
      <c r="Z611" s="315" t="str">
        <f t="shared" ca="1" si="284"/>
        <v/>
      </c>
      <c r="AA611" s="316" t="str">
        <f t="shared" ca="1" si="285"/>
        <v/>
      </c>
      <c r="AC611" s="310" t="e">
        <f t="shared" ca="1" si="286"/>
        <v>#N/A</v>
      </c>
      <c r="AD611" s="323" t="e">
        <f t="shared" ca="1" si="287"/>
        <v>#N/A</v>
      </c>
      <c r="AE611" s="324" t="e">
        <f t="shared" ca="1" si="266"/>
        <v>#N/A</v>
      </c>
      <c r="AG611" s="306">
        <f t="shared" ca="1" si="288"/>
        <v>0.85066885356846456</v>
      </c>
      <c r="AH611" s="304">
        <f t="shared" ca="1" si="289"/>
        <v>-8.9326023300606927</v>
      </c>
    </row>
    <row r="612" spans="1:34" x14ac:dyDescent="0.2">
      <c r="A612" s="347">
        <f t="shared" ca="1" si="267"/>
        <v>1E-4</v>
      </c>
      <c r="B612" s="304">
        <f t="shared" ca="1" si="268"/>
        <v>28.623200000000086</v>
      </c>
      <c r="D612" s="306">
        <f t="shared" ca="1" si="269"/>
        <v>-0.65894505679836368</v>
      </c>
      <c r="E612" s="307">
        <f t="shared" ca="1" si="270"/>
        <v>-0.90171128100440079</v>
      </c>
      <c r="F612" s="304">
        <f t="shared" ca="1" si="271"/>
        <v>1.1168221981003046</v>
      </c>
      <c r="G612" s="306">
        <f t="shared" ca="1" si="272"/>
        <v>7.2844973255245087</v>
      </c>
      <c r="H612" s="307">
        <f t="shared" ca="1" si="273"/>
        <v>-98.480216376342824</v>
      </c>
      <c r="I612" s="304">
        <f t="shared" ca="1" si="274"/>
        <v>98.749262877334303</v>
      </c>
      <c r="J612" s="306">
        <f t="shared" ca="1" si="275"/>
        <v>678.53524446899166</v>
      </c>
      <c r="K612" s="307">
        <f t="shared" ca="1" si="276"/>
        <v>-5.1556065830793747</v>
      </c>
      <c r="L612" s="304">
        <f t="shared" ca="1" si="261"/>
        <v>678.55483069965226</v>
      </c>
      <c r="M612" s="306">
        <f t="shared" ca="1" si="277"/>
        <v>-1.4969616472170042</v>
      </c>
      <c r="N612" s="304">
        <f t="shared" ca="1" si="278"/>
        <v>-85.769584478485996</v>
      </c>
      <c r="P612" s="310">
        <f t="shared" ca="1" si="279"/>
        <v>23</v>
      </c>
      <c r="Q612" s="304">
        <f t="shared" ca="1" si="280"/>
        <v>0</v>
      </c>
      <c r="R612" s="306">
        <f t="shared" ca="1" si="281"/>
        <v>0</v>
      </c>
      <c r="S612" s="307">
        <f t="shared" ca="1" si="282"/>
        <v>4.341000000000002</v>
      </c>
      <c r="T612" s="304">
        <f t="shared" ca="1" si="262"/>
        <v>42.585210000000025</v>
      </c>
      <c r="U612" s="311">
        <f t="shared" ca="1" si="263"/>
        <v>0</v>
      </c>
      <c r="V612" s="306">
        <f t="shared" ca="1" si="264"/>
        <v>1.2256317246526165</v>
      </c>
      <c r="W612" s="304">
        <f t="shared" ca="1" si="265"/>
        <v>38.776636702577235</v>
      </c>
      <c r="Y612" s="314" t="str">
        <f t="shared" ca="1" si="283"/>
        <v/>
      </c>
      <c r="Z612" s="315" t="str">
        <f t="shared" ca="1" si="284"/>
        <v/>
      </c>
      <c r="AA612" s="316" t="str">
        <f t="shared" ca="1" si="285"/>
        <v/>
      </c>
      <c r="AC612" s="310" t="e">
        <f t="shared" ca="1" si="286"/>
        <v>#N/A</v>
      </c>
      <c r="AD612" s="323" t="e">
        <f t="shared" ca="1" si="287"/>
        <v>#N/A</v>
      </c>
      <c r="AE612" s="324" t="e">
        <f t="shared" ca="1" si="266"/>
        <v>#N/A</v>
      </c>
      <c r="AG612" s="306">
        <f t="shared" ca="1" si="288"/>
        <v>0.85064519715248821</v>
      </c>
      <c r="AH612" s="304">
        <f t="shared" ca="1" si="289"/>
        <v>-8.9326265168125811</v>
      </c>
    </row>
    <row r="613" spans="1:34" x14ac:dyDescent="0.2">
      <c r="A613" s="347">
        <f t="shared" ca="1" si="267"/>
        <v>1E-4</v>
      </c>
      <c r="B613" s="304">
        <f t="shared" ca="1" si="268"/>
        <v>28.623300000000086</v>
      </c>
      <c r="D613" s="306">
        <f t="shared" ca="1" si="269"/>
        <v>-0.65894031267971043</v>
      </c>
      <c r="E613" s="307">
        <f t="shared" ca="1" si="270"/>
        <v>-0.90168667762255517</v>
      </c>
      <c r="F613" s="304">
        <f t="shared" ca="1" si="271"/>
        <v>1.1167995345076198</v>
      </c>
      <c r="G613" s="306">
        <f t="shared" ca="1" si="272"/>
        <v>7.2844314314932408</v>
      </c>
      <c r="H613" s="307">
        <f t="shared" ca="1" si="273"/>
        <v>-98.480306545010592</v>
      </c>
      <c r="I613" s="304">
        <f t="shared" ca="1" si="274"/>
        <v>98.749347939514934</v>
      </c>
      <c r="J613" s="306">
        <f t="shared" ca="1" si="275"/>
        <v>678.53524446899166</v>
      </c>
      <c r="K613" s="307">
        <f t="shared" ca="1" si="276"/>
        <v>-5.1654546092254421</v>
      </c>
      <c r="L613" s="304">
        <f t="shared" ca="1" si="261"/>
        <v>678.55490559564464</v>
      </c>
      <c r="M613" s="306">
        <f t="shared" ca="1" si="277"/>
        <v>-1.4969623800423753</v>
      </c>
      <c r="N613" s="304">
        <f t="shared" ca="1" si="278"/>
        <v>-85.76962646628688</v>
      </c>
      <c r="P613" s="310">
        <f t="shared" ca="1" si="279"/>
        <v>23</v>
      </c>
      <c r="Q613" s="304">
        <f t="shared" ca="1" si="280"/>
        <v>0</v>
      </c>
      <c r="R613" s="306">
        <f t="shared" ca="1" si="281"/>
        <v>0</v>
      </c>
      <c r="S613" s="307">
        <f t="shared" ca="1" si="282"/>
        <v>4.341000000000002</v>
      </c>
      <c r="T613" s="304">
        <f t="shared" ca="1" si="262"/>
        <v>42.585210000000025</v>
      </c>
      <c r="U613" s="311">
        <f t="shared" ca="1" si="263"/>
        <v>0</v>
      </c>
      <c r="V613" s="306">
        <f t="shared" ca="1" si="264"/>
        <v>1.2256329316586179</v>
      </c>
      <c r="W613" s="304">
        <f t="shared" ca="1" si="265"/>
        <v>38.776741694074886</v>
      </c>
      <c r="Y613" s="314" t="str">
        <f t="shared" ca="1" si="283"/>
        <v/>
      </c>
      <c r="Z613" s="315" t="str">
        <f t="shared" ca="1" si="284"/>
        <v/>
      </c>
      <c r="AA613" s="316" t="str">
        <f t="shared" ca="1" si="285"/>
        <v/>
      </c>
      <c r="AC613" s="310" t="e">
        <f t="shared" ca="1" si="286"/>
        <v>#N/A</v>
      </c>
      <c r="AD613" s="323" t="e">
        <f t="shared" ca="1" si="287"/>
        <v>#N/A</v>
      </c>
      <c r="AE613" s="324" t="e">
        <f t="shared" ca="1" si="266"/>
        <v>#N/A</v>
      </c>
      <c r="AG613" s="306">
        <f t="shared" ca="1" si="288"/>
        <v>0.85062154109323806</v>
      </c>
      <c r="AH613" s="304">
        <f t="shared" ca="1" si="289"/>
        <v>-8.9326507031967797</v>
      </c>
    </row>
    <row r="614" spans="1:34" x14ac:dyDescent="0.2">
      <c r="A614" s="347">
        <f t="shared" ca="1" si="267"/>
        <v>1E-4</v>
      </c>
      <c r="B614" s="304">
        <f t="shared" ca="1" si="268"/>
        <v>28.623400000000085</v>
      </c>
      <c r="D614" s="306">
        <f t="shared" ca="1" si="269"/>
        <v>-0.6589355685685272</v>
      </c>
      <c r="E614" s="307">
        <f t="shared" ca="1" si="270"/>
        <v>-0.90166207461476944</v>
      </c>
      <c r="F614" s="304">
        <f t="shared" ca="1" si="271"/>
        <v>1.1167768713236044</v>
      </c>
      <c r="G614" s="306">
        <f t="shared" ca="1" si="272"/>
        <v>7.2843655379363836</v>
      </c>
      <c r="H614" s="307">
        <f t="shared" ca="1" si="273"/>
        <v>-98.480396711218049</v>
      </c>
      <c r="I614" s="304">
        <f t="shared" ca="1" si="274"/>
        <v>98.749432999329983</v>
      </c>
      <c r="J614" s="306">
        <f t="shared" ca="1" si="275"/>
        <v>678.53524446899166</v>
      </c>
      <c r="K614" s="307">
        <f t="shared" ca="1" si="276"/>
        <v>-5.1753026443882533</v>
      </c>
      <c r="L614" s="304">
        <f t="shared" ca="1" si="261"/>
        <v>678.55498063462426</v>
      </c>
      <c r="M614" s="306">
        <f t="shared" ca="1" si="277"/>
        <v>-1.4969631128598546</v>
      </c>
      <c r="N614" s="304">
        <f t="shared" ca="1" si="278"/>
        <v>-85.769668453635603</v>
      </c>
      <c r="P614" s="310">
        <f t="shared" ca="1" si="279"/>
        <v>23</v>
      </c>
      <c r="Q614" s="304">
        <f t="shared" ca="1" si="280"/>
        <v>0</v>
      </c>
      <c r="R614" s="306">
        <f t="shared" ca="1" si="281"/>
        <v>0</v>
      </c>
      <c r="S614" s="307">
        <f t="shared" ca="1" si="282"/>
        <v>4.341000000000002</v>
      </c>
      <c r="T614" s="304">
        <f t="shared" ca="1" si="262"/>
        <v>42.585210000000025</v>
      </c>
      <c r="U614" s="311">
        <f t="shared" ca="1" si="263"/>
        <v>0</v>
      </c>
      <c r="V614" s="306">
        <f t="shared" ca="1" si="264"/>
        <v>1.2256341386669136</v>
      </c>
      <c r="W614" s="304">
        <f t="shared" ca="1" si="265"/>
        <v>38.776846683976416</v>
      </c>
      <c r="Y614" s="314" t="str">
        <f t="shared" ca="1" si="283"/>
        <v/>
      </c>
      <c r="Z614" s="315" t="str">
        <f t="shared" ca="1" si="284"/>
        <v/>
      </c>
      <c r="AA614" s="316" t="str">
        <f t="shared" ca="1" si="285"/>
        <v/>
      </c>
      <c r="AC614" s="310" t="e">
        <f t="shared" ca="1" si="286"/>
        <v>#N/A</v>
      </c>
      <c r="AD614" s="323" t="e">
        <f t="shared" ca="1" si="287"/>
        <v>#N/A</v>
      </c>
      <c r="AE614" s="324" t="e">
        <f t="shared" ca="1" si="266"/>
        <v>#N/A</v>
      </c>
      <c r="AG614" s="306">
        <f t="shared" ca="1" si="288"/>
        <v>0.8505978853907159</v>
      </c>
      <c r="AH614" s="304">
        <f t="shared" ca="1" si="289"/>
        <v>-8.9326748892132848</v>
      </c>
    </row>
    <row r="615" spans="1:34" x14ac:dyDescent="0.2">
      <c r="A615" s="347">
        <f t="shared" ca="1" si="267"/>
        <v>1E-4</v>
      </c>
      <c r="B615" s="304">
        <f t="shared" ca="1" si="268"/>
        <v>28.623500000000085</v>
      </c>
      <c r="D615" s="306">
        <f t="shared" ca="1" si="269"/>
        <v>-0.65893082446481765</v>
      </c>
      <c r="E615" s="307">
        <f t="shared" ca="1" si="270"/>
        <v>-0.9016374719810365</v>
      </c>
      <c r="F615" s="304">
        <f t="shared" ca="1" si="271"/>
        <v>1.1167542085482547</v>
      </c>
      <c r="G615" s="306">
        <f t="shared" ca="1" si="272"/>
        <v>7.2842996448539372</v>
      </c>
      <c r="H615" s="307">
        <f t="shared" ca="1" si="273"/>
        <v>-98.480486874965251</v>
      </c>
      <c r="I615" s="304">
        <f t="shared" ca="1" si="274"/>
        <v>98.749518056779522</v>
      </c>
      <c r="J615" s="306">
        <f t="shared" ca="1" si="275"/>
        <v>678.53524446899166</v>
      </c>
      <c r="K615" s="307">
        <f t="shared" ca="1" si="276"/>
        <v>-5.1851506885675622</v>
      </c>
      <c r="L615" s="304">
        <f t="shared" ca="1" si="261"/>
        <v>678.55505581659133</v>
      </c>
      <c r="M615" s="306">
        <f t="shared" ca="1" si="277"/>
        <v>-1.4969638456694427</v>
      </c>
      <c r="N615" s="304">
        <f t="shared" ca="1" si="278"/>
        <v>-85.76971044053218</v>
      </c>
      <c r="P615" s="310">
        <f t="shared" ca="1" si="279"/>
        <v>23</v>
      </c>
      <c r="Q615" s="304">
        <f t="shared" ca="1" si="280"/>
        <v>0</v>
      </c>
      <c r="R615" s="306">
        <f t="shared" ca="1" si="281"/>
        <v>0</v>
      </c>
      <c r="S615" s="307">
        <f t="shared" ca="1" si="282"/>
        <v>4.341000000000002</v>
      </c>
      <c r="T615" s="304">
        <f t="shared" ca="1" si="262"/>
        <v>42.585210000000025</v>
      </c>
      <c r="U615" s="311">
        <f t="shared" ca="1" si="263"/>
        <v>0</v>
      </c>
      <c r="V615" s="306">
        <f t="shared" ca="1" si="264"/>
        <v>1.2256353456775038</v>
      </c>
      <c r="W615" s="304">
        <f t="shared" ca="1" si="265"/>
        <v>38.776951672281889</v>
      </c>
      <c r="Y615" s="314" t="str">
        <f t="shared" ca="1" si="283"/>
        <v/>
      </c>
      <c r="Z615" s="315" t="str">
        <f t="shared" ca="1" si="284"/>
        <v/>
      </c>
      <c r="AA615" s="316" t="str">
        <f t="shared" ca="1" si="285"/>
        <v/>
      </c>
      <c r="AC615" s="310" t="e">
        <f t="shared" ca="1" si="286"/>
        <v>#N/A</v>
      </c>
      <c r="AD615" s="323" t="e">
        <f t="shared" ca="1" si="287"/>
        <v>#N/A</v>
      </c>
      <c r="AE615" s="324" t="e">
        <f t="shared" ca="1" si="266"/>
        <v>#N/A</v>
      </c>
      <c r="AG615" s="306">
        <f t="shared" ca="1" si="288"/>
        <v>0.85057423004491106</v>
      </c>
      <c r="AH615" s="304">
        <f t="shared" ca="1" si="289"/>
        <v>-8.9326990748621053</v>
      </c>
    </row>
    <row r="616" spans="1:34" x14ac:dyDescent="0.2">
      <c r="A616" s="347">
        <f t="shared" ca="1" si="267"/>
        <v>1E-4</v>
      </c>
      <c r="B616" s="304">
        <f t="shared" ca="1" si="268"/>
        <v>28.623600000000085</v>
      </c>
      <c r="D616" s="306">
        <f t="shared" ca="1" si="269"/>
        <v>-0.65892608036858036</v>
      </c>
      <c r="E616" s="307">
        <f t="shared" ca="1" si="270"/>
        <v>-0.90161286972134036</v>
      </c>
      <c r="F616" s="304">
        <f t="shared" ca="1" si="271"/>
        <v>1.1167315461815572</v>
      </c>
      <c r="G616" s="306">
        <f t="shared" ca="1" si="272"/>
        <v>7.2842337522459006</v>
      </c>
      <c r="H616" s="307">
        <f t="shared" ca="1" si="273"/>
        <v>-98.480577036252228</v>
      </c>
      <c r="I616" s="304">
        <f t="shared" ca="1" si="274"/>
        <v>98.749603111863536</v>
      </c>
      <c r="J616" s="306">
        <f t="shared" ca="1" si="275"/>
        <v>678.53524446899166</v>
      </c>
      <c r="K616" s="307">
        <f t="shared" ca="1" si="276"/>
        <v>-5.1949987417631229</v>
      </c>
      <c r="L616" s="304">
        <f t="shared" ca="1" si="261"/>
        <v>678.55513114154644</v>
      </c>
      <c r="M616" s="306">
        <f t="shared" ca="1" si="277"/>
        <v>-1.4969645784711396</v>
      </c>
      <c r="N616" s="304">
        <f t="shared" ca="1" si="278"/>
        <v>-85.769752426976638</v>
      </c>
      <c r="P616" s="310">
        <f t="shared" ca="1" si="279"/>
        <v>23</v>
      </c>
      <c r="Q616" s="304">
        <f t="shared" ca="1" si="280"/>
        <v>0</v>
      </c>
      <c r="R616" s="306">
        <f t="shared" ca="1" si="281"/>
        <v>0</v>
      </c>
      <c r="S616" s="307">
        <f t="shared" ca="1" si="282"/>
        <v>4.341000000000002</v>
      </c>
      <c r="T616" s="304">
        <f t="shared" ca="1" si="262"/>
        <v>42.585210000000025</v>
      </c>
      <c r="U616" s="311">
        <f t="shared" ca="1" si="263"/>
        <v>0</v>
      </c>
      <c r="V616" s="306">
        <f t="shared" ca="1" si="264"/>
        <v>1.2256365526903876</v>
      </c>
      <c r="W616" s="304">
        <f t="shared" ca="1" si="265"/>
        <v>38.777056658991235</v>
      </c>
      <c r="Y616" s="314" t="str">
        <f t="shared" ca="1" si="283"/>
        <v/>
      </c>
      <c r="Z616" s="315" t="str">
        <f t="shared" ca="1" si="284"/>
        <v/>
      </c>
      <c r="AA616" s="316" t="str">
        <f t="shared" ca="1" si="285"/>
        <v/>
      </c>
      <c r="AC616" s="310" t="e">
        <f t="shared" ca="1" si="286"/>
        <v>#N/A</v>
      </c>
      <c r="AD616" s="323" t="e">
        <f t="shared" ca="1" si="287"/>
        <v>#N/A</v>
      </c>
      <c r="AE616" s="324" t="e">
        <f t="shared" ca="1" si="266"/>
        <v>#N/A</v>
      </c>
      <c r="AG616" s="306">
        <f t="shared" ca="1" si="288"/>
        <v>0.85055057505581466</v>
      </c>
      <c r="AH616" s="304">
        <f t="shared" ca="1" si="289"/>
        <v>-8.9327232601432556</v>
      </c>
    </row>
    <row r="617" spans="1:34" x14ac:dyDescent="0.2">
      <c r="A617" s="347">
        <f t="shared" ca="1" si="267"/>
        <v>1E-4</v>
      </c>
      <c r="B617" s="304">
        <f t="shared" ca="1" si="268"/>
        <v>28.623700000000085</v>
      </c>
      <c r="D617" s="306">
        <f t="shared" ca="1" si="269"/>
        <v>-0.65892133627981553</v>
      </c>
      <c r="E617" s="307">
        <f t="shared" ca="1" si="270"/>
        <v>-0.90158826783569879</v>
      </c>
      <c r="F617" s="304">
        <f t="shared" ca="1" si="271"/>
        <v>1.1167088842235264</v>
      </c>
      <c r="G617" s="306">
        <f t="shared" ca="1" si="272"/>
        <v>7.284167860112273</v>
      </c>
      <c r="H617" s="307">
        <f t="shared" ca="1" si="273"/>
        <v>-98.480667195079008</v>
      </c>
      <c r="I617" s="304">
        <f t="shared" ca="1" si="274"/>
        <v>98.749688164582082</v>
      </c>
      <c r="J617" s="306">
        <f t="shared" ca="1" si="275"/>
        <v>678.53524446899166</v>
      </c>
      <c r="K617" s="307">
        <f t="shared" ca="1" si="276"/>
        <v>-5.2048468039746894</v>
      </c>
      <c r="L617" s="304">
        <f t="shared" ca="1" si="261"/>
        <v>678.55520660948957</v>
      </c>
      <c r="M617" s="306">
        <f t="shared" ca="1" si="277"/>
        <v>-1.4969653112649455</v>
      </c>
      <c r="N617" s="304">
        <f t="shared" ca="1" si="278"/>
        <v>-85.769794412968963</v>
      </c>
      <c r="P617" s="310">
        <f t="shared" ca="1" si="279"/>
        <v>23</v>
      </c>
      <c r="Q617" s="304">
        <f t="shared" ca="1" si="280"/>
        <v>0</v>
      </c>
      <c r="R617" s="306">
        <f t="shared" ca="1" si="281"/>
        <v>0</v>
      </c>
      <c r="S617" s="307">
        <f t="shared" ca="1" si="282"/>
        <v>4.341000000000002</v>
      </c>
      <c r="T617" s="304">
        <f t="shared" ca="1" si="262"/>
        <v>42.585210000000025</v>
      </c>
      <c r="U617" s="311">
        <f t="shared" ca="1" si="263"/>
        <v>0</v>
      </c>
      <c r="V617" s="306">
        <f t="shared" ca="1" si="264"/>
        <v>1.2256377597055654</v>
      </c>
      <c r="W617" s="304">
        <f t="shared" ca="1" si="265"/>
        <v>38.777161644104517</v>
      </c>
      <c r="Y617" s="314" t="str">
        <f t="shared" ca="1" si="283"/>
        <v/>
      </c>
      <c r="Z617" s="315" t="str">
        <f t="shared" ca="1" si="284"/>
        <v/>
      </c>
      <c r="AA617" s="316" t="str">
        <f t="shared" ca="1" si="285"/>
        <v/>
      </c>
      <c r="AC617" s="310" t="e">
        <f t="shared" ca="1" si="286"/>
        <v>#N/A</v>
      </c>
      <c r="AD617" s="323" t="e">
        <f t="shared" ca="1" si="287"/>
        <v>#N/A</v>
      </c>
      <c r="AE617" s="324" t="e">
        <f t="shared" ca="1" si="266"/>
        <v>#N/A</v>
      </c>
      <c r="AG617" s="306">
        <f t="shared" ca="1" si="288"/>
        <v>0.85052692042344269</v>
      </c>
      <c r="AH617" s="304">
        <f t="shared" ca="1" si="289"/>
        <v>-8.9327474450567195</v>
      </c>
    </row>
    <row r="618" spans="1:34" x14ac:dyDescent="0.2">
      <c r="A618" s="347">
        <f t="shared" ca="1" si="267"/>
        <v>1E-4</v>
      </c>
      <c r="B618" s="304">
        <f t="shared" ca="1" si="268"/>
        <v>28.623800000000085</v>
      </c>
      <c r="D618" s="306">
        <f t="shared" ca="1" si="269"/>
        <v>-0.65891659219852383</v>
      </c>
      <c r="E618" s="307">
        <f t="shared" ca="1" si="270"/>
        <v>-0.90156366632409579</v>
      </c>
      <c r="F618" s="304">
        <f t="shared" ca="1" si="271"/>
        <v>1.1166862226741501</v>
      </c>
      <c r="G618" s="306">
        <f t="shared" ca="1" si="272"/>
        <v>7.2841019684530535</v>
      </c>
      <c r="H618" s="307">
        <f t="shared" ca="1" si="273"/>
        <v>-98.480757351445646</v>
      </c>
      <c r="I618" s="304">
        <f t="shared" ca="1" si="274"/>
        <v>98.749773214935217</v>
      </c>
      <c r="J618" s="306">
        <f t="shared" ca="1" si="275"/>
        <v>678.53524446899166</v>
      </c>
      <c r="K618" s="307">
        <f t="shared" ca="1" si="276"/>
        <v>-5.2146948752020155</v>
      </c>
      <c r="L618" s="304">
        <f t="shared" ca="1" si="261"/>
        <v>678.55528222042142</v>
      </c>
      <c r="M618" s="306">
        <f t="shared" ca="1" si="277"/>
        <v>-1.4969660440508601</v>
      </c>
      <c r="N618" s="304">
        <f t="shared" ca="1" si="278"/>
        <v>-85.769836398509156</v>
      </c>
      <c r="P618" s="310">
        <f t="shared" ca="1" si="279"/>
        <v>23</v>
      </c>
      <c r="Q618" s="304">
        <f t="shared" ca="1" si="280"/>
        <v>0</v>
      </c>
      <c r="R618" s="306">
        <f t="shared" ca="1" si="281"/>
        <v>0</v>
      </c>
      <c r="S618" s="307">
        <f t="shared" ca="1" si="282"/>
        <v>4.341000000000002</v>
      </c>
      <c r="T618" s="304">
        <f t="shared" ca="1" si="262"/>
        <v>42.585210000000025</v>
      </c>
      <c r="U618" s="311">
        <f t="shared" ca="1" si="263"/>
        <v>0</v>
      </c>
      <c r="V618" s="306">
        <f t="shared" ca="1" si="264"/>
        <v>1.225638966723037</v>
      </c>
      <c r="W618" s="304">
        <f t="shared" ca="1" si="265"/>
        <v>38.777266627621756</v>
      </c>
      <c r="Y618" s="314" t="str">
        <f t="shared" ca="1" si="283"/>
        <v/>
      </c>
      <c r="Z618" s="315" t="str">
        <f t="shared" ca="1" si="284"/>
        <v/>
      </c>
      <c r="AA618" s="316" t="str">
        <f t="shared" ca="1" si="285"/>
        <v/>
      </c>
      <c r="AC618" s="310" t="e">
        <f t="shared" ca="1" si="286"/>
        <v>#N/A</v>
      </c>
      <c r="AD618" s="323" t="e">
        <f t="shared" ca="1" si="287"/>
        <v>#N/A</v>
      </c>
      <c r="AE618" s="324" t="e">
        <f t="shared" ca="1" si="266"/>
        <v>#N/A</v>
      </c>
      <c r="AG618" s="306">
        <f t="shared" ca="1" si="288"/>
        <v>0.85050326614777738</v>
      </c>
      <c r="AH618" s="304">
        <f t="shared" ca="1" si="289"/>
        <v>-8.9327716296025113</v>
      </c>
    </row>
    <row r="619" spans="1:34" x14ac:dyDescent="0.2">
      <c r="A619" s="347">
        <f t="shared" ca="1" si="267"/>
        <v>1E-4</v>
      </c>
      <c r="B619" s="304">
        <f t="shared" ca="1" si="268"/>
        <v>28.623900000000084</v>
      </c>
      <c r="D619" s="306">
        <f t="shared" ca="1" si="269"/>
        <v>-0.6589118481247086</v>
      </c>
      <c r="E619" s="307">
        <f t="shared" ca="1" si="270"/>
        <v>-0.90153906518652782</v>
      </c>
      <c r="F619" s="304">
        <f t="shared" ca="1" si="271"/>
        <v>1.1166635615334271</v>
      </c>
      <c r="G619" s="306">
        <f t="shared" ca="1" si="272"/>
        <v>7.2840360772682411</v>
      </c>
      <c r="H619" s="307">
        <f t="shared" ca="1" si="273"/>
        <v>-98.480847505352159</v>
      </c>
      <c r="I619" s="304">
        <f t="shared" ca="1" si="274"/>
        <v>98.749858262922942</v>
      </c>
      <c r="J619" s="306">
        <f t="shared" ca="1" si="275"/>
        <v>678.53524446899166</v>
      </c>
      <c r="K619" s="307">
        <f t="shared" ca="1" si="276"/>
        <v>-5.2245429554448553</v>
      </c>
      <c r="L619" s="304">
        <f t="shared" ca="1" si="261"/>
        <v>678.55535797434209</v>
      </c>
      <c r="M619" s="306">
        <f t="shared" ca="1" si="277"/>
        <v>-1.4969667768288839</v>
      </c>
      <c r="N619" s="304">
        <f t="shared" ca="1" si="278"/>
        <v>-85.769878383597245</v>
      </c>
      <c r="P619" s="310">
        <f t="shared" ca="1" si="279"/>
        <v>23</v>
      </c>
      <c r="Q619" s="304">
        <f t="shared" ca="1" si="280"/>
        <v>0</v>
      </c>
      <c r="R619" s="306">
        <f t="shared" ca="1" si="281"/>
        <v>0</v>
      </c>
      <c r="S619" s="307">
        <f t="shared" ca="1" si="282"/>
        <v>4.341000000000002</v>
      </c>
      <c r="T619" s="304">
        <f t="shared" ca="1" si="262"/>
        <v>42.585210000000025</v>
      </c>
      <c r="U619" s="311">
        <f t="shared" ca="1" si="263"/>
        <v>0</v>
      </c>
      <c r="V619" s="306">
        <f t="shared" ca="1" si="264"/>
        <v>1.2256401737428031</v>
      </c>
      <c r="W619" s="304">
        <f t="shared" ca="1" si="265"/>
        <v>38.777371609542975</v>
      </c>
      <c r="Y619" s="314" t="str">
        <f t="shared" ca="1" si="283"/>
        <v/>
      </c>
      <c r="Z619" s="315" t="str">
        <f t="shared" ca="1" si="284"/>
        <v/>
      </c>
      <c r="AA619" s="316" t="str">
        <f t="shared" ca="1" si="285"/>
        <v/>
      </c>
      <c r="AC619" s="310" t="e">
        <f t="shared" ca="1" si="286"/>
        <v>#N/A</v>
      </c>
      <c r="AD619" s="323" t="e">
        <f t="shared" ca="1" si="287"/>
        <v>#N/A</v>
      </c>
      <c r="AE619" s="324" t="e">
        <f t="shared" ca="1" si="266"/>
        <v>#N/A</v>
      </c>
      <c r="AG619" s="306">
        <f t="shared" ca="1" si="288"/>
        <v>0.85047961222881341</v>
      </c>
      <c r="AH619" s="304">
        <f t="shared" ca="1" si="289"/>
        <v>-8.9327958137806363</v>
      </c>
    </row>
    <row r="620" spans="1:34" x14ac:dyDescent="0.2">
      <c r="A620" s="347">
        <f t="shared" ca="1" si="267"/>
        <v>1E-4</v>
      </c>
      <c r="B620" s="304">
        <f t="shared" ca="1" si="268"/>
        <v>28.624000000000084</v>
      </c>
      <c r="D620" s="306">
        <f t="shared" ca="1" si="269"/>
        <v>-0.65890710405836794</v>
      </c>
      <c r="E620" s="307">
        <f t="shared" ca="1" si="270"/>
        <v>-0.90151446442298777</v>
      </c>
      <c r="F620" s="304">
        <f t="shared" ca="1" si="271"/>
        <v>1.1166409008013505</v>
      </c>
      <c r="G620" s="306">
        <f t="shared" ca="1" si="272"/>
        <v>7.283970186557835</v>
      </c>
      <c r="H620" s="307">
        <f t="shared" ca="1" si="273"/>
        <v>-98.480937656798602</v>
      </c>
      <c r="I620" s="304">
        <f t="shared" ca="1" si="274"/>
        <v>98.749943308545326</v>
      </c>
      <c r="J620" s="306">
        <f t="shared" ca="1" si="275"/>
        <v>678.53524446899166</v>
      </c>
      <c r="K620" s="307">
        <f t="shared" ca="1" si="276"/>
        <v>-5.2343910447029627</v>
      </c>
      <c r="L620" s="304">
        <f t="shared" ca="1" si="261"/>
        <v>678.55543387125203</v>
      </c>
      <c r="M620" s="306">
        <f t="shared" ca="1" si="277"/>
        <v>-1.4969675095990171</v>
      </c>
      <c r="N620" s="304">
        <f t="shared" ca="1" si="278"/>
        <v>-85.76992036823323</v>
      </c>
      <c r="P620" s="310">
        <f t="shared" ca="1" si="279"/>
        <v>23</v>
      </c>
      <c r="Q620" s="304">
        <f t="shared" ca="1" si="280"/>
        <v>0</v>
      </c>
      <c r="R620" s="306">
        <f t="shared" ca="1" si="281"/>
        <v>0</v>
      </c>
      <c r="S620" s="307">
        <f t="shared" ca="1" si="282"/>
        <v>4.341000000000002</v>
      </c>
      <c r="T620" s="304">
        <f t="shared" ca="1" si="262"/>
        <v>42.585210000000025</v>
      </c>
      <c r="U620" s="311">
        <f t="shared" ca="1" si="263"/>
        <v>0</v>
      </c>
      <c r="V620" s="306">
        <f t="shared" ca="1" si="264"/>
        <v>1.2256413807648627</v>
      </c>
      <c r="W620" s="304">
        <f t="shared" ca="1" si="265"/>
        <v>38.777476589868179</v>
      </c>
      <c r="Y620" s="314" t="str">
        <f t="shared" ca="1" si="283"/>
        <v/>
      </c>
      <c r="Z620" s="315" t="str">
        <f t="shared" ca="1" si="284"/>
        <v/>
      </c>
      <c r="AA620" s="316" t="str">
        <f t="shared" ca="1" si="285"/>
        <v/>
      </c>
      <c r="AC620" s="310" t="e">
        <f t="shared" ca="1" si="286"/>
        <v>#N/A</v>
      </c>
      <c r="AD620" s="323" t="e">
        <f t="shared" ca="1" si="287"/>
        <v>#N/A</v>
      </c>
      <c r="AE620" s="324" t="e">
        <f t="shared" ca="1" si="266"/>
        <v>#N/A</v>
      </c>
      <c r="AG620" s="306">
        <f t="shared" ca="1" si="288"/>
        <v>0.85045595866655077</v>
      </c>
      <c r="AH620" s="304">
        <f t="shared" ca="1" si="289"/>
        <v>-8.932819997591098</v>
      </c>
    </row>
    <row r="621" spans="1:34" x14ac:dyDescent="0.2">
      <c r="A621" s="347">
        <f t="shared" ca="1" si="267"/>
        <v>1E-4</v>
      </c>
      <c r="B621" s="304">
        <f t="shared" ca="1" si="268"/>
        <v>28.624100000000084</v>
      </c>
      <c r="D621" s="306">
        <f t="shared" ca="1" si="269"/>
        <v>-0.6589023599995012</v>
      </c>
      <c r="E621" s="307">
        <f t="shared" ca="1" si="270"/>
        <v>-0.90148986403347742</v>
      </c>
      <c r="F621" s="304">
        <f t="shared" ca="1" si="271"/>
        <v>1.1166182404779217</v>
      </c>
      <c r="G621" s="306">
        <f t="shared" ca="1" si="272"/>
        <v>7.2839042963218352</v>
      </c>
      <c r="H621" s="307">
        <f t="shared" ca="1" si="273"/>
        <v>-98.481027805785004</v>
      </c>
      <c r="I621" s="304">
        <f t="shared" ca="1" si="274"/>
        <v>98.750028351802385</v>
      </c>
      <c r="J621" s="306">
        <f t="shared" ca="1" si="275"/>
        <v>678.53524446899166</v>
      </c>
      <c r="K621" s="307">
        <f t="shared" ca="1" si="276"/>
        <v>-5.2442391429760917</v>
      </c>
      <c r="L621" s="304">
        <f t="shared" ca="1" si="261"/>
        <v>678.5555099111516</v>
      </c>
      <c r="M621" s="306">
        <f t="shared" ca="1" si="277"/>
        <v>-1.4969682423612594</v>
      </c>
      <c r="N621" s="304">
        <f t="shared" ca="1" si="278"/>
        <v>-85.769962352417096</v>
      </c>
      <c r="P621" s="310">
        <f t="shared" ca="1" si="279"/>
        <v>23</v>
      </c>
      <c r="Q621" s="304">
        <f t="shared" ca="1" si="280"/>
        <v>0</v>
      </c>
      <c r="R621" s="306">
        <f t="shared" ca="1" si="281"/>
        <v>0</v>
      </c>
      <c r="S621" s="307">
        <f t="shared" ca="1" si="282"/>
        <v>4.341000000000002</v>
      </c>
      <c r="T621" s="304">
        <f t="shared" ca="1" si="262"/>
        <v>42.585210000000025</v>
      </c>
      <c r="U621" s="311">
        <f t="shared" ca="1" si="263"/>
        <v>0</v>
      </c>
      <c r="V621" s="306">
        <f t="shared" ca="1" si="264"/>
        <v>1.2256425877892165</v>
      </c>
      <c r="W621" s="304">
        <f t="shared" ca="1" si="265"/>
        <v>38.777581568597384</v>
      </c>
      <c r="Y621" s="314" t="str">
        <f t="shared" ca="1" si="283"/>
        <v/>
      </c>
      <c r="Z621" s="315" t="str">
        <f t="shared" ca="1" si="284"/>
        <v/>
      </c>
      <c r="AA621" s="316" t="str">
        <f t="shared" ca="1" si="285"/>
        <v/>
      </c>
      <c r="AC621" s="310" t="e">
        <f t="shared" ca="1" si="286"/>
        <v>#N/A</v>
      </c>
      <c r="AD621" s="323" t="e">
        <f t="shared" ca="1" si="287"/>
        <v>#N/A</v>
      </c>
      <c r="AE621" s="324" t="e">
        <f t="shared" ca="1" si="266"/>
        <v>#N/A</v>
      </c>
      <c r="AG621" s="306">
        <f t="shared" ca="1" si="288"/>
        <v>0.85043230546098592</v>
      </c>
      <c r="AH621" s="304">
        <f t="shared" ca="1" si="289"/>
        <v>-8.9328441810339001</v>
      </c>
    </row>
    <row r="622" spans="1:34" x14ac:dyDescent="0.2">
      <c r="A622" s="347">
        <f t="shared" ca="1" si="267"/>
        <v>1E-4</v>
      </c>
      <c r="B622" s="304">
        <f t="shared" ca="1" si="268"/>
        <v>28.624200000000084</v>
      </c>
      <c r="D622" s="306">
        <f t="shared" ca="1" si="269"/>
        <v>-0.65889761594811436</v>
      </c>
      <c r="E622" s="307">
        <f t="shared" ca="1" si="270"/>
        <v>-0.90146526401798788</v>
      </c>
      <c r="F622" s="304">
        <f t="shared" ca="1" si="271"/>
        <v>1.1165955805631371</v>
      </c>
      <c r="G622" s="306">
        <f t="shared" ca="1" si="272"/>
        <v>7.2838384065602408</v>
      </c>
      <c r="H622" s="307">
        <f t="shared" ca="1" si="273"/>
        <v>-98.481117952311408</v>
      </c>
      <c r="I622" s="304">
        <f t="shared" ca="1" si="274"/>
        <v>98.750113392694161</v>
      </c>
      <c r="J622" s="306">
        <f t="shared" ca="1" si="275"/>
        <v>678.53524446899166</v>
      </c>
      <c r="K622" s="307">
        <f t="shared" ca="1" si="276"/>
        <v>-5.2540872502639964</v>
      </c>
      <c r="L622" s="304">
        <f t="shared" ca="1" si="261"/>
        <v>678.55558609404113</v>
      </c>
      <c r="M622" s="306">
        <f t="shared" ca="1" si="277"/>
        <v>-1.496968975115611</v>
      </c>
      <c r="N622" s="304">
        <f t="shared" ca="1" si="278"/>
        <v>-85.770004336148872</v>
      </c>
      <c r="P622" s="310">
        <f t="shared" ca="1" si="279"/>
        <v>23</v>
      </c>
      <c r="Q622" s="304">
        <f t="shared" ca="1" si="280"/>
        <v>0</v>
      </c>
      <c r="R622" s="306">
        <f t="shared" ca="1" si="281"/>
        <v>0</v>
      </c>
      <c r="S622" s="307">
        <f t="shared" ca="1" si="282"/>
        <v>4.341000000000002</v>
      </c>
      <c r="T622" s="304">
        <f t="shared" ca="1" si="262"/>
        <v>42.585210000000025</v>
      </c>
      <c r="U622" s="311">
        <f t="shared" ca="1" si="263"/>
        <v>0</v>
      </c>
      <c r="V622" s="306">
        <f t="shared" ca="1" si="264"/>
        <v>1.2256437948158643</v>
      </c>
      <c r="W622" s="304">
        <f t="shared" ca="1" si="265"/>
        <v>38.777686545730631</v>
      </c>
      <c r="Y622" s="314" t="str">
        <f t="shared" ca="1" si="283"/>
        <v/>
      </c>
      <c r="Z622" s="315" t="str">
        <f t="shared" ca="1" si="284"/>
        <v/>
      </c>
      <c r="AA622" s="316" t="str">
        <f t="shared" ca="1" si="285"/>
        <v/>
      </c>
      <c r="AC622" s="310" t="e">
        <f t="shared" ca="1" si="286"/>
        <v>#N/A</v>
      </c>
      <c r="AD622" s="323" t="e">
        <f t="shared" ca="1" si="287"/>
        <v>#N/A</v>
      </c>
      <c r="AE622" s="324" t="e">
        <f t="shared" ca="1" si="266"/>
        <v>#N/A</v>
      </c>
      <c r="AG622" s="306">
        <f t="shared" ca="1" si="288"/>
        <v>0.85040865261211174</v>
      </c>
      <c r="AH622" s="304">
        <f t="shared" ca="1" si="289"/>
        <v>-8.9328683641090461</v>
      </c>
    </row>
    <row r="623" spans="1:34" x14ac:dyDescent="0.2">
      <c r="A623" s="347">
        <f t="shared" ca="1" si="267"/>
        <v>1E-4</v>
      </c>
      <c r="B623" s="304">
        <f t="shared" ca="1" si="268"/>
        <v>28.624300000000083</v>
      </c>
      <c r="D623" s="306">
        <f t="shared" ca="1" si="269"/>
        <v>-0.65889287190420487</v>
      </c>
      <c r="E623" s="307">
        <f t="shared" ca="1" si="270"/>
        <v>-0.90144066437651382</v>
      </c>
      <c r="F623" s="304">
        <f t="shared" ca="1" si="271"/>
        <v>1.116572921056991</v>
      </c>
      <c r="G623" s="306">
        <f t="shared" ca="1" si="272"/>
        <v>7.2837725172730501</v>
      </c>
      <c r="H623" s="307">
        <f t="shared" ca="1" si="273"/>
        <v>-98.481208096377841</v>
      </c>
      <c r="I623" s="304">
        <f t="shared" ca="1" si="274"/>
        <v>98.750198431220667</v>
      </c>
      <c r="J623" s="306">
        <f t="shared" ca="1" si="275"/>
        <v>678.53524446899166</v>
      </c>
      <c r="K623" s="307">
        <f t="shared" ca="1" si="276"/>
        <v>-5.2639353665664306</v>
      </c>
      <c r="L623" s="304">
        <f t="shared" ca="1" si="261"/>
        <v>678.55566241992096</v>
      </c>
      <c r="M623" s="306">
        <f t="shared" ca="1" si="277"/>
        <v>-1.4969697078620723</v>
      </c>
      <c r="N623" s="304">
        <f t="shared" ca="1" si="278"/>
        <v>-85.770046319428545</v>
      </c>
      <c r="P623" s="310">
        <f t="shared" ca="1" si="279"/>
        <v>23</v>
      </c>
      <c r="Q623" s="304">
        <f t="shared" ca="1" si="280"/>
        <v>0</v>
      </c>
      <c r="R623" s="306">
        <f t="shared" ca="1" si="281"/>
        <v>0</v>
      </c>
      <c r="S623" s="307">
        <f t="shared" ca="1" si="282"/>
        <v>4.341000000000002</v>
      </c>
      <c r="T623" s="304">
        <f t="shared" ca="1" si="262"/>
        <v>42.585210000000025</v>
      </c>
      <c r="U623" s="311">
        <f t="shared" ca="1" si="263"/>
        <v>0</v>
      </c>
      <c r="V623" s="306">
        <f t="shared" ca="1" si="264"/>
        <v>1.2256450018448055</v>
      </c>
      <c r="W623" s="304">
        <f t="shared" ca="1" si="265"/>
        <v>38.777791521267872</v>
      </c>
      <c r="Y623" s="314" t="str">
        <f t="shared" ca="1" si="283"/>
        <v/>
      </c>
      <c r="Z623" s="315" t="str">
        <f t="shared" ca="1" si="284"/>
        <v/>
      </c>
      <c r="AA623" s="316" t="str">
        <f t="shared" ca="1" si="285"/>
        <v/>
      </c>
      <c r="AC623" s="310" t="e">
        <f t="shared" ca="1" si="286"/>
        <v>#N/A</v>
      </c>
      <c r="AD623" s="323" t="e">
        <f t="shared" ca="1" si="287"/>
        <v>#N/A</v>
      </c>
      <c r="AE623" s="324" t="e">
        <f t="shared" ca="1" si="266"/>
        <v>#N/A</v>
      </c>
      <c r="AG623" s="306">
        <f t="shared" ca="1" si="288"/>
        <v>0.85038500011992468</v>
      </c>
      <c r="AH623" s="304">
        <f t="shared" ca="1" si="289"/>
        <v>-8.932892546816543</v>
      </c>
    </row>
    <row r="624" spans="1:34" x14ac:dyDescent="0.2">
      <c r="A624" s="347">
        <f t="shared" ca="1" si="267"/>
        <v>1E-4</v>
      </c>
      <c r="B624" s="304">
        <f t="shared" ca="1" si="268"/>
        <v>28.624400000000083</v>
      </c>
      <c r="D624" s="306">
        <f t="shared" ca="1" si="269"/>
        <v>-0.65888812786777207</v>
      </c>
      <c r="E624" s="307">
        <f t="shared" ca="1" si="270"/>
        <v>-0.90141606510906591</v>
      </c>
      <c r="F624" s="304">
        <f t="shared" ca="1" si="271"/>
        <v>1.1165502619594916</v>
      </c>
      <c r="G624" s="306">
        <f t="shared" ca="1" si="272"/>
        <v>7.283706628460263</v>
      </c>
      <c r="H624" s="307">
        <f t="shared" ca="1" si="273"/>
        <v>-98.481298237984348</v>
      </c>
      <c r="I624" s="304">
        <f t="shared" ca="1" si="274"/>
        <v>98.750283467381976</v>
      </c>
      <c r="J624" s="306">
        <f t="shared" ca="1" si="275"/>
        <v>678.53524446899166</v>
      </c>
      <c r="K624" s="307">
        <f t="shared" ca="1" si="276"/>
        <v>-5.2737834918831483</v>
      </c>
      <c r="L624" s="304">
        <f t="shared" ca="1" si="261"/>
        <v>678.55573888879132</v>
      </c>
      <c r="M624" s="306">
        <f t="shared" ca="1" si="277"/>
        <v>-1.4969704406006432</v>
      </c>
      <c r="N624" s="304">
        <f t="shared" ca="1" si="278"/>
        <v>-85.770088302256156</v>
      </c>
      <c r="P624" s="310">
        <f t="shared" ca="1" si="279"/>
        <v>23</v>
      </c>
      <c r="Q624" s="304">
        <f t="shared" ca="1" si="280"/>
        <v>0</v>
      </c>
      <c r="R624" s="306">
        <f t="shared" ca="1" si="281"/>
        <v>0</v>
      </c>
      <c r="S624" s="307">
        <f t="shared" ca="1" si="282"/>
        <v>4.341000000000002</v>
      </c>
      <c r="T624" s="304">
        <f t="shared" ca="1" si="262"/>
        <v>42.585210000000025</v>
      </c>
      <c r="U624" s="311">
        <f t="shared" ca="1" si="263"/>
        <v>0</v>
      </c>
      <c r="V624" s="306">
        <f t="shared" ca="1" si="264"/>
        <v>1.2256462088760411</v>
      </c>
      <c r="W624" s="304">
        <f t="shared" ca="1" si="265"/>
        <v>38.777896495209212</v>
      </c>
      <c r="Y624" s="314" t="str">
        <f t="shared" ca="1" si="283"/>
        <v/>
      </c>
      <c r="Z624" s="315" t="str">
        <f t="shared" ca="1" si="284"/>
        <v/>
      </c>
      <c r="AA624" s="316" t="str">
        <f t="shared" ca="1" si="285"/>
        <v/>
      </c>
      <c r="AC624" s="310" t="e">
        <f t="shared" ca="1" si="286"/>
        <v>#N/A</v>
      </c>
      <c r="AD624" s="323" t="e">
        <f t="shared" ca="1" si="287"/>
        <v>#N/A</v>
      </c>
      <c r="AE624" s="324" t="e">
        <f t="shared" ca="1" si="266"/>
        <v>#N/A</v>
      </c>
      <c r="AG624" s="306">
        <f t="shared" ca="1" si="288"/>
        <v>0.85036134798443541</v>
      </c>
      <c r="AH624" s="304">
        <f t="shared" ca="1" si="289"/>
        <v>-8.932916729156382</v>
      </c>
    </row>
    <row r="625" spans="1:34" x14ac:dyDescent="0.2">
      <c r="A625" s="347">
        <f t="shared" ca="1" si="267"/>
        <v>1E-4</v>
      </c>
      <c r="B625" s="304">
        <f t="shared" ca="1" si="268"/>
        <v>28.624500000000083</v>
      </c>
      <c r="D625" s="306">
        <f t="shared" ca="1" si="269"/>
        <v>-0.65888338383881839</v>
      </c>
      <c r="E625" s="307">
        <f t="shared" ca="1" si="270"/>
        <v>-0.9013914662156175</v>
      </c>
      <c r="F625" s="304">
        <f t="shared" ca="1" si="271"/>
        <v>1.1165276032706188</v>
      </c>
      <c r="G625" s="306">
        <f t="shared" ca="1" si="272"/>
        <v>7.2836407401218795</v>
      </c>
      <c r="H625" s="307">
        <f t="shared" ca="1" si="273"/>
        <v>-98.481388377130969</v>
      </c>
      <c r="I625" s="304">
        <f t="shared" ca="1" si="274"/>
        <v>98.750368501178102</v>
      </c>
      <c r="J625" s="306">
        <f t="shared" ca="1" si="275"/>
        <v>678.53524446899166</v>
      </c>
      <c r="K625" s="307">
        <f t="shared" ca="1" si="276"/>
        <v>-5.2836316262139045</v>
      </c>
      <c r="L625" s="304">
        <f t="shared" ca="1" si="261"/>
        <v>678.55581550065267</v>
      </c>
      <c r="M625" s="306">
        <f t="shared" ca="1" si="277"/>
        <v>-1.4969711733313238</v>
      </c>
      <c r="N625" s="304">
        <f t="shared" ca="1" si="278"/>
        <v>-85.770130284631662</v>
      </c>
      <c r="P625" s="310">
        <f t="shared" ca="1" si="279"/>
        <v>23</v>
      </c>
      <c r="Q625" s="304">
        <f t="shared" ca="1" si="280"/>
        <v>0</v>
      </c>
      <c r="R625" s="306">
        <f t="shared" ca="1" si="281"/>
        <v>0</v>
      </c>
      <c r="S625" s="307">
        <f t="shared" ca="1" si="282"/>
        <v>4.341000000000002</v>
      </c>
      <c r="T625" s="304">
        <f t="shared" ca="1" si="262"/>
        <v>42.585210000000025</v>
      </c>
      <c r="U625" s="311">
        <f t="shared" ca="1" si="263"/>
        <v>0</v>
      </c>
      <c r="V625" s="306">
        <f t="shared" ca="1" si="264"/>
        <v>1.2256474159095703</v>
      </c>
      <c r="W625" s="304">
        <f t="shared" ca="1" si="265"/>
        <v>38.778001467554617</v>
      </c>
      <c r="Y625" s="314" t="str">
        <f t="shared" ca="1" si="283"/>
        <v/>
      </c>
      <c r="Z625" s="315" t="str">
        <f t="shared" ca="1" si="284"/>
        <v/>
      </c>
      <c r="AA625" s="316" t="str">
        <f t="shared" ca="1" si="285"/>
        <v/>
      </c>
      <c r="AC625" s="310" t="e">
        <f t="shared" ca="1" si="286"/>
        <v>#N/A</v>
      </c>
      <c r="AD625" s="323" t="e">
        <f t="shared" ca="1" si="287"/>
        <v>#N/A</v>
      </c>
      <c r="AE625" s="324" t="e">
        <f t="shared" ca="1" si="266"/>
        <v>#N/A</v>
      </c>
      <c r="AG625" s="306">
        <f t="shared" ca="1" si="288"/>
        <v>0.85033769620561728</v>
      </c>
      <c r="AH625" s="304">
        <f t="shared" ca="1" si="289"/>
        <v>-8.9329409111285862</v>
      </c>
    </row>
    <row r="626" spans="1:34" x14ac:dyDescent="0.2">
      <c r="A626" s="347">
        <f t="shared" ca="1" si="267"/>
        <v>1E-4</v>
      </c>
      <c r="B626" s="304">
        <f t="shared" ca="1" si="268"/>
        <v>28.624600000000083</v>
      </c>
      <c r="D626" s="306">
        <f t="shared" ca="1" si="269"/>
        <v>-0.6588786398173454</v>
      </c>
      <c r="E626" s="307">
        <f t="shared" ca="1" si="270"/>
        <v>-0.90136686769617924</v>
      </c>
      <c r="F626" s="304">
        <f t="shared" ca="1" si="271"/>
        <v>1.1165049449903823</v>
      </c>
      <c r="G626" s="306">
        <f t="shared" ca="1" si="272"/>
        <v>7.2835748522578978</v>
      </c>
      <c r="H626" s="307">
        <f t="shared" ca="1" si="273"/>
        <v>-98.481478513817734</v>
      </c>
      <c r="I626" s="304">
        <f t="shared" ca="1" si="274"/>
        <v>98.750453532609086</v>
      </c>
      <c r="J626" s="306">
        <f t="shared" ca="1" si="275"/>
        <v>678.53524446899166</v>
      </c>
      <c r="K626" s="307">
        <f t="shared" ca="1" si="276"/>
        <v>-5.2934797695584521</v>
      </c>
      <c r="L626" s="304">
        <f t="shared" ca="1" si="261"/>
        <v>678.55589225550534</v>
      </c>
      <c r="M626" s="306">
        <f t="shared" ca="1" si="277"/>
        <v>-1.4969719060541145</v>
      </c>
      <c r="N626" s="304">
        <f t="shared" ca="1" si="278"/>
        <v>-85.770172266555122</v>
      </c>
      <c r="P626" s="310">
        <f t="shared" ca="1" si="279"/>
        <v>23</v>
      </c>
      <c r="Q626" s="304">
        <f t="shared" ca="1" si="280"/>
        <v>0</v>
      </c>
      <c r="R626" s="306">
        <f t="shared" ca="1" si="281"/>
        <v>0</v>
      </c>
      <c r="S626" s="307">
        <f t="shared" ca="1" si="282"/>
        <v>4.341000000000002</v>
      </c>
      <c r="T626" s="304">
        <f t="shared" ca="1" si="262"/>
        <v>42.585210000000025</v>
      </c>
      <c r="U626" s="311">
        <f t="shared" ca="1" si="263"/>
        <v>0</v>
      </c>
      <c r="V626" s="306">
        <f t="shared" ca="1" si="264"/>
        <v>1.2256486229453931</v>
      </c>
      <c r="W626" s="304">
        <f t="shared" ca="1" si="265"/>
        <v>38.7781064383041</v>
      </c>
      <c r="Y626" s="314" t="str">
        <f t="shared" ca="1" si="283"/>
        <v/>
      </c>
      <c r="Z626" s="315" t="str">
        <f t="shared" ca="1" si="284"/>
        <v/>
      </c>
      <c r="AA626" s="316" t="str">
        <f t="shared" ca="1" si="285"/>
        <v/>
      </c>
      <c r="AC626" s="310" t="e">
        <f t="shared" ca="1" si="286"/>
        <v>#N/A</v>
      </c>
      <c r="AD626" s="323" t="e">
        <f t="shared" ca="1" si="287"/>
        <v>#N/A</v>
      </c>
      <c r="AE626" s="324" t="e">
        <f t="shared" ca="1" si="266"/>
        <v>#N/A</v>
      </c>
      <c r="AG626" s="306">
        <f t="shared" ca="1" si="288"/>
        <v>0.85031404478347916</v>
      </c>
      <c r="AH626" s="304">
        <f t="shared" ca="1" si="289"/>
        <v>-8.9329650927331485</v>
      </c>
    </row>
    <row r="627" spans="1:34" x14ac:dyDescent="0.2">
      <c r="A627" s="347">
        <f t="shared" ca="1" si="267"/>
        <v>1E-4</v>
      </c>
      <c r="B627" s="304">
        <f t="shared" ca="1" si="268"/>
        <v>28.624700000000082</v>
      </c>
      <c r="D627" s="306">
        <f t="shared" ca="1" si="269"/>
        <v>-0.65887389580335032</v>
      </c>
      <c r="E627" s="307">
        <f t="shared" ca="1" si="270"/>
        <v>-0.90134226955074581</v>
      </c>
      <c r="F627" s="304">
        <f t="shared" ca="1" si="271"/>
        <v>1.1164822871187763</v>
      </c>
      <c r="G627" s="306">
        <f t="shared" ca="1" si="272"/>
        <v>7.2835089648683171</v>
      </c>
      <c r="H627" s="307">
        <f t="shared" ca="1" si="273"/>
        <v>-98.481568648044686</v>
      </c>
      <c r="I627" s="304">
        <f t="shared" ca="1" si="274"/>
        <v>98.750538561674972</v>
      </c>
      <c r="J627" s="306">
        <f t="shared" ca="1" si="275"/>
        <v>678.53524446899166</v>
      </c>
      <c r="K627" s="307">
        <f t="shared" ca="1" si="276"/>
        <v>-5.3033279219165452</v>
      </c>
      <c r="L627" s="304">
        <f t="shared" ca="1" si="261"/>
        <v>678.55596915334968</v>
      </c>
      <c r="M627" s="306">
        <f t="shared" ca="1" si="277"/>
        <v>-1.4969726387690148</v>
      </c>
      <c r="N627" s="304">
        <f t="shared" ca="1" si="278"/>
        <v>-85.770214248026505</v>
      </c>
      <c r="P627" s="310">
        <f t="shared" ca="1" si="279"/>
        <v>23</v>
      </c>
      <c r="Q627" s="304">
        <f t="shared" ca="1" si="280"/>
        <v>0</v>
      </c>
      <c r="R627" s="306">
        <f t="shared" ca="1" si="281"/>
        <v>0</v>
      </c>
      <c r="S627" s="307">
        <f t="shared" ca="1" si="282"/>
        <v>4.341000000000002</v>
      </c>
      <c r="T627" s="304">
        <f t="shared" ca="1" si="262"/>
        <v>42.585210000000025</v>
      </c>
      <c r="U627" s="311">
        <f t="shared" ca="1" si="263"/>
        <v>0</v>
      </c>
      <c r="V627" s="306">
        <f t="shared" ca="1" si="264"/>
        <v>1.2256498299835097</v>
      </c>
      <c r="W627" s="304">
        <f t="shared" ca="1" si="265"/>
        <v>38.778211407457711</v>
      </c>
      <c r="Y627" s="314" t="str">
        <f t="shared" ca="1" si="283"/>
        <v/>
      </c>
      <c r="Z627" s="315" t="str">
        <f t="shared" ca="1" si="284"/>
        <v/>
      </c>
      <c r="AA627" s="316" t="str">
        <f t="shared" ca="1" si="285"/>
        <v/>
      </c>
      <c r="AC627" s="310" t="e">
        <f t="shared" ca="1" si="286"/>
        <v>#N/A</v>
      </c>
      <c r="AD627" s="323" t="e">
        <f t="shared" ca="1" si="287"/>
        <v>#N/A</v>
      </c>
      <c r="AE627" s="324" t="e">
        <f t="shared" ca="1" si="266"/>
        <v>#N/A</v>
      </c>
      <c r="AG627" s="306">
        <f t="shared" ca="1" si="288"/>
        <v>0.85029039371801751</v>
      </c>
      <c r="AH627" s="304">
        <f t="shared" ca="1" si="289"/>
        <v>-8.9329892739700725</v>
      </c>
    </row>
    <row r="628" spans="1:34" x14ac:dyDescent="0.2">
      <c r="A628" s="347">
        <f t="shared" ca="1" si="267"/>
        <v>1E-4</v>
      </c>
      <c r="B628" s="304">
        <f t="shared" ca="1" si="268"/>
        <v>28.624800000000082</v>
      </c>
      <c r="D628" s="306">
        <f t="shared" ca="1" si="269"/>
        <v>-0.65886915179683925</v>
      </c>
      <c r="E628" s="307">
        <f t="shared" ca="1" si="270"/>
        <v>-0.90131767177930655</v>
      </c>
      <c r="F628" s="304">
        <f t="shared" ca="1" si="271"/>
        <v>1.1164596296557956</v>
      </c>
      <c r="G628" s="306">
        <f t="shared" ca="1" si="272"/>
        <v>7.2834430779531374</v>
      </c>
      <c r="H628" s="307">
        <f t="shared" ca="1" si="273"/>
        <v>-98.481658779811866</v>
      </c>
      <c r="I628" s="304">
        <f t="shared" ca="1" si="274"/>
        <v>98.750623588375774</v>
      </c>
      <c r="J628" s="306">
        <f t="shared" ca="1" si="275"/>
        <v>678.53524446899166</v>
      </c>
      <c r="K628" s="307">
        <f t="shared" ca="1" si="276"/>
        <v>-5.3131760832879378</v>
      </c>
      <c r="L628" s="304">
        <f t="shared" ca="1" si="261"/>
        <v>678.55604619418602</v>
      </c>
      <c r="M628" s="306">
        <f t="shared" ca="1" si="277"/>
        <v>-1.4969733714760254</v>
      </c>
      <c r="N628" s="304">
        <f t="shared" ca="1" si="278"/>
        <v>-85.770256229045827</v>
      </c>
      <c r="P628" s="310">
        <f t="shared" ca="1" si="279"/>
        <v>23</v>
      </c>
      <c r="Q628" s="304">
        <f t="shared" ca="1" si="280"/>
        <v>0</v>
      </c>
      <c r="R628" s="306">
        <f t="shared" ca="1" si="281"/>
        <v>0</v>
      </c>
      <c r="S628" s="307">
        <f t="shared" ca="1" si="282"/>
        <v>4.341000000000002</v>
      </c>
      <c r="T628" s="304">
        <f t="shared" ca="1" si="262"/>
        <v>42.585210000000025</v>
      </c>
      <c r="U628" s="311">
        <f t="shared" ca="1" si="263"/>
        <v>0</v>
      </c>
      <c r="V628" s="306">
        <f t="shared" ca="1" si="264"/>
        <v>1.22565103702392</v>
      </c>
      <c r="W628" s="304">
        <f t="shared" ca="1" si="265"/>
        <v>38.778316375015436</v>
      </c>
      <c r="Y628" s="314" t="str">
        <f t="shared" ca="1" si="283"/>
        <v/>
      </c>
      <c r="Z628" s="315" t="str">
        <f t="shared" ca="1" si="284"/>
        <v/>
      </c>
      <c r="AA628" s="316" t="str">
        <f t="shared" ca="1" si="285"/>
        <v/>
      </c>
      <c r="AC628" s="310" t="e">
        <f t="shared" ca="1" si="286"/>
        <v>#N/A</v>
      </c>
      <c r="AD628" s="323" t="e">
        <f t="shared" ca="1" si="287"/>
        <v>#N/A</v>
      </c>
      <c r="AE628" s="324" t="e">
        <f t="shared" ca="1" si="266"/>
        <v>#N/A</v>
      </c>
      <c r="AG628" s="306">
        <f t="shared" ca="1" si="288"/>
        <v>0.85026674300922345</v>
      </c>
      <c r="AH628" s="304">
        <f t="shared" ca="1" si="289"/>
        <v>-8.9330134548393669</v>
      </c>
    </row>
    <row r="629" spans="1:34" x14ac:dyDescent="0.2">
      <c r="A629" s="347">
        <f t="shared" ca="1" si="267"/>
        <v>1E-4</v>
      </c>
      <c r="B629" s="304">
        <f t="shared" ca="1" si="268"/>
        <v>28.624900000000082</v>
      </c>
      <c r="D629" s="306">
        <f t="shared" ca="1" si="269"/>
        <v>-0.65886440779780775</v>
      </c>
      <c r="E629" s="307">
        <f t="shared" ca="1" si="270"/>
        <v>-0.90129307438186501</v>
      </c>
      <c r="F629" s="304">
        <f t="shared" ca="1" si="271"/>
        <v>1.1164369726014407</v>
      </c>
      <c r="G629" s="306">
        <f t="shared" ca="1" si="272"/>
        <v>7.2833771915123577</v>
      </c>
      <c r="H629" s="307">
        <f t="shared" ca="1" si="273"/>
        <v>-98.481748909119304</v>
      </c>
      <c r="I629" s="304">
        <f t="shared" ca="1" si="274"/>
        <v>98.750708612711549</v>
      </c>
      <c r="J629" s="306">
        <f t="shared" ca="1" si="275"/>
        <v>678.53524446899166</v>
      </c>
      <c r="K629" s="307">
        <f t="shared" ca="1" si="276"/>
        <v>-5.3230242536723846</v>
      </c>
      <c r="L629" s="304">
        <f t="shared" ca="1" si="261"/>
        <v>678.55612337801472</v>
      </c>
      <c r="M629" s="306">
        <f t="shared" ca="1" si="277"/>
        <v>-1.4969741041751459</v>
      </c>
      <c r="N629" s="304">
        <f t="shared" ca="1" si="278"/>
        <v>-85.770298209613088</v>
      </c>
      <c r="P629" s="310">
        <f t="shared" ca="1" si="279"/>
        <v>23</v>
      </c>
      <c r="Q629" s="304">
        <f t="shared" ca="1" si="280"/>
        <v>0</v>
      </c>
      <c r="R629" s="306">
        <f t="shared" ca="1" si="281"/>
        <v>0</v>
      </c>
      <c r="S629" s="307">
        <f t="shared" ca="1" si="282"/>
        <v>4.341000000000002</v>
      </c>
      <c r="T629" s="304">
        <f t="shared" ca="1" si="262"/>
        <v>42.585210000000025</v>
      </c>
      <c r="U629" s="311">
        <f t="shared" ca="1" si="263"/>
        <v>0</v>
      </c>
      <c r="V629" s="306">
        <f t="shared" ca="1" si="264"/>
        <v>1.2256522440666244</v>
      </c>
      <c r="W629" s="304">
        <f t="shared" ca="1" si="265"/>
        <v>38.778421340977317</v>
      </c>
      <c r="Y629" s="314" t="str">
        <f t="shared" ca="1" si="283"/>
        <v/>
      </c>
      <c r="Z629" s="315" t="str">
        <f t="shared" ca="1" si="284"/>
        <v/>
      </c>
      <c r="AA629" s="316" t="str">
        <f t="shared" ca="1" si="285"/>
        <v/>
      </c>
      <c r="AC629" s="310" t="e">
        <f t="shared" ca="1" si="286"/>
        <v>#N/A</v>
      </c>
      <c r="AD629" s="323" t="e">
        <f t="shared" ca="1" si="287"/>
        <v>#N/A</v>
      </c>
      <c r="AE629" s="324" t="e">
        <f t="shared" ca="1" si="266"/>
        <v>#N/A</v>
      </c>
      <c r="AG629" s="306">
        <f t="shared" ca="1" si="288"/>
        <v>0.85024309265710052</v>
      </c>
      <c r="AH629" s="304">
        <f t="shared" ca="1" si="289"/>
        <v>-8.9330376353410319</v>
      </c>
    </row>
    <row r="630" spans="1:34" x14ac:dyDescent="0.2">
      <c r="A630" s="347">
        <f t="shared" ca="1" si="267"/>
        <v>1E-4</v>
      </c>
      <c r="B630" s="304">
        <f t="shared" ca="1" si="268"/>
        <v>28.625000000000082</v>
      </c>
      <c r="D630" s="306">
        <f t="shared" ca="1" si="269"/>
        <v>-0.6588596638062616</v>
      </c>
      <c r="E630" s="307">
        <f t="shared" ca="1" si="270"/>
        <v>-0.90126847735841054</v>
      </c>
      <c r="F630" s="304">
        <f t="shared" ca="1" si="271"/>
        <v>1.1164143159557063</v>
      </c>
      <c r="G630" s="306">
        <f t="shared" ca="1" si="272"/>
        <v>7.2833113055459773</v>
      </c>
      <c r="H630" s="307">
        <f t="shared" ca="1" si="273"/>
        <v>-98.481839035967042</v>
      </c>
      <c r="I630" s="304">
        <f t="shared" ca="1" si="274"/>
        <v>98.750793634682324</v>
      </c>
      <c r="J630" s="306">
        <f t="shared" ca="1" si="275"/>
        <v>678.53524446899166</v>
      </c>
      <c r="K630" s="307">
        <f t="shared" ca="1" si="276"/>
        <v>-5.3328724330696389</v>
      </c>
      <c r="L630" s="304">
        <f t="shared" ca="1" si="261"/>
        <v>678.55620070483599</v>
      </c>
      <c r="M630" s="306">
        <f t="shared" ca="1" si="277"/>
        <v>-1.4969748368663769</v>
      </c>
      <c r="N630" s="304">
        <f t="shared" ca="1" si="278"/>
        <v>-85.770340189728316</v>
      </c>
      <c r="P630" s="310">
        <f t="shared" ca="1" si="279"/>
        <v>23</v>
      </c>
      <c r="Q630" s="304">
        <f t="shared" ca="1" si="280"/>
        <v>0</v>
      </c>
      <c r="R630" s="306">
        <f t="shared" ca="1" si="281"/>
        <v>0</v>
      </c>
      <c r="S630" s="307">
        <f t="shared" ca="1" si="282"/>
        <v>4.341000000000002</v>
      </c>
      <c r="T630" s="304">
        <f t="shared" ca="1" si="262"/>
        <v>42.585210000000025</v>
      </c>
      <c r="U630" s="311">
        <f t="shared" ca="1" si="263"/>
        <v>0</v>
      </c>
      <c r="V630" s="306">
        <f t="shared" ca="1" si="264"/>
        <v>1.2256534511116224</v>
      </c>
      <c r="W630" s="304">
        <f t="shared" ca="1" si="265"/>
        <v>38.778526305343362</v>
      </c>
      <c r="Y630" s="314" t="str">
        <f t="shared" ca="1" si="283"/>
        <v/>
      </c>
      <c r="Z630" s="315" t="str">
        <f t="shared" ca="1" si="284"/>
        <v/>
      </c>
      <c r="AA630" s="316" t="str">
        <f t="shared" ca="1" si="285"/>
        <v/>
      </c>
      <c r="AC630" s="310" t="e">
        <f t="shared" ca="1" si="286"/>
        <v>#N/A</v>
      </c>
      <c r="AD630" s="323" t="e">
        <f t="shared" ca="1" si="287"/>
        <v>#N/A</v>
      </c>
      <c r="AE630" s="324" t="e">
        <f t="shared" ca="1" si="266"/>
        <v>#N/A</v>
      </c>
      <c r="AG630" s="306">
        <f t="shared" ca="1" si="288"/>
        <v>0.85021944266163807</v>
      </c>
      <c r="AH630" s="304">
        <f t="shared" ca="1" si="289"/>
        <v>-8.9330618154750745</v>
      </c>
    </row>
    <row r="631" spans="1:34" x14ac:dyDescent="0.2">
      <c r="A631" s="347">
        <f t="shared" ca="1" si="267"/>
        <v>1E-4</v>
      </c>
      <c r="B631" s="304">
        <f t="shared" ca="1" si="268"/>
        <v>28.625100000000081</v>
      </c>
      <c r="D631" s="306">
        <f t="shared" ca="1" si="269"/>
        <v>-0.65885491982219646</v>
      </c>
      <c r="E631" s="307">
        <f t="shared" ca="1" si="270"/>
        <v>-0.90124388070894312</v>
      </c>
      <c r="F631" s="304">
        <f t="shared" ca="1" si="271"/>
        <v>1.1163916597185901</v>
      </c>
      <c r="G631" s="306">
        <f t="shared" ca="1" si="272"/>
        <v>7.2832454200539951</v>
      </c>
      <c r="H631" s="307">
        <f t="shared" ca="1" si="273"/>
        <v>-98.481929160355108</v>
      </c>
      <c r="I631" s="304">
        <f t="shared" ca="1" si="274"/>
        <v>98.75087865428813</v>
      </c>
      <c r="J631" s="306">
        <f t="shared" ca="1" si="275"/>
        <v>678.53524446899166</v>
      </c>
      <c r="K631" s="307">
        <f t="shared" ca="1" si="276"/>
        <v>-5.3427206214794554</v>
      </c>
      <c r="L631" s="304">
        <f t="shared" ca="1" si="261"/>
        <v>678.55627817465029</v>
      </c>
      <c r="M631" s="306">
        <f t="shared" ca="1" si="277"/>
        <v>-1.4969755695497182</v>
      </c>
      <c r="N631" s="304">
        <f t="shared" ca="1" si="278"/>
        <v>-85.770382169391482</v>
      </c>
      <c r="P631" s="310">
        <f t="shared" ca="1" si="279"/>
        <v>23</v>
      </c>
      <c r="Q631" s="304">
        <f t="shared" ca="1" si="280"/>
        <v>0</v>
      </c>
      <c r="R631" s="306">
        <f t="shared" ca="1" si="281"/>
        <v>0</v>
      </c>
      <c r="S631" s="307">
        <f t="shared" ca="1" si="282"/>
        <v>4.341000000000002</v>
      </c>
      <c r="T631" s="304">
        <f t="shared" ca="1" si="262"/>
        <v>42.585210000000025</v>
      </c>
      <c r="U631" s="311">
        <f t="shared" ca="1" si="263"/>
        <v>0</v>
      </c>
      <c r="V631" s="306">
        <f t="shared" ca="1" si="264"/>
        <v>1.2256546581589138</v>
      </c>
      <c r="W631" s="304">
        <f t="shared" ca="1" si="265"/>
        <v>38.778631268113578</v>
      </c>
      <c r="Y631" s="314" t="str">
        <f t="shared" ca="1" si="283"/>
        <v/>
      </c>
      <c r="Z631" s="315" t="str">
        <f t="shared" ca="1" si="284"/>
        <v/>
      </c>
      <c r="AA631" s="316" t="str">
        <f t="shared" ca="1" si="285"/>
        <v/>
      </c>
      <c r="AC631" s="310" t="e">
        <f t="shared" ca="1" si="286"/>
        <v>#N/A</v>
      </c>
      <c r="AD631" s="323" t="e">
        <f t="shared" ca="1" si="287"/>
        <v>#N/A</v>
      </c>
      <c r="AE631" s="324" t="e">
        <f t="shared" ca="1" si="266"/>
        <v>#N/A</v>
      </c>
      <c r="AG631" s="306">
        <f t="shared" ca="1" si="288"/>
        <v>0.85019579302283255</v>
      </c>
      <c r="AH631" s="304">
        <f t="shared" ca="1" si="289"/>
        <v>-8.9330859952414983</v>
      </c>
    </row>
    <row r="632" spans="1:34" x14ac:dyDescent="0.2">
      <c r="A632" s="347">
        <f t="shared" ca="1" si="267"/>
        <v>1E-4</v>
      </c>
      <c r="B632" s="304">
        <f t="shared" ca="1" si="268"/>
        <v>28.625200000000081</v>
      </c>
      <c r="D632" s="306">
        <f t="shared" ca="1" si="269"/>
        <v>-0.65885017584561589</v>
      </c>
      <c r="E632" s="307">
        <f t="shared" ca="1" si="270"/>
        <v>-0.90121928443345567</v>
      </c>
      <c r="F632" s="304">
        <f t="shared" ca="1" si="271"/>
        <v>1.1163690038900889</v>
      </c>
      <c r="G632" s="306">
        <f t="shared" ca="1" si="272"/>
        <v>7.2831795350364104</v>
      </c>
      <c r="H632" s="307">
        <f t="shared" ca="1" si="273"/>
        <v>-98.482019282283545</v>
      </c>
      <c r="I632" s="304">
        <f t="shared" ca="1" si="274"/>
        <v>98.750963671529007</v>
      </c>
      <c r="J632" s="306">
        <f t="shared" ca="1" si="275"/>
        <v>678.53524446899166</v>
      </c>
      <c r="K632" s="307">
        <f t="shared" ca="1" si="276"/>
        <v>-5.3525688189015872</v>
      </c>
      <c r="L632" s="304">
        <f t="shared" ca="1" si="261"/>
        <v>678.55635578745807</v>
      </c>
      <c r="M632" s="306">
        <f t="shared" ca="1" si="277"/>
        <v>-1.4969763022251701</v>
      </c>
      <c r="N632" s="304">
        <f t="shared" ca="1" si="278"/>
        <v>-85.770424148602629</v>
      </c>
      <c r="P632" s="310">
        <f t="shared" ca="1" si="279"/>
        <v>23</v>
      </c>
      <c r="Q632" s="304">
        <f t="shared" ca="1" si="280"/>
        <v>0</v>
      </c>
      <c r="R632" s="306">
        <f t="shared" ca="1" si="281"/>
        <v>0</v>
      </c>
      <c r="S632" s="307">
        <f t="shared" ca="1" si="282"/>
        <v>4.341000000000002</v>
      </c>
      <c r="T632" s="304">
        <f t="shared" ca="1" si="262"/>
        <v>42.585210000000025</v>
      </c>
      <c r="U632" s="311">
        <f t="shared" ca="1" si="263"/>
        <v>0</v>
      </c>
      <c r="V632" s="306">
        <f t="shared" ca="1" si="264"/>
        <v>1.2256558652084986</v>
      </c>
      <c r="W632" s="304">
        <f t="shared" ca="1" si="265"/>
        <v>38.778736229287972</v>
      </c>
      <c r="Y632" s="314" t="str">
        <f t="shared" ca="1" si="283"/>
        <v/>
      </c>
      <c r="Z632" s="315" t="str">
        <f t="shared" ca="1" si="284"/>
        <v/>
      </c>
      <c r="AA632" s="316" t="str">
        <f t="shared" ca="1" si="285"/>
        <v/>
      </c>
      <c r="AC632" s="310" t="e">
        <f t="shared" ca="1" si="286"/>
        <v>#N/A</v>
      </c>
      <c r="AD632" s="323" t="e">
        <f t="shared" ca="1" si="287"/>
        <v>#N/A</v>
      </c>
      <c r="AE632" s="324" t="e">
        <f t="shared" ca="1" si="266"/>
        <v>#N/A</v>
      </c>
      <c r="AG632" s="306">
        <f t="shared" ca="1" si="288"/>
        <v>0.85017214374068573</v>
      </c>
      <c r="AH632" s="304">
        <f t="shared" ca="1" si="289"/>
        <v>-8.933110174640305</v>
      </c>
    </row>
    <row r="633" spans="1:34" x14ac:dyDescent="0.2">
      <c r="A633" s="347">
        <f t="shared" ca="1" si="267"/>
        <v>1E-4</v>
      </c>
      <c r="B633" s="304">
        <f t="shared" ca="1" si="268"/>
        <v>28.625300000000081</v>
      </c>
      <c r="D633" s="306">
        <f t="shared" ca="1" si="269"/>
        <v>-0.65884543187651934</v>
      </c>
      <c r="E633" s="307">
        <f t="shared" ca="1" si="270"/>
        <v>-0.90119468853195528</v>
      </c>
      <c r="F633" s="304">
        <f t="shared" ca="1" si="271"/>
        <v>1.1163463484702072</v>
      </c>
      <c r="G633" s="306">
        <f t="shared" ca="1" si="272"/>
        <v>7.283113650493223</v>
      </c>
      <c r="H633" s="307">
        <f t="shared" ca="1" si="273"/>
        <v>-98.482109401752396</v>
      </c>
      <c r="I633" s="304">
        <f t="shared" ca="1" si="274"/>
        <v>98.751048686404985</v>
      </c>
      <c r="J633" s="306">
        <f t="shared" ca="1" si="275"/>
        <v>678.53524446899166</v>
      </c>
      <c r="K633" s="307">
        <f t="shared" ca="1" si="276"/>
        <v>-5.3624170253357892</v>
      </c>
      <c r="L633" s="304">
        <f t="shared" ca="1" si="261"/>
        <v>678.55643354325946</v>
      </c>
      <c r="M633" s="306">
        <f t="shared" ca="1" si="277"/>
        <v>-1.4969770348927327</v>
      </c>
      <c r="N633" s="304">
        <f t="shared" ca="1" si="278"/>
        <v>-85.770466127361757</v>
      </c>
      <c r="P633" s="310">
        <f t="shared" ca="1" si="279"/>
        <v>23</v>
      </c>
      <c r="Q633" s="304">
        <f t="shared" ca="1" si="280"/>
        <v>0</v>
      </c>
      <c r="R633" s="306">
        <f t="shared" ca="1" si="281"/>
        <v>0</v>
      </c>
      <c r="S633" s="307">
        <f t="shared" ca="1" si="282"/>
        <v>4.341000000000002</v>
      </c>
      <c r="T633" s="304">
        <f t="shared" ca="1" si="262"/>
        <v>42.585210000000025</v>
      </c>
      <c r="U633" s="311">
        <f t="shared" ca="1" si="263"/>
        <v>0</v>
      </c>
      <c r="V633" s="306">
        <f t="shared" ca="1" si="264"/>
        <v>1.2256570722603775</v>
      </c>
      <c r="W633" s="304">
        <f t="shared" ca="1" si="265"/>
        <v>38.778841188866608</v>
      </c>
      <c r="Y633" s="314" t="str">
        <f t="shared" ca="1" si="283"/>
        <v/>
      </c>
      <c r="Z633" s="315" t="str">
        <f t="shared" ca="1" si="284"/>
        <v/>
      </c>
      <c r="AA633" s="316" t="str">
        <f t="shared" ca="1" si="285"/>
        <v/>
      </c>
      <c r="AC633" s="310" t="e">
        <f t="shared" ca="1" si="286"/>
        <v>#N/A</v>
      </c>
      <c r="AD633" s="323" t="e">
        <f t="shared" ca="1" si="287"/>
        <v>#N/A</v>
      </c>
      <c r="AE633" s="324" t="e">
        <f t="shared" ca="1" si="266"/>
        <v>#N/A</v>
      </c>
      <c r="AG633" s="306">
        <f t="shared" ca="1" si="288"/>
        <v>0.85014849481519583</v>
      </c>
      <c r="AH633" s="304">
        <f t="shared" ca="1" si="289"/>
        <v>-8.9331343536714929</v>
      </c>
    </row>
    <row r="634" spans="1:34" x14ac:dyDescent="0.2">
      <c r="A634" s="347">
        <f t="shared" ca="1" si="267"/>
        <v>1E-4</v>
      </c>
      <c r="B634" s="304">
        <f t="shared" ca="1" si="268"/>
        <v>28.625400000000081</v>
      </c>
      <c r="D634" s="306">
        <f t="shared" ca="1" si="269"/>
        <v>-0.65884068791490735</v>
      </c>
      <c r="E634" s="307">
        <f t="shared" ca="1" si="270"/>
        <v>-0.90117009300442064</v>
      </c>
      <c r="F634" s="304">
        <f t="shared" ca="1" si="271"/>
        <v>1.1163236934589287</v>
      </c>
      <c r="G634" s="306">
        <f t="shared" ca="1" si="272"/>
        <v>7.2830477664244313</v>
      </c>
      <c r="H634" s="307">
        <f t="shared" ca="1" si="273"/>
        <v>-98.482199518761703</v>
      </c>
      <c r="I634" s="304">
        <f t="shared" ca="1" si="274"/>
        <v>98.751133698916121</v>
      </c>
      <c r="J634" s="306">
        <f t="shared" ca="1" si="275"/>
        <v>678.53524446899166</v>
      </c>
      <c r="K634" s="307">
        <f t="shared" ca="1" si="276"/>
        <v>-5.3722652407818146</v>
      </c>
      <c r="L634" s="304">
        <f t="shared" ca="1" si="261"/>
        <v>678.5565114420549</v>
      </c>
      <c r="M634" s="306">
        <f t="shared" ca="1" si="277"/>
        <v>-1.4969777675524059</v>
      </c>
      <c r="N634" s="304">
        <f t="shared" ca="1" si="278"/>
        <v>-85.770508105668853</v>
      </c>
      <c r="P634" s="310">
        <f t="shared" ca="1" si="279"/>
        <v>23</v>
      </c>
      <c r="Q634" s="304">
        <f t="shared" ca="1" si="280"/>
        <v>0</v>
      </c>
      <c r="R634" s="306">
        <f t="shared" ca="1" si="281"/>
        <v>0</v>
      </c>
      <c r="S634" s="307">
        <f t="shared" ca="1" si="282"/>
        <v>4.341000000000002</v>
      </c>
      <c r="T634" s="304">
        <f t="shared" ca="1" si="262"/>
        <v>42.585210000000025</v>
      </c>
      <c r="U634" s="311">
        <f t="shared" ca="1" si="263"/>
        <v>0</v>
      </c>
      <c r="V634" s="306">
        <f t="shared" ca="1" si="264"/>
        <v>1.2256582793145498</v>
      </c>
      <c r="W634" s="304">
        <f t="shared" ca="1" si="265"/>
        <v>38.778946146849478</v>
      </c>
      <c r="Y634" s="314" t="str">
        <f t="shared" ca="1" si="283"/>
        <v/>
      </c>
      <c r="Z634" s="315" t="str">
        <f t="shared" ca="1" si="284"/>
        <v/>
      </c>
      <c r="AA634" s="316" t="str">
        <f t="shared" ca="1" si="285"/>
        <v/>
      </c>
      <c r="AC634" s="310" t="e">
        <f t="shared" ca="1" si="286"/>
        <v>#N/A</v>
      </c>
      <c r="AD634" s="323" t="e">
        <f t="shared" ca="1" si="287"/>
        <v>#N/A</v>
      </c>
      <c r="AE634" s="324" t="e">
        <f t="shared" ca="1" si="266"/>
        <v>#N/A</v>
      </c>
      <c r="AG634" s="306">
        <f t="shared" ca="1" si="288"/>
        <v>0.8501248462463451</v>
      </c>
      <c r="AH634" s="304">
        <f t="shared" ca="1" si="289"/>
        <v>-8.9331585323350815</v>
      </c>
    </row>
    <row r="635" spans="1:34" x14ac:dyDescent="0.2">
      <c r="A635" s="347">
        <f t="shared" ca="1" si="267"/>
        <v>1E-4</v>
      </c>
      <c r="B635" s="304">
        <f t="shared" ca="1" si="268"/>
        <v>28.625500000000081</v>
      </c>
      <c r="D635" s="306">
        <f t="shared" ca="1" si="269"/>
        <v>-0.65883594396078327</v>
      </c>
      <c r="E635" s="307">
        <f t="shared" ca="1" si="270"/>
        <v>-0.90114549785085352</v>
      </c>
      <c r="F635" s="304">
        <f t="shared" ca="1" si="271"/>
        <v>1.1163010388562571</v>
      </c>
      <c r="G635" s="306">
        <f t="shared" ca="1" si="272"/>
        <v>7.2829818828300352</v>
      </c>
      <c r="H635" s="307">
        <f t="shared" ca="1" si="273"/>
        <v>-98.482289633311495</v>
      </c>
      <c r="I635" s="304">
        <f t="shared" ca="1" si="274"/>
        <v>98.751218709062442</v>
      </c>
      <c r="J635" s="306">
        <f t="shared" ca="1" si="275"/>
        <v>678.53524446899166</v>
      </c>
      <c r="K635" s="307">
        <f t="shared" ca="1" si="276"/>
        <v>-5.382113465239418</v>
      </c>
      <c r="L635" s="304">
        <f t="shared" ca="1" si="261"/>
        <v>678.55658948384473</v>
      </c>
      <c r="M635" s="306">
        <f t="shared" ca="1" si="277"/>
        <v>-1.4969785002041898</v>
      </c>
      <c r="N635" s="304">
        <f t="shared" ca="1" si="278"/>
        <v>-85.770550083523915</v>
      </c>
      <c r="P635" s="310">
        <f t="shared" ca="1" si="279"/>
        <v>23</v>
      </c>
      <c r="Q635" s="304">
        <f t="shared" ca="1" si="280"/>
        <v>0</v>
      </c>
      <c r="R635" s="306">
        <f t="shared" ca="1" si="281"/>
        <v>0</v>
      </c>
      <c r="S635" s="307">
        <f t="shared" ca="1" si="282"/>
        <v>4.341000000000002</v>
      </c>
      <c r="T635" s="304">
        <f t="shared" ca="1" si="262"/>
        <v>42.585210000000025</v>
      </c>
      <c r="U635" s="311">
        <f t="shared" ca="1" si="263"/>
        <v>0</v>
      </c>
      <c r="V635" s="306">
        <f t="shared" ca="1" si="264"/>
        <v>1.2256594863710157</v>
      </c>
      <c r="W635" s="304">
        <f t="shared" ca="1" si="265"/>
        <v>38.779051103236604</v>
      </c>
      <c r="Y635" s="314" t="str">
        <f t="shared" ca="1" si="283"/>
        <v/>
      </c>
      <c r="Z635" s="315" t="str">
        <f t="shared" ca="1" si="284"/>
        <v/>
      </c>
      <c r="AA635" s="316" t="str">
        <f t="shared" ca="1" si="285"/>
        <v/>
      </c>
      <c r="AC635" s="310" t="e">
        <f t="shared" ca="1" si="286"/>
        <v>#N/A</v>
      </c>
      <c r="AD635" s="323" t="e">
        <f t="shared" ca="1" si="287"/>
        <v>#N/A</v>
      </c>
      <c r="AE635" s="324" t="e">
        <f t="shared" ca="1" si="266"/>
        <v>#N/A</v>
      </c>
      <c r="AG635" s="306">
        <f t="shared" ca="1" si="288"/>
        <v>0.85010119803413886</v>
      </c>
      <c r="AH635" s="304">
        <f t="shared" ca="1" si="289"/>
        <v>-8.9331827106310673</v>
      </c>
    </row>
    <row r="636" spans="1:34" x14ac:dyDescent="0.2">
      <c r="A636" s="347">
        <f t="shared" ca="1" si="267"/>
        <v>1E-4</v>
      </c>
      <c r="B636" s="304">
        <f t="shared" ca="1" si="268"/>
        <v>28.62560000000008</v>
      </c>
      <c r="D636" s="306">
        <f t="shared" ca="1" si="269"/>
        <v>-0.65883120001414663</v>
      </c>
      <c r="E636" s="307">
        <f t="shared" ca="1" si="270"/>
        <v>-0.90112090307125214</v>
      </c>
      <c r="F636" s="304">
        <f t="shared" ca="1" si="271"/>
        <v>1.1162783846621906</v>
      </c>
      <c r="G636" s="306">
        <f t="shared" ca="1" si="272"/>
        <v>7.2829159997100339</v>
      </c>
      <c r="H636" s="307">
        <f t="shared" ca="1" si="273"/>
        <v>-98.482379745401801</v>
      </c>
      <c r="I636" s="304">
        <f t="shared" ca="1" si="274"/>
        <v>98.751303716843964</v>
      </c>
      <c r="J636" s="306">
        <f t="shared" ca="1" si="275"/>
        <v>678.53524446899166</v>
      </c>
      <c r="K636" s="307">
        <f t="shared" ca="1" si="276"/>
        <v>-5.3919616987083536</v>
      </c>
      <c r="L636" s="304">
        <f t="shared" ca="1" si="261"/>
        <v>678.5566676686293</v>
      </c>
      <c r="M636" s="306">
        <f t="shared" ca="1" si="277"/>
        <v>-1.4969792328480849</v>
      </c>
      <c r="N636" s="304">
        <f t="shared" ca="1" si="278"/>
        <v>-85.770592060926987</v>
      </c>
      <c r="P636" s="310">
        <f t="shared" ca="1" si="279"/>
        <v>23</v>
      </c>
      <c r="Q636" s="304">
        <f t="shared" ca="1" si="280"/>
        <v>0</v>
      </c>
      <c r="R636" s="306">
        <f t="shared" ca="1" si="281"/>
        <v>0</v>
      </c>
      <c r="S636" s="307">
        <f t="shared" ca="1" si="282"/>
        <v>4.341000000000002</v>
      </c>
      <c r="T636" s="304">
        <f t="shared" ca="1" si="262"/>
        <v>42.585210000000025</v>
      </c>
      <c r="U636" s="311">
        <f t="shared" ca="1" si="263"/>
        <v>0</v>
      </c>
      <c r="V636" s="306">
        <f t="shared" ca="1" si="264"/>
        <v>1.2256606934297753</v>
      </c>
      <c r="W636" s="304">
        <f t="shared" ca="1" si="265"/>
        <v>38.779156058027993</v>
      </c>
      <c r="Y636" s="314" t="str">
        <f t="shared" ca="1" si="283"/>
        <v/>
      </c>
      <c r="Z636" s="315" t="str">
        <f t="shared" ca="1" si="284"/>
        <v/>
      </c>
      <c r="AA636" s="316" t="str">
        <f t="shared" ca="1" si="285"/>
        <v/>
      </c>
      <c r="AC636" s="310" t="e">
        <f t="shared" ca="1" si="286"/>
        <v>#N/A</v>
      </c>
      <c r="AD636" s="323" t="e">
        <f t="shared" ca="1" si="287"/>
        <v>#N/A</v>
      </c>
      <c r="AE636" s="324" t="e">
        <f t="shared" ca="1" si="266"/>
        <v>#N/A</v>
      </c>
      <c r="AG636" s="306">
        <f t="shared" ca="1" si="288"/>
        <v>0.85007755017857178</v>
      </c>
      <c r="AH636" s="304">
        <f t="shared" ca="1" si="289"/>
        <v>-8.9332068885594538</v>
      </c>
    </row>
    <row r="637" spans="1:34" x14ac:dyDescent="0.2">
      <c r="A637" s="347">
        <f t="shared" ca="1" si="267"/>
        <v>1E-4</v>
      </c>
      <c r="B637" s="304">
        <f t="shared" ca="1" si="268"/>
        <v>28.62570000000008</v>
      </c>
      <c r="D637" s="306">
        <f t="shared" ca="1" si="269"/>
        <v>-0.65882645607499501</v>
      </c>
      <c r="E637" s="307">
        <f t="shared" ca="1" si="270"/>
        <v>-0.90109630866561297</v>
      </c>
      <c r="F637" s="304">
        <f t="shared" ca="1" si="271"/>
        <v>1.1162557308767247</v>
      </c>
      <c r="G637" s="306">
        <f t="shared" ca="1" si="272"/>
        <v>7.2828501170644264</v>
      </c>
      <c r="H637" s="307">
        <f t="shared" ca="1" si="273"/>
        <v>-98.482469855032662</v>
      </c>
      <c r="I637" s="304">
        <f t="shared" ca="1" si="274"/>
        <v>98.751388722260728</v>
      </c>
      <c r="J637" s="306">
        <f t="shared" ca="1" si="275"/>
        <v>678.53524446899166</v>
      </c>
      <c r="K637" s="307">
        <f t="shared" ca="1" si="276"/>
        <v>-5.4018099411883753</v>
      </c>
      <c r="L637" s="304">
        <f t="shared" ca="1" si="261"/>
        <v>678.55674599640895</v>
      </c>
      <c r="M637" s="306">
        <f t="shared" ca="1" si="277"/>
        <v>-1.4969799654840907</v>
      </c>
      <c r="N637" s="304">
        <f t="shared" ca="1" si="278"/>
        <v>-85.770634037878054</v>
      </c>
      <c r="P637" s="310">
        <f t="shared" ca="1" si="279"/>
        <v>23</v>
      </c>
      <c r="Q637" s="304">
        <f t="shared" ca="1" si="280"/>
        <v>0</v>
      </c>
      <c r="R637" s="306">
        <f t="shared" ca="1" si="281"/>
        <v>0</v>
      </c>
      <c r="S637" s="307">
        <f t="shared" ca="1" si="282"/>
        <v>4.341000000000002</v>
      </c>
      <c r="T637" s="304">
        <f t="shared" ca="1" si="262"/>
        <v>42.585210000000025</v>
      </c>
      <c r="U637" s="311">
        <f t="shared" ca="1" si="263"/>
        <v>0</v>
      </c>
      <c r="V637" s="306">
        <f t="shared" ca="1" si="264"/>
        <v>1.2256619004908282</v>
      </c>
      <c r="W637" s="304">
        <f t="shared" ca="1" si="265"/>
        <v>38.779261011223639</v>
      </c>
      <c r="Y637" s="314" t="str">
        <f t="shared" ca="1" si="283"/>
        <v/>
      </c>
      <c r="Z637" s="315" t="str">
        <f t="shared" ca="1" si="284"/>
        <v/>
      </c>
      <c r="AA637" s="316" t="str">
        <f t="shared" ca="1" si="285"/>
        <v/>
      </c>
      <c r="AC637" s="310" t="e">
        <f t="shared" ca="1" si="286"/>
        <v>#N/A</v>
      </c>
      <c r="AD637" s="323" t="e">
        <f t="shared" ca="1" si="287"/>
        <v>#N/A</v>
      </c>
      <c r="AE637" s="324" t="e">
        <f t="shared" ca="1" si="266"/>
        <v>#N/A</v>
      </c>
      <c r="AG637" s="306">
        <f t="shared" ca="1" si="288"/>
        <v>0.85005390267964209</v>
      </c>
      <c r="AH637" s="304">
        <f t="shared" ca="1" si="289"/>
        <v>-8.9332310661202428</v>
      </c>
    </row>
    <row r="638" spans="1:34" x14ac:dyDescent="0.2">
      <c r="A638" s="347">
        <f t="shared" ca="1" si="267"/>
        <v>1E-4</v>
      </c>
      <c r="B638" s="304">
        <f t="shared" ca="1" si="268"/>
        <v>28.62580000000008</v>
      </c>
      <c r="D638" s="306">
        <f t="shared" ca="1" si="269"/>
        <v>-0.65882171214333385</v>
      </c>
      <c r="E638" s="307">
        <f t="shared" ca="1" si="270"/>
        <v>-0.90107171463393776</v>
      </c>
      <c r="F638" s="304">
        <f t="shared" ca="1" si="271"/>
        <v>1.1162330774998646</v>
      </c>
      <c r="G638" s="306">
        <f t="shared" ca="1" si="272"/>
        <v>7.2827842348932119</v>
      </c>
      <c r="H638" s="307">
        <f t="shared" ca="1" si="273"/>
        <v>-98.482559962204121</v>
      </c>
      <c r="I638" s="304">
        <f t="shared" ca="1" si="274"/>
        <v>98.751473725312778</v>
      </c>
      <c r="J638" s="306">
        <f t="shared" ca="1" si="275"/>
        <v>678.53524446899166</v>
      </c>
      <c r="K638" s="307">
        <f t="shared" ca="1" si="276"/>
        <v>-5.4116581926792371</v>
      </c>
      <c r="L638" s="304">
        <f t="shared" ca="1" si="261"/>
        <v>678.5568244671839</v>
      </c>
      <c r="M638" s="306">
        <f t="shared" ca="1" si="277"/>
        <v>-1.496980698112208</v>
      </c>
      <c r="N638" s="304">
        <f t="shared" ca="1" si="278"/>
        <v>-85.770676014377116</v>
      </c>
      <c r="P638" s="310">
        <f t="shared" ca="1" si="279"/>
        <v>23</v>
      </c>
      <c r="Q638" s="304">
        <f t="shared" ca="1" si="280"/>
        <v>0</v>
      </c>
      <c r="R638" s="306">
        <f t="shared" ca="1" si="281"/>
        <v>0</v>
      </c>
      <c r="S638" s="307">
        <f t="shared" ca="1" si="282"/>
        <v>4.341000000000002</v>
      </c>
      <c r="T638" s="304">
        <f t="shared" ca="1" si="262"/>
        <v>42.585210000000025</v>
      </c>
      <c r="U638" s="311">
        <f t="shared" ca="1" si="263"/>
        <v>0</v>
      </c>
      <c r="V638" s="306">
        <f t="shared" ca="1" si="264"/>
        <v>1.2256631075541746</v>
      </c>
      <c r="W638" s="304">
        <f t="shared" ca="1" si="265"/>
        <v>38.779365962823604</v>
      </c>
      <c r="Y638" s="314" t="str">
        <f t="shared" ca="1" si="283"/>
        <v/>
      </c>
      <c r="Z638" s="315" t="str">
        <f t="shared" ca="1" si="284"/>
        <v/>
      </c>
      <c r="AA638" s="316" t="str">
        <f t="shared" ca="1" si="285"/>
        <v/>
      </c>
      <c r="AC638" s="310" t="e">
        <f t="shared" ca="1" si="286"/>
        <v>#N/A</v>
      </c>
      <c r="AD638" s="323" t="e">
        <f t="shared" ca="1" si="287"/>
        <v>#N/A</v>
      </c>
      <c r="AE638" s="324" t="e">
        <f t="shared" ca="1" si="266"/>
        <v>#N/A</v>
      </c>
      <c r="AG638" s="306">
        <f t="shared" ca="1" si="288"/>
        <v>0.85003025553735334</v>
      </c>
      <c r="AH638" s="304">
        <f t="shared" ca="1" si="289"/>
        <v>-8.9332552433134342</v>
      </c>
    </row>
    <row r="639" spans="1:34" x14ac:dyDescent="0.2">
      <c r="A639" s="347">
        <f t="shared" ca="1" si="267"/>
        <v>1E-4</v>
      </c>
      <c r="B639" s="304">
        <f t="shared" ca="1" si="268"/>
        <v>28.62590000000008</v>
      </c>
      <c r="D639" s="306">
        <f t="shared" ca="1" si="269"/>
        <v>-0.65881696821915958</v>
      </c>
      <c r="E639" s="307">
        <f t="shared" ca="1" si="270"/>
        <v>-0.90104712097621231</v>
      </c>
      <c r="F639" s="304">
        <f t="shared" ca="1" si="271"/>
        <v>1.116210424531596</v>
      </c>
      <c r="G639" s="306">
        <f t="shared" ca="1" si="272"/>
        <v>7.2827183531963904</v>
      </c>
      <c r="H639" s="307">
        <f t="shared" ca="1" si="273"/>
        <v>-98.482650066916221</v>
      </c>
      <c r="I639" s="304">
        <f t="shared" ca="1" si="274"/>
        <v>98.751558726000155</v>
      </c>
      <c r="J639" s="306">
        <f t="shared" ca="1" si="275"/>
        <v>678.53524446899166</v>
      </c>
      <c r="K639" s="307">
        <f t="shared" ca="1" si="276"/>
        <v>-5.4215064531806929</v>
      </c>
      <c r="L639" s="304">
        <f t="shared" ca="1" si="261"/>
        <v>678.55690308095473</v>
      </c>
      <c r="M639" s="306">
        <f t="shared" ca="1" si="277"/>
        <v>-1.4969814307324365</v>
      </c>
      <c r="N639" s="304">
        <f t="shared" ca="1" si="278"/>
        <v>-85.770717990424203</v>
      </c>
      <c r="P639" s="310">
        <f t="shared" ca="1" si="279"/>
        <v>23</v>
      </c>
      <c r="Q639" s="304">
        <f t="shared" ca="1" si="280"/>
        <v>0</v>
      </c>
      <c r="R639" s="306">
        <f t="shared" ca="1" si="281"/>
        <v>0</v>
      </c>
      <c r="S639" s="307">
        <f t="shared" ca="1" si="282"/>
        <v>4.341000000000002</v>
      </c>
      <c r="T639" s="304">
        <f t="shared" ca="1" si="262"/>
        <v>42.585210000000025</v>
      </c>
      <c r="U639" s="311">
        <f t="shared" ca="1" si="263"/>
        <v>0</v>
      </c>
      <c r="V639" s="306">
        <f t="shared" ca="1" si="264"/>
        <v>1.2256643146198147</v>
      </c>
      <c r="W639" s="304">
        <f t="shared" ca="1" si="265"/>
        <v>38.779470912827897</v>
      </c>
      <c r="Y639" s="314" t="str">
        <f t="shared" ca="1" si="283"/>
        <v/>
      </c>
      <c r="Z639" s="315" t="str">
        <f t="shared" ca="1" si="284"/>
        <v/>
      </c>
      <c r="AA639" s="316" t="str">
        <f t="shared" ca="1" si="285"/>
        <v/>
      </c>
      <c r="AC639" s="310" t="e">
        <f t="shared" ca="1" si="286"/>
        <v>#N/A</v>
      </c>
      <c r="AD639" s="323" t="e">
        <f t="shared" ca="1" si="287"/>
        <v>#N/A</v>
      </c>
      <c r="AE639" s="324" t="e">
        <f t="shared" ca="1" si="266"/>
        <v>#N/A</v>
      </c>
      <c r="AG639" s="306">
        <f t="shared" ca="1" si="288"/>
        <v>0.85000660875168954</v>
      </c>
      <c r="AH639" s="304">
        <f t="shared" ca="1" si="289"/>
        <v>-8.9332794201390424</v>
      </c>
    </row>
    <row r="640" spans="1:34" x14ac:dyDescent="0.2">
      <c r="A640" s="347">
        <f t="shared" ca="1" si="267"/>
        <v>1E-4</v>
      </c>
      <c r="B640" s="304">
        <f t="shared" ca="1" si="268"/>
        <v>28.626000000000079</v>
      </c>
      <c r="D640" s="306">
        <f t="shared" ca="1" si="269"/>
        <v>-0.65881222430247566</v>
      </c>
      <c r="E640" s="307">
        <f t="shared" ca="1" si="270"/>
        <v>-0.9010225276924313</v>
      </c>
      <c r="F640" s="304">
        <f t="shared" ca="1" si="271"/>
        <v>1.1161877719719178</v>
      </c>
      <c r="G640" s="306">
        <f t="shared" ca="1" si="272"/>
        <v>7.28265247197396</v>
      </c>
      <c r="H640" s="307">
        <f t="shared" ca="1" si="273"/>
        <v>-98.482740169168991</v>
      </c>
      <c r="I640" s="304">
        <f t="shared" ca="1" si="274"/>
        <v>98.751643724322889</v>
      </c>
      <c r="J640" s="306">
        <f t="shared" ca="1" si="275"/>
        <v>678.53524446899166</v>
      </c>
      <c r="K640" s="307">
        <f t="shared" ca="1" si="276"/>
        <v>-5.4313547226924968</v>
      </c>
      <c r="L640" s="304">
        <f t="shared" ca="1" si="261"/>
        <v>678.55698183772154</v>
      </c>
      <c r="M640" s="306">
        <f t="shared" ca="1" si="277"/>
        <v>-1.4969821633447762</v>
      </c>
      <c r="N640" s="304">
        <f t="shared" ca="1" si="278"/>
        <v>-85.770759966019284</v>
      </c>
      <c r="P640" s="310">
        <f t="shared" ca="1" si="279"/>
        <v>23</v>
      </c>
      <c r="Q640" s="304">
        <f t="shared" ca="1" si="280"/>
        <v>0</v>
      </c>
      <c r="R640" s="306">
        <f t="shared" ca="1" si="281"/>
        <v>0</v>
      </c>
      <c r="S640" s="307">
        <f t="shared" ca="1" si="282"/>
        <v>4.341000000000002</v>
      </c>
      <c r="T640" s="304">
        <f t="shared" ca="1" si="262"/>
        <v>42.585210000000025</v>
      </c>
      <c r="U640" s="311">
        <f t="shared" ca="1" si="263"/>
        <v>0</v>
      </c>
      <c r="V640" s="306">
        <f t="shared" ca="1" si="264"/>
        <v>1.2256655216877479</v>
      </c>
      <c r="W640" s="304">
        <f t="shared" ca="1" si="265"/>
        <v>38.779575861236516</v>
      </c>
      <c r="Y640" s="314" t="str">
        <f t="shared" ca="1" si="283"/>
        <v/>
      </c>
      <c r="Z640" s="315" t="str">
        <f t="shared" ca="1" si="284"/>
        <v/>
      </c>
      <c r="AA640" s="316" t="str">
        <f t="shared" ca="1" si="285"/>
        <v/>
      </c>
      <c r="AC640" s="310" t="e">
        <f t="shared" ca="1" si="286"/>
        <v>#N/A</v>
      </c>
      <c r="AD640" s="323" t="e">
        <f t="shared" ca="1" si="287"/>
        <v>#N/A</v>
      </c>
      <c r="AE640" s="324" t="e">
        <f t="shared" ca="1" si="266"/>
        <v>#N/A</v>
      </c>
      <c r="AG640" s="306">
        <f t="shared" ca="1" si="288"/>
        <v>0.84998296232264536</v>
      </c>
      <c r="AH640" s="304">
        <f t="shared" ca="1" si="289"/>
        <v>-8.9333035965970691</v>
      </c>
    </row>
    <row r="641" spans="1:34" x14ac:dyDescent="0.2">
      <c r="A641" s="347">
        <f t="shared" ca="1" si="267"/>
        <v>1E-4</v>
      </c>
      <c r="B641" s="304">
        <f t="shared" ca="1" si="268"/>
        <v>28.626100000000079</v>
      </c>
      <c r="D641" s="306">
        <f t="shared" ca="1" si="269"/>
        <v>-0.65880748039328352</v>
      </c>
      <c r="E641" s="307">
        <f t="shared" ca="1" si="270"/>
        <v>-0.90099793478260004</v>
      </c>
      <c r="F641" s="304">
        <f t="shared" ca="1" si="271"/>
        <v>1.1161651198208342</v>
      </c>
      <c r="G641" s="306">
        <f t="shared" ca="1" si="272"/>
        <v>7.2825865912259209</v>
      </c>
      <c r="H641" s="307">
        <f t="shared" ca="1" si="273"/>
        <v>-98.482830268962473</v>
      </c>
      <c r="I641" s="304">
        <f t="shared" ca="1" si="274"/>
        <v>98.751728720281008</v>
      </c>
      <c r="J641" s="306">
        <f t="shared" ca="1" si="275"/>
        <v>678.53524446899166</v>
      </c>
      <c r="K641" s="307">
        <f t="shared" ca="1" si="276"/>
        <v>-5.4412030012144035</v>
      </c>
      <c r="L641" s="304">
        <f t="shared" ca="1" si="261"/>
        <v>678.5570607374849</v>
      </c>
      <c r="M641" s="306">
        <f t="shared" ca="1" si="277"/>
        <v>-1.4969828959492275</v>
      </c>
      <c r="N641" s="304">
        <f t="shared" ca="1" si="278"/>
        <v>-85.770801941162389</v>
      </c>
      <c r="P641" s="310">
        <f t="shared" ca="1" si="279"/>
        <v>23</v>
      </c>
      <c r="Q641" s="304">
        <f t="shared" ca="1" si="280"/>
        <v>0</v>
      </c>
      <c r="R641" s="306">
        <f t="shared" ca="1" si="281"/>
        <v>0</v>
      </c>
      <c r="S641" s="307">
        <f t="shared" ca="1" si="282"/>
        <v>4.341000000000002</v>
      </c>
      <c r="T641" s="304">
        <f t="shared" ca="1" si="262"/>
        <v>42.585210000000025</v>
      </c>
      <c r="U641" s="311">
        <f t="shared" ca="1" si="263"/>
        <v>0</v>
      </c>
      <c r="V641" s="306">
        <f t="shared" ca="1" si="264"/>
        <v>1.2256667287579746</v>
      </c>
      <c r="W641" s="304">
        <f t="shared" ca="1" si="265"/>
        <v>38.779680808049484</v>
      </c>
      <c r="Y641" s="314" t="str">
        <f t="shared" ca="1" si="283"/>
        <v/>
      </c>
      <c r="Z641" s="315" t="str">
        <f t="shared" ca="1" si="284"/>
        <v/>
      </c>
      <c r="AA641" s="316" t="str">
        <f t="shared" ca="1" si="285"/>
        <v/>
      </c>
      <c r="AC641" s="310" t="e">
        <f t="shared" ca="1" si="286"/>
        <v>#N/A</v>
      </c>
      <c r="AD641" s="323" t="e">
        <f t="shared" ca="1" si="287"/>
        <v>#N/A</v>
      </c>
      <c r="AE641" s="324" t="e">
        <f t="shared" ca="1" si="266"/>
        <v>#N/A</v>
      </c>
      <c r="AG641" s="306">
        <f t="shared" ca="1" si="288"/>
        <v>0.84995931625022791</v>
      </c>
      <c r="AH641" s="304">
        <f t="shared" ca="1" si="289"/>
        <v>-8.9333277726875142</v>
      </c>
    </row>
    <row r="642" spans="1:34" x14ac:dyDescent="0.2">
      <c r="A642" s="347">
        <f t="shared" ca="1" si="267"/>
        <v>1E-4</v>
      </c>
      <c r="B642" s="304">
        <f t="shared" ca="1" si="268"/>
        <v>28.626200000000079</v>
      </c>
      <c r="D642" s="306">
        <f t="shared" ca="1" si="269"/>
        <v>-0.65880273649158094</v>
      </c>
      <c r="E642" s="307">
        <f t="shared" ca="1" si="270"/>
        <v>-0.90097334224670966</v>
      </c>
      <c r="F642" s="304">
        <f t="shared" ca="1" si="271"/>
        <v>1.1161424680783372</v>
      </c>
      <c r="G642" s="306">
        <f t="shared" ca="1" si="272"/>
        <v>7.282520710952272</v>
      </c>
      <c r="H642" s="307">
        <f t="shared" ca="1" si="273"/>
        <v>-98.482920366296696</v>
      </c>
      <c r="I642" s="304">
        <f t="shared" ca="1" si="274"/>
        <v>98.751813713874569</v>
      </c>
      <c r="J642" s="306">
        <f t="shared" ca="1" si="275"/>
        <v>678.53524446899166</v>
      </c>
      <c r="K642" s="307">
        <f t="shared" ca="1" si="276"/>
        <v>-5.4510512887461662</v>
      </c>
      <c r="L642" s="304">
        <f t="shared" ca="1" si="261"/>
        <v>678.55713978024494</v>
      </c>
      <c r="M642" s="306">
        <f t="shared" ca="1" si="277"/>
        <v>-1.4969836285457903</v>
      </c>
      <c r="N642" s="304">
        <f t="shared" ca="1" si="278"/>
        <v>-85.770843915853533</v>
      </c>
      <c r="P642" s="310">
        <f t="shared" ca="1" si="279"/>
        <v>23</v>
      </c>
      <c r="Q642" s="304">
        <f t="shared" ca="1" si="280"/>
        <v>0</v>
      </c>
      <c r="R642" s="306">
        <f t="shared" ca="1" si="281"/>
        <v>0</v>
      </c>
      <c r="S642" s="307">
        <f t="shared" ca="1" si="282"/>
        <v>4.341000000000002</v>
      </c>
      <c r="T642" s="304">
        <f t="shared" ca="1" si="262"/>
        <v>42.585210000000025</v>
      </c>
      <c r="U642" s="311">
        <f t="shared" ca="1" si="263"/>
        <v>0</v>
      </c>
      <c r="V642" s="306">
        <f t="shared" ca="1" si="264"/>
        <v>1.2256679358304949</v>
      </c>
      <c r="W642" s="304">
        <f t="shared" ca="1" si="265"/>
        <v>38.779785753266843</v>
      </c>
      <c r="Y642" s="314" t="str">
        <f t="shared" ca="1" si="283"/>
        <v/>
      </c>
      <c r="Z642" s="315" t="str">
        <f t="shared" ca="1" si="284"/>
        <v/>
      </c>
      <c r="AA642" s="316" t="str">
        <f t="shared" ca="1" si="285"/>
        <v/>
      </c>
      <c r="AC642" s="310" t="e">
        <f t="shared" ca="1" si="286"/>
        <v>#N/A</v>
      </c>
      <c r="AD642" s="323" t="e">
        <f t="shared" ca="1" si="287"/>
        <v>#N/A</v>
      </c>
      <c r="AE642" s="324" t="e">
        <f t="shared" ca="1" si="266"/>
        <v>#N/A</v>
      </c>
      <c r="AG642" s="306">
        <f t="shared" ca="1" si="288"/>
        <v>0.84993567053442831</v>
      </c>
      <c r="AH642" s="304">
        <f t="shared" ca="1" si="289"/>
        <v>-8.9333519484103814</v>
      </c>
    </row>
    <row r="643" spans="1:34" x14ac:dyDescent="0.2">
      <c r="A643" s="347">
        <f t="shared" ca="1" si="267"/>
        <v>1E-4</v>
      </c>
      <c r="B643" s="304">
        <f t="shared" ca="1" si="268"/>
        <v>28.626300000000079</v>
      </c>
      <c r="D643" s="306">
        <f t="shared" ca="1" si="269"/>
        <v>-0.65879799259737193</v>
      </c>
      <c r="E643" s="307">
        <f t="shared" ca="1" si="270"/>
        <v>-0.90094875008475306</v>
      </c>
      <c r="F643" s="304">
        <f t="shared" ca="1" si="271"/>
        <v>1.1161198167444237</v>
      </c>
      <c r="G643" s="306">
        <f t="shared" ca="1" si="272"/>
        <v>7.2824548311530126</v>
      </c>
      <c r="H643" s="307">
        <f t="shared" ca="1" si="273"/>
        <v>-98.483010461171702</v>
      </c>
      <c r="I643" s="304">
        <f t="shared" ca="1" si="274"/>
        <v>98.751898705103585</v>
      </c>
      <c r="J643" s="306">
        <f t="shared" ca="1" si="275"/>
        <v>678.53524446899166</v>
      </c>
      <c r="K643" s="307">
        <f t="shared" ca="1" si="276"/>
        <v>-5.4608995852875397</v>
      </c>
      <c r="L643" s="304">
        <f t="shared" ca="1" si="261"/>
        <v>678.5572189660021</v>
      </c>
      <c r="M643" s="306">
        <f t="shared" ca="1" si="277"/>
        <v>-1.4969843611344649</v>
      </c>
      <c r="N643" s="304">
        <f t="shared" ca="1" si="278"/>
        <v>-85.7708858900927</v>
      </c>
      <c r="P643" s="310">
        <f t="shared" ca="1" si="279"/>
        <v>23</v>
      </c>
      <c r="Q643" s="304">
        <f t="shared" ca="1" si="280"/>
        <v>0</v>
      </c>
      <c r="R643" s="306">
        <f t="shared" ca="1" si="281"/>
        <v>0</v>
      </c>
      <c r="S643" s="307">
        <f t="shared" ca="1" si="282"/>
        <v>4.341000000000002</v>
      </c>
      <c r="T643" s="304">
        <f t="shared" ca="1" si="262"/>
        <v>42.585210000000025</v>
      </c>
      <c r="U643" s="311">
        <f t="shared" ca="1" si="263"/>
        <v>0</v>
      </c>
      <c r="V643" s="306">
        <f t="shared" ca="1" si="264"/>
        <v>1.2256691429053084</v>
      </c>
      <c r="W643" s="304">
        <f t="shared" ca="1" si="265"/>
        <v>38.779890696888579</v>
      </c>
      <c r="Y643" s="314" t="str">
        <f t="shared" ca="1" si="283"/>
        <v/>
      </c>
      <c r="Z643" s="315" t="str">
        <f t="shared" ca="1" si="284"/>
        <v/>
      </c>
      <c r="AA643" s="316" t="str">
        <f t="shared" ca="1" si="285"/>
        <v/>
      </c>
      <c r="AC643" s="310" t="e">
        <f t="shared" ca="1" si="286"/>
        <v>#N/A</v>
      </c>
      <c r="AD643" s="323" t="e">
        <f t="shared" ca="1" si="287"/>
        <v>#N/A</v>
      </c>
      <c r="AE643" s="324" t="e">
        <f t="shared" ca="1" si="266"/>
        <v>#N/A</v>
      </c>
      <c r="AG643" s="306">
        <f t="shared" ca="1" si="288"/>
        <v>0.84991202517524123</v>
      </c>
      <c r="AH643" s="304">
        <f t="shared" ca="1" si="289"/>
        <v>-8.9333761237656812</v>
      </c>
    </row>
    <row r="644" spans="1:34" x14ac:dyDescent="0.2">
      <c r="A644" s="347">
        <f t="shared" ca="1" si="267"/>
        <v>1E-4</v>
      </c>
      <c r="B644" s="304">
        <f t="shared" ca="1" si="268"/>
        <v>28.626400000000078</v>
      </c>
      <c r="D644" s="306">
        <f t="shared" ca="1" si="269"/>
        <v>-0.65879324871065392</v>
      </c>
      <c r="E644" s="307">
        <f t="shared" ca="1" si="270"/>
        <v>-0.900924158296732</v>
      </c>
      <c r="F644" s="304">
        <f t="shared" ca="1" si="271"/>
        <v>1.1160971658190932</v>
      </c>
      <c r="G644" s="306">
        <f t="shared" ca="1" si="272"/>
        <v>7.2823889518281417</v>
      </c>
      <c r="H644" s="307">
        <f t="shared" ca="1" si="273"/>
        <v>-98.483100553587533</v>
      </c>
      <c r="I644" s="304">
        <f t="shared" ca="1" si="274"/>
        <v>98.7519836939681</v>
      </c>
      <c r="J644" s="306">
        <f t="shared" ca="1" si="275"/>
        <v>678.53524446899166</v>
      </c>
      <c r="K644" s="307">
        <f t="shared" ca="1" si="276"/>
        <v>-5.4707478908382781</v>
      </c>
      <c r="L644" s="304">
        <f t="shared" ref="L644:L707" ca="1" si="290">SQRT(pos_x^2+pos_z^2)</f>
        <v>678.55729829475672</v>
      </c>
      <c r="M644" s="306">
        <f t="shared" ca="1" si="277"/>
        <v>-1.4969850937152513</v>
      </c>
      <c r="N644" s="304">
        <f t="shared" ca="1" si="278"/>
        <v>-85.770927863879919</v>
      </c>
      <c r="P644" s="310">
        <f t="shared" ca="1" si="279"/>
        <v>23</v>
      </c>
      <c r="Q644" s="304">
        <f t="shared" ca="1" si="280"/>
        <v>0</v>
      </c>
      <c r="R644" s="306">
        <f t="shared" ca="1" si="281"/>
        <v>0</v>
      </c>
      <c r="S644" s="307">
        <f t="shared" ca="1" si="282"/>
        <v>4.341000000000002</v>
      </c>
      <c r="T644" s="304">
        <f t="shared" ref="T644:T707" ca="1" si="291">m*g</f>
        <v>42.585210000000025</v>
      </c>
      <c r="U644" s="311">
        <f t="shared" ref="U644:U707" ca="1" si="292">IF(pos_xz&lt;L_rampe,Poids*COS(Beta),0)</f>
        <v>0</v>
      </c>
      <c r="V644" s="306">
        <f t="shared" ref="V644:V707" ca="1" si="293">Rho_moyen*(20000-Alt_rampe-pos_z)/(20000+Alt_rampe+pos_z)</f>
        <v>1.2256703499824153</v>
      </c>
      <c r="W644" s="304">
        <f t="shared" ref="W644:W707" ca="1" si="294">1/2*Rho*Sref*Cx*vit_xz^2</f>
        <v>38.779995638914727</v>
      </c>
      <c r="Y644" s="314" t="str">
        <f t="shared" ca="1" si="283"/>
        <v/>
      </c>
      <c r="Z644" s="315" t="str">
        <f t="shared" ca="1" si="284"/>
        <v/>
      </c>
      <c r="AA644" s="316" t="str">
        <f t="shared" ca="1" si="285"/>
        <v/>
      </c>
      <c r="AC644" s="310" t="e">
        <f t="shared" ca="1" si="286"/>
        <v>#N/A</v>
      </c>
      <c r="AD644" s="323" t="e">
        <f t="shared" ca="1" si="287"/>
        <v>#N/A</v>
      </c>
      <c r="AE644" s="324" t="e">
        <f t="shared" ref="AE644:AE707" ca="1" si="295">IF(t&lt;T_para, pos_z, NA())</f>
        <v>#N/A</v>
      </c>
      <c r="AG644" s="306">
        <f t="shared" ca="1" si="288"/>
        <v>0.8498883801726631</v>
      </c>
      <c r="AH644" s="304">
        <f t="shared" ca="1" si="289"/>
        <v>-8.933400298753412</v>
      </c>
    </row>
    <row r="645" spans="1:34" x14ac:dyDescent="0.2">
      <c r="A645" s="347">
        <f t="shared" ref="A645:A708" ca="1" si="296">IF(B644+0.01&lt;=T_ini+ROUNDUP(Temps_fin_propu,0), 0.01, IF(K644&gt;0, 0.1, 0.0001))</f>
        <v>1E-4</v>
      </c>
      <c r="B645" s="304">
        <f t="shared" ref="B645:B708" ca="1" si="297">B644+pas</f>
        <v>28.626500000000078</v>
      </c>
      <c r="D645" s="306">
        <f t="shared" ref="D645:D708" ca="1" si="298">IF(AND(L644&lt;L_rampe,Poussee&lt;Poids*SIN(M644)),0,(-W644+Poussee)/m*COS(M644)-U644/m*SIN(M644))</f>
        <v>-0.65878850483142859</v>
      </c>
      <c r="E645" s="307">
        <f t="shared" ref="E645:E708" ca="1" si="299">IF(AND(L644&lt;L_rampe,Poussee&lt;Poids*SIN(M644)),0,(-W644+Poussee)/m*SIN(M644)+U644/m*COS(M644)-Poids/m)</f>
        <v>-0.90089956688263761</v>
      </c>
      <c r="F645" s="304">
        <f t="shared" ref="F645:F708" ca="1" si="300">SQRT(acc_x^2+acc_z^2)</f>
        <v>1.1160745153023399</v>
      </c>
      <c r="G645" s="306">
        <f t="shared" ref="G645:G708" ca="1" si="301">G644+acc_x*pas</f>
        <v>7.2823230729776585</v>
      </c>
      <c r="H645" s="307">
        <f t="shared" ref="H645:H708" ca="1" si="302">H644+acc_z*pas</f>
        <v>-98.483190643544219</v>
      </c>
      <c r="I645" s="304">
        <f t="shared" ref="I645:I708" ca="1" si="303">SQRT(vit_x^2+vit_z^2)</f>
        <v>98.752068680468142</v>
      </c>
      <c r="J645" s="306">
        <f t="shared" ref="J645:J708" ca="1" si="304">J644+0.5*(vit_x+G644)*pas*(K644&gt;=0)</f>
        <v>678.53524446899166</v>
      </c>
      <c r="K645" s="307">
        <f t="shared" ref="K645:K708" ca="1" si="305">K644+0.5*(vit_z+H644)*pas</f>
        <v>-5.4805962053981343</v>
      </c>
      <c r="L645" s="304">
        <f t="shared" ca="1" si="290"/>
        <v>678.55737776650903</v>
      </c>
      <c r="M645" s="306">
        <f t="shared" ref="M645:M708" ca="1" si="306">IF(AND(L644&gt;L_rampe,G645&gt;0),ATAN2(G645,H645),$M$4)</f>
        <v>-1.4969858262881497</v>
      </c>
      <c r="N645" s="304">
        <f t="shared" ref="N645:N708" ca="1" si="307">DEGREES(Beta)</f>
        <v>-85.770969837215176</v>
      </c>
      <c r="P645" s="310">
        <f t="shared" ref="P645:P708" ca="1" si="308">MATCH(t-pas/2-T_ini,CdP_t)</f>
        <v>23</v>
      </c>
      <c r="Q645" s="304">
        <f t="shared" ref="Q645:Q708" ca="1" si="309">(INDEX(CdP,2,i_P+1)-INDEX(CdP,2,i_P+0))/(INDEX(CdP,1,i_P+1)-INDEX(CdP,1,i_P+0))*(t-pas/2-T_ini-INDEX(CdP,1,i_P+0))+INDEX(CdP,2,i_P+0)</f>
        <v>0</v>
      </c>
      <c r="R645" s="306">
        <f t="shared" ref="R645:R708" ca="1" si="310">Poussee/(g*ISP)</f>
        <v>0</v>
      </c>
      <c r="S645" s="307">
        <f t="shared" ref="S645:S708" ca="1" si="311">S644-Débit*pas</f>
        <v>4.341000000000002</v>
      </c>
      <c r="T645" s="304">
        <f t="shared" ca="1" si="291"/>
        <v>42.585210000000025</v>
      </c>
      <c r="U645" s="311">
        <f t="shared" ca="1" si="292"/>
        <v>0</v>
      </c>
      <c r="V645" s="306">
        <f t="shared" ca="1" si="293"/>
        <v>1.2256715570618155</v>
      </c>
      <c r="W645" s="304">
        <f t="shared" ca="1" si="294"/>
        <v>38.780100579345294</v>
      </c>
      <c r="Y645" s="314" t="str">
        <f t="shared" ref="Y645:Y708" ca="1" si="312">IF(AND(pos_z&lt;=0,K644&gt;0),"Impact balistique","") &amp; IF(AND(H646&lt;0,vit_z&gt;=0),"Apogée","") &amp; IF(AND(Poussee=0,Q644&gt;0),"Fin de propulsion","") &amp; IF(AND(L646&gt;L_rampe,pos_xz&lt;=L_rampe),"Sortie de rampe","")</f>
        <v/>
      </c>
      <c r="Z645" s="315" t="str">
        <f t="shared" ref="Z645:Z708" ca="1" si="313">IF(ABS(t-T_para)&lt;pas/2,"Para","")</f>
        <v/>
      </c>
      <c r="AA645" s="316" t="str">
        <f t="shared" ref="AA645:AA708" ca="1" si="314">IF(ABS(t-T_satellite)&lt;pas/2,"Satellite","")</f>
        <v/>
      </c>
      <c r="AC645" s="310" t="e">
        <f t="shared" ref="AC645:AC708" ca="1" si="315">IF(ABS(t-ROUND(t,0))&lt;0.001,t,NA())</f>
        <v>#N/A</v>
      </c>
      <c r="AD645" s="323" t="e">
        <f t="shared" ref="AD645:AD708" ca="1" si="316">IF(ABS(t-ROUND(t,0))&lt;0.001,pos_x,NA())</f>
        <v>#N/A</v>
      </c>
      <c r="AE645" s="324" t="e">
        <f t="shared" ca="1" si="295"/>
        <v>#N/A</v>
      </c>
      <c r="AG645" s="306">
        <f t="shared" ref="AG645:AG708" ca="1" si="317">IF(AND(L644&lt;L_rampe,Poussee&lt;Poids*SIN(M644)),0,(-W644+Poussee)/m-Poids*SIN(M644)/m)</f>
        <v>0.84986473552669395</v>
      </c>
      <c r="AH645" s="304">
        <f t="shared" ref="AH645:AH708" ca="1" si="318">IF(AND(L644&lt;L_rampe,Poussee&lt;Poids*SIN(M644)), g*SIN(M644), (-W644+Poussee)/m)</f>
        <v>-8.933424473373579</v>
      </c>
    </row>
    <row r="646" spans="1:34" x14ac:dyDescent="0.2">
      <c r="A646" s="347">
        <f t="shared" ca="1" si="296"/>
        <v>1E-4</v>
      </c>
      <c r="B646" s="304">
        <f t="shared" ca="1" si="297"/>
        <v>28.626600000000078</v>
      </c>
      <c r="D646" s="306">
        <f t="shared" ca="1" si="298"/>
        <v>-0.65878376095969771</v>
      </c>
      <c r="E646" s="307">
        <f t="shared" ca="1" si="299"/>
        <v>-0.90087497584246812</v>
      </c>
      <c r="F646" s="304">
        <f t="shared" ca="1" si="300"/>
        <v>1.1160518651941636</v>
      </c>
      <c r="G646" s="306">
        <f t="shared" ca="1" si="301"/>
        <v>7.2822571946015628</v>
      </c>
      <c r="H646" s="307">
        <f t="shared" ca="1" si="302"/>
        <v>-98.483280731041802</v>
      </c>
      <c r="I646" s="304">
        <f t="shared" ca="1" si="303"/>
        <v>98.752153664603782</v>
      </c>
      <c r="J646" s="306">
        <f t="shared" ca="1" si="304"/>
        <v>678.53524446899166</v>
      </c>
      <c r="K646" s="307">
        <f t="shared" ca="1" si="305"/>
        <v>-5.4904445289668633</v>
      </c>
      <c r="L646" s="304">
        <f t="shared" ca="1" si="290"/>
        <v>678.55745738125961</v>
      </c>
      <c r="M646" s="306">
        <f t="shared" ca="1" si="306"/>
        <v>-1.4969865588531599</v>
      </c>
      <c r="N646" s="304">
        <f t="shared" ca="1" si="307"/>
        <v>-85.771011810098486</v>
      </c>
      <c r="P646" s="310">
        <f t="shared" ca="1" si="308"/>
        <v>23</v>
      </c>
      <c r="Q646" s="304">
        <f t="shared" ca="1" si="309"/>
        <v>0</v>
      </c>
      <c r="R646" s="306">
        <f t="shared" ca="1" si="310"/>
        <v>0</v>
      </c>
      <c r="S646" s="307">
        <f t="shared" ca="1" si="311"/>
        <v>4.341000000000002</v>
      </c>
      <c r="T646" s="304">
        <f t="shared" ca="1" si="291"/>
        <v>42.585210000000025</v>
      </c>
      <c r="U646" s="311">
        <f t="shared" ca="1" si="292"/>
        <v>0</v>
      </c>
      <c r="V646" s="306">
        <f t="shared" ca="1" si="293"/>
        <v>1.2256727641435092</v>
      </c>
      <c r="W646" s="304">
        <f t="shared" ca="1" si="294"/>
        <v>38.780205518180331</v>
      </c>
      <c r="Y646" s="314" t="str">
        <f t="shared" ca="1" si="312"/>
        <v/>
      </c>
      <c r="Z646" s="315" t="str">
        <f t="shared" ca="1" si="313"/>
        <v/>
      </c>
      <c r="AA646" s="316" t="str">
        <f t="shared" ca="1" si="314"/>
        <v/>
      </c>
      <c r="AC646" s="310" t="e">
        <f t="shared" ca="1" si="315"/>
        <v>#N/A</v>
      </c>
      <c r="AD646" s="323" t="e">
        <f t="shared" ca="1" si="316"/>
        <v>#N/A</v>
      </c>
      <c r="AE646" s="324" t="e">
        <f t="shared" ca="1" si="295"/>
        <v>#N/A</v>
      </c>
      <c r="AG646" s="306">
        <f t="shared" ca="1" si="317"/>
        <v>0.84984109123732487</v>
      </c>
      <c r="AH646" s="304">
        <f t="shared" ca="1" si="318"/>
        <v>-8.9334486476261876</v>
      </c>
    </row>
    <row r="647" spans="1:34" x14ac:dyDescent="0.2">
      <c r="A647" s="347">
        <f t="shared" ca="1" si="296"/>
        <v>1E-4</v>
      </c>
      <c r="B647" s="304">
        <f t="shared" ca="1" si="297"/>
        <v>28.626700000000078</v>
      </c>
      <c r="D647" s="306">
        <f t="shared" ca="1" si="298"/>
        <v>-0.65877901709546327</v>
      </c>
      <c r="E647" s="307">
        <f t="shared" ca="1" si="299"/>
        <v>-0.90085038517621463</v>
      </c>
      <c r="F647" s="304">
        <f t="shared" ca="1" si="300"/>
        <v>1.1160292154945581</v>
      </c>
      <c r="G647" s="306">
        <f t="shared" ca="1" si="301"/>
        <v>7.2821913166998531</v>
      </c>
      <c r="H647" s="307">
        <f t="shared" ca="1" si="302"/>
        <v>-98.483370816080324</v>
      </c>
      <c r="I647" s="304">
        <f t="shared" ca="1" si="303"/>
        <v>98.752238646374991</v>
      </c>
      <c r="J647" s="306">
        <f t="shared" ca="1" si="304"/>
        <v>678.53524446899166</v>
      </c>
      <c r="K647" s="307">
        <f t="shared" ca="1" si="305"/>
        <v>-5.500292861544219</v>
      </c>
      <c r="L647" s="304">
        <f t="shared" ca="1" si="290"/>
        <v>678.55753713900867</v>
      </c>
      <c r="M647" s="306">
        <f t="shared" ca="1" si="306"/>
        <v>-1.4969872914102824</v>
      </c>
      <c r="N647" s="304">
        <f t="shared" ca="1" si="307"/>
        <v>-85.771053782529862</v>
      </c>
      <c r="P647" s="310">
        <f t="shared" ca="1" si="308"/>
        <v>23</v>
      </c>
      <c r="Q647" s="304">
        <f t="shared" ca="1" si="309"/>
        <v>0</v>
      </c>
      <c r="R647" s="306">
        <f t="shared" ca="1" si="310"/>
        <v>0</v>
      </c>
      <c r="S647" s="307">
        <f t="shared" ca="1" si="311"/>
        <v>4.341000000000002</v>
      </c>
      <c r="T647" s="304">
        <f t="shared" ca="1" si="291"/>
        <v>42.585210000000025</v>
      </c>
      <c r="U647" s="311">
        <f t="shared" ca="1" si="292"/>
        <v>0</v>
      </c>
      <c r="V647" s="306">
        <f t="shared" ca="1" si="293"/>
        <v>1.2256739712274956</v>
      </c>
      <c r="W647" s="304">
        <f t="shared" ca="1" si="294"/>
        <v>38.780310455419773</v>
      </c>
      <c r="Y647" s="314" t="str">
        <f t="shared" ca="1" si="312"/>
        <v/>
      </c>
      <c r="Z647" s="315" t="str">
        <f t="shared" ca="1" si="313"/>
        <v/>
      </c>
      <c r="AA647" s="316" t="str">
        <f t="shared" ca="1" si="314"/>
        <v/>
      </c>
      <c r="AC647" s="310" t="e">
        <f t="shared" ca="1" si="315"/>
        <v>#N/A</v>
      </c>
      <c r="AD647" s="323" t="e">
        <f t="shared" ca="1" si="316"/>
        <v>#N/A</v>
      </c>
      <c r="AE647" s="324" t="e">
        <f t="shared" ca="1" si="295"/>
        <v>#N/A</v>
      </c>
      <c r="AG647" s="306">
        <f t="shared" ca="1" si="317"/>
        <v>0.84981744730455233</v>
      </c>
      <c r="AH647" s="304">
        <f t="shared" ca="1" si="318"/>
        <v>-8.9334728215112449</v>
      </c>
    </row>
    <row r="648" spans="1:34" x14ac:dyDescent="0.2">
      <c r="A648" s="347">
        <f t="shared" ca="1" si="296"/>
        <v>1E-4</v>
      </c>
      <c r="B648" s="304">
        <f t="shared" ca="1" si="297"/>
        <v>28.626800000000078</v>
      </c>
      <c r="D648" s="306">
        <f t="shared" ca="1" si="298"/>
        <v>-0.65877427323872173</v>
      </c>
      <c r="E648" s="307">
        <f t="shared" ca="1" si="299"/>
        <v>-0.90082579488388959</v>
      </c>
      <c r="F648" s="304">
        <f t="shared" ca="1" si="300"/>
        <v>1.1160065662035317</v>
      </c>
      <c r="G648" s="306">
        <f t="shared" ca="1" si="301"/>
        <v>7.2821254392725292</v>
      </c>
      <c r="H648" s="307">
        <f t="shared" ca="1" si="302"/>
        <v>-98.483460898659814</v>
      </c>
      <c r="I648" s="304">
        <f t="shared" ca="1" si="303"/>
        <v>98.752323625781884</v>
      </c>
      <c r="J648" s="306">
        <f t="shared" ca="1" si="304"/>
        <v>678.53524446899166</v>
      </c>
      <c r="K648" s="307">
        <f t="shared" ca="1" si="305"/>
        <v>-5.5101412031299564</v>
      </c>
      <c r="L648" s="304">
        <f t="shared" ca="1" si="290"/>
        <v>678.55761703975645</v>
      </c>
      <c r="M648" s="306">
        <f t="shared" ca="1" si="306"/>
        <v>-1.496988023959517</v>
      </c>
      <c r="N648" s="304">
        <f t="shared" ca="1" si="307"/>
        <v>-85.77109575450929</v>
      </c>
      <c r="P648" s="310">
        <f t="shared" ca="1" si="308"/>
        <v>23</v>
      </c>
      <c r="Q648" s="304">
        <f t="shared" ca="1" si="309"/>
        <v>0</v>
      </c>
      <c r="R648" s="306">
        <f t="shared" ca="1" si="310"/>
        <v>0</v>
      </c>
      <c r="S648" s="307">
        <f t="shared" ca="1" si="311"/>
        <v>4.341000000000002</v>
      </c>
      <c r="T648" s="304">
        <f t="shared" ca="1" si="291"/>
        <v>42.585210000000025</v>
      </c>
      <c r="U648" s="311">
        <f t="shared" ca="1" si="292"/>
        <v>0</v>
      </c>
      <c r="V648" s="306">
        <f t="shared" ca="1" si="293"/>
        <v>1.2256751783137758</v>
      </c>
      <c r="W648" s="304">
        <f t="shared" ca="1" si="294"/>
        <v>38.780415391063748</v>
      </c>
      <c r="Y648" s="314" t="str">
        <f t="shared" ca="1" si="312"/>
        <v/>
      </c>
      <c r="Z648" s="315" t="str">
        <f t="shared" ca="1" si="313"/>
        <v/>
      </c>
      <c r="AA648" s="316" t="str">
        <f t="shared" ca="1" si="314"/>
        <v/>
      </c>
      <c r="AC648" s="310" t="e">
        <f t="shared" ca="1" si="315"/>
        <v>#N/A</v>
      </c>
      <c r="AD648" s="323" t="e">
        <f t="shared" ca="1" si="316"/>
        <v>#N/A</v>
      </c>
      <c r="AE648" s="324" t="e">
        <f t="shared" ca="1" si="295"/>
        <v>#N/A</v>
      </c>
      <c r="AG648" s="306">
        <f t="shared" ca="1" si="317"/>
        <v>0.84979380372838342</v>
      </c>
      <c r="AH648" s="304">
        <f t="shared" ca="1" si="318"/>
        <v>-8.9334969950287384</v>
      </c>
    </row>
    <row r="649" spans="1:34" x14ac:dyDescent="0.2">
      <c r="A649" s="347">
        <f t="shared" ca="1" si="296"/>
        <v>1E-4</v>
      </c>
      <c r="B649" s="304">
        <f t="shared" ca="1" si="297"/>
        <v>28.626900000000077</v>
      </c>
      <c r="D649" s="306">
        <f t="shared" ca="1" si="298"/>
        <v>-0.65876952938947875</v>
      </c>
      <c r="E649" s="307">
        <f t="shared" ca="1" si="299"/>
        <v>-0.90080120496546279</v>
      </c>
      <c r="F649" s="304">
        <f t="shared" ca="1" si="300"/>
        <v>1.1159839173210628</v>
      </c>
      <c r="G649" s="306">
        <f t="shared" ca="1" si="301"/>
        <v>7.2820595623195903</v>
      </c>
      <c r="H649" s="307">
        <f t="shared" ca="1" si="302"/>
        <v>-98.483550978780315</v>
      </c>
      <c r="I649" s="304">
        <f t="shared" ca="1" si="303"/>
        <v>98.752408602824417</v>
      </c>
      <c r="J649" s="306">
        <f t="shared" ca="1" si="304"/>
        <v>678.53524446899166</v>
      </c>
      <c r="K649" s="307">
        <f t="shared" ca="1" si="305"/>
        <v>-5.5199895537238284</v>
      </c>
      <c r="L649" s="304">
        <f t="shared" ca="1" si="290"/>
        <v>678.5576970835034</v>
      </c>
      <c r="M649" s="306">
        <f t="shared" ca="1" si="306"/>
        <v>-1.4969887565008642</v>
      </c>
      <c r="N649" s="304">
        <f t="shared" ca="1" si="307"/>
        <v>-85.771137726036798</v>
      </c>
      <c r="P649" s="310">
        <f t="shared" ca="1" si="308"/>
        <v>23</v>
      </c>
      <c r="Q649" s="304">
        <f t="shared" ca="1" si="309"/>
        <v>0</v>
      </c>
      <c r="R649" s="306">
        <f t="shared" ca="1" si="310"/>
        <v>0</v>
      </c>
      <c r="S649" s="307">
        <f t="shared" ca="1" si="311"/>
        <v>4.341000000000002</v>
      </c>
      <c r="T649" s="304">
        <f t="shared" ca="1" si="291"/>
        <v>42.585210000000025</v>
      </c>
      <c r="U649" s="311">
        <f t="shared" ca="1" si="292"/>
        <v>0</v>
      </c>
      <c r="V649" s="306">
        <f t="shared" ca="1" si="293"/>
        <v>1.2256763854023487</v>
      </c>
      <c r="W649" s="304">
        <f t="shared" ca="1" si="294"/>
        <v>38.780520325112164</v>
      </c>
      <c r="Y649" s="314" t="str">
        <f t="shared" ca="1" si="312"/>
        <v/>
      </c>
      <c r="Z649" s="315" t="str">
        <f t="shared" ca="1" si="313"/>
        <v/>
      </c>
      <c r="AA649" s="316" t="str">
        <f t="shared" ca="1" si="314"/>
        <v/>
      </c>
      <c r="AC649" s="310" t="e">
        <f t="shared" ca="1" si="315"/>
        <v>#N/A</v>
      </c>
      <c r="AD649" s="323" t="e">
        <f t="shared" ca="1" si="316"/>
        <v>#N/A</v>
      </c>
      <c r="AE649" s="324" t="e">
        <f t="shared" ca="1" si="295"/>
        <v>#N/A</v>
      </c>
      <c r="AG649" s="306">
        <f t="shared" ca="1" si="317"/>
        <v>0.84977016050879683</v>
      </c>
      <c r="AH649" s="304">
        <f t="shared" ca="1" si="318"/>
        <v>-8.9335211681786983</v>
      </c>
    </row>
    <row r="650" spans="1:34" x14ac:dyDescent="0.2">
      <c r="A650" s="347">
        <f t="shared" ca="1" si="296"/>
        <v>1E-4</v>
      </c>
      <c r="B650" s="304">
        <f t="shared" ca="1" si="297"/>
        <v>28.627000000000077</v>
      </c>
      <c r="D650" s="306">
        <f t="shared" ca="1" si="298"/>
        <v>-0.6587647855477301</v>
      </c>
      <c r="E650" s="307">
        <f t="shared" ca="1" si="299"/>
        <v>-0.90077661542095555</v>
      </c>
      <c r="F650" s="304">
        <f t="shared" ca="1" si="300"/>
        <v>1.115961268847167</v>
      </c>
      <c r="G650" s="306">
        <f t="shared" ca="1" si="301"/>
        <v>7.2819936858410355</v>
      </c>
      <c r="H650" s="307">
        <f t="shared" ca="1" si="302"/>
        <v>-98.483641056441854</v>
      </c>
      <c r="I650" s="304">
        <f t="shared" ca="1" si="303"/>
        <v>98.752493577502676</v>
      </c>
      <c r="J650" s="306">
        <f t="shared" ca="1" si="304"/>
        <v>678.53524446899166</v>
      </c>
      <c r="K650" s="307">
        <f t="shared" ca="1" si="305"/>
        <v>-5.529837913325589</v>
      </c>
      <c r="L650" s="304">
        <f t="shared" ca="1" si="290"/>
        <v>678.55777727024974</v>
      </c>
      <c r="M650" s="306">
        <f t="shared" ca="1" si="306"/>
        <v>-1.4969894890343236</v>
      </c>
      <c r="N650" s="304">
        <f t="shared" ca="1" si="307"/>
        <v>-85.771179697112373</v>
      </c>
      <c r="P650" s="310">
        <f t="shared" ca="1" si="308"/>
        <v>23</v>
      </c>
      <c r="Q650" s="304">
        <f t="shared" ca="1" si="309"/>
        <v>0</v>
      </c>
      <c r="R650" s="306">
        <f t="shared" ca="1" si="310"/>
        <v>0</v>
      </c>
      <c r="S650" s="307">
        <f t="shared" ca="1" si="311"/>
        <v>4.341000000000002</v>
      </c>
      <c r="T650" s="304">
        <f t="shared" ca="1" si="291"/>
        <v>42.585210000000025</v>
      </c>
      <c r="U650" s="311">
        <f t="shared" ca="1" si="292"/>
        <v>0</v>
      </c>
      <c r="V650" s="306">
        <f t="shared" ca="1" si="293"/>
        <v>1.2256775924932155</v>
      </c>
      <c r="W650" s="304">
        <f t="shared" ca="1" si="294"/>
        <v>38.780625257565141</v>
      </c>
      <c r="Y650" s="314" t="str">
        <f t="shared" ca="1" si="312"/>
        <v/>
      </c>
      <c r="Z650" s="315" t="str">
        <f t="shared" ca="1" si="313"/>
        <v/>
      </c>
      <c r="AA650" s="316" t="str">
        <f t="shared" ca="1" si="314"/>
        <v/>
      </c>
      <c r="AC650" s="310" t="e">
        <f t="shared" ca="1" si="315"/>
        <v>#N/A</v>
      </c>
      <c r="AD650" s="323" t="e">
        <f t="shared" ca="1" si="316"/>
        <v>#N/A</v>
      </c>
      <c r="AE650" s="324" t="e">
        <f t="shared" ca="1" si="295"/>
        <v>#N/A</v>
      </c>
      <c r="AG650" s="306">
        <f t="shared" ca="1" si="317"/>
        <v>0.849746517645805</v>
      </c>
      <c r="AH650" s="304">
        <f t="shared" ca="1" si="318"/>
        <v>-8.9335453409611034</v>
      </c>
    </row>
    <row r="651" spans="1:34" x14ac:dyDescent="0.2">
      <c r="A651" s="347">
        <f t="shared" ca="1" si="296"/>
        <v>1E-4</v>
      </c>
      <c r="B651" s="304">
        <f t="shared" ca="1" si="297"/>
        <v>28.627100000000077</v>
      </c>
      <c r="D651" s="306">
        <f t="shared" ca="1" si="298"/>
        <v>-0.65876004171348101</v>
      </c>
      <c r="E651" s="307">
        <f t="shared" ca="1" si="299"/>
        <v>-0.90075202625034301</v>
      </c>
      <c r="F651" s="304">
        <f t="shared" ca="1" si="300"/>
        <v>1.1159386207818269</v>
      </c>
      <c r="G651" s="306">
        <f t="shared" ca="1" si="301"/>
        <v>7.2819278098368638</v>
      </c>
      <c r="H651" s="307">
        <f t="shared" ca="1" si="302"/>
        <v>-98.483731131644475</v>
      </c>
      <c r="I651" s="304">
        <f t="shared" ca="1" si="303"/>
        <v>98.75257854981669</v>
      </c>
      <c r="J651" s="306">
        <f t="shared" ca="1" si="304"/>
        <v>678.53524446899166</v>
      </c>
      <c r="K651" s="307">
        <f t="shared" ca="1" si="305"/>
        <v>-5.5396862819349932</v>
      </c>
      <c r="L651" s="304">
        <f t="shared" ca="1" si="290"/>
        <v>678.55785759999605</v>
      </c>
      <c r="M651" s="306">
        <f t="shared" ca="1" si="306"/>
        <v>-1.4969902215598958</v>
      </c>
      <c r="N651" s="304">
        <f t="shared" ca="1" si="307"/>
        <v>-85.771221667736043</v>
      </c>
      <c r="P651" s="310">
        <f t="shared" ca="1" si="308"/>
        <v>23</v>
      </c>
      <c r="Q651" s="304">
        <f t="shared" ca="1" si="309"/>
        <v>0</v>
      </c>
      <c r="R651" s="306">
        <f t="shared" ca="1" si="310"/>
        <v>0</v>
      </c>
      <c r="S651" s="307">
        <f t="shared" ca="1" si="311"/>
        <v>4.341000000000002</v>
      </c>
      <c r="T651" s="304">
        <f t="shared" ca="1" si="291"/>
        <v>42.585210000000025</v>
      </c>
      <c r="U651" s="311">
        <f t="shared" ca="1" si="292"/>
        <v>0</v>
      </c>
      <c r="V651" s="306">
        <f t="shared" ca="1" si="293"/>
        <v>1.2256787995863752</v>
      </c>
      <c r="W651" s="304">
        <f t="shared" ca="1" si="294"/>
        <v>38.780730188422631</v>
      </c>
      <c r="Y651" s="314" t="str">
        <f t="shared" ca="1" si="312"/>
        <v/>
      </c>
      <c r="Z651" s="315" t="str">
        <f t="shared" ca="1" si="313"/>
        <v/>
      </c>
      <c r="AA651" s="316" t="str">
        <f t="shared" ca="1" si="314"/>
        <v/>
      </c>
      <c r="AC651" s="310" t="e">
        <f t="shared" ca="1" si="315"/>
        <v>#N/A</v>
      </c>
      <c r="AD651" s="323" t="e">
        <f t="shared" ca="1" si="316"/>
        <v>#N/A</v>
      </c>
      <c r="AE651" s="324" t="e">
        <f t="shared" ca="1" si="295"/>
        <v>#N/A</v>
      </c>
      <c r="AG651" s="306">
        <f t="shared" ca="1" si="317"/>
        <v>0.84972287513939015</v>
      </c>
      <c r="AH651" s="304">
        <f t="shared" ca="1" si="318"/>
        <v>-8.9335695133759785</v>
      </c>
    </row>
    <row r="652" spans="1:34" x14ac:dyDescent="0.2">
      <c r="A652" s="347">
        <f t="shared" ca="1" si="296"/>
        <v>1E-4</v>
      </c>
      <c r="B652" s="304">
        <f t="shared" ca="1" si="297"/>
        <v>28.627200000000077</v>
      </c>
      <c r="D652" s="306">
        <f t="shared" ca="1" si="298"/>
        <v>-0.65875529788672849</v>
      </c>
      <c r="E652" s="307">
        <f t="shared" ca="1" si="299"/>
        <v>-0.90072743745363404</v>
      </c>
      <c r="F652" s="304">
        <f t="shared" ca="1" si="300"/>
        <v>1.1159159731250479</v>
      </c>
      <c r="G652" s="306">
        <f t="shared" ca="1" si="301"/>
        <v>7.2818619343070754</v>
      </c>
      <c r="H652" s="307">
        <f t="shared" ca="1" si="302"/>
        <v>-98.483821204388221</v>
      </c>
      <c r="I652" s="304">
        <f t="shared" ca="1" si="303"/>
        <v>98.752663519766472</v>
      </c>
      <c r="J652" s="306">
        <f t="shared" ca="1" si="304"/>
        <v>678.53524446899166</v>
      </c>
      <c r="K652" s="307">
        <f t="shared" ca="1" si="305"/>
        <v>-5.5495346595517949</v>
      </c>
      <c r="L652" s="304">
        <f t="shared" ca="1" si="290"/>
        <v>678.55793807274245</v>
      </c>
      <c r="M652" s="306">
        <f t="shared" ca="1" si="306"/>
        <v>-1.4969909540775805</v>
      </c>
      <c r="N652" s="304">
        <f t="shared" ca="1" si="307"/>
        <v>-85.771263637907794</v>
      </c>
      <c r="P652" s="310">
        <f t="shared" ca="1" si="308"/>
        <v>23</v>
      </c>
      <c r="Q652" s="304">
        <f t="shared" ca="1" si="309"/>
        <v>0</v>
      </c>
      <c r="R652" s="306">
        <f t="shared" ca="1" si="310"/>
        <v>0</v>
      </c>
      <c r="S652" s="307">
        <f t="shared" ca="1" si="311"/>
        <v>4.341000000000002</v>
      </c>
      <c r="T652" s="304">
        <f t="shared" ca="1" si="291"/>
        <v>42.585210000000025</v>
      </c>
      <c r="U652" s="311">
        <f t="shared" ca="1" si="292"/>
        <v>0</v>
      </c>
      <c r="V652" s="306">
        <f t="shared" ca="1" si="293"/>
        <v>1.2256800066818279</v>
      </c>
      <c r="W652" s="304">
        <f t="shared" ca="1" si="294"/>
        <v>38.780835117684646</v>
      </c>
      <c r="Y652" s="314" t="str">
        <f t="shared" ca="1" si="312"/>
        <v/>
      </c>
      <c r="Z652" s="315" t="str">
        <f t="shared" ca="1" si="313"/>
        <v/>
      </c>
      <c r="AA652" s="316" t="str">
        <f t="shared" ca="1" si="314"/>
        <v/>
      </c>
      <c r="AC652" s="310" t="e">
        <f t="shared" ca="1" si="315"/>
        <v>#N/A</v>
      </c>
      <c r="AD652" s="323" t="e">
        <f t="shared" ca="1" si="316"/>
        <v>#N/A</v>
      </c>
      <c r="AE652" s="324" t="e">
        <f t="shared" ca="1" si="295"/>
        <v>#N/A</v>
      </c>
      <c r="AG652" s="306">
        <f t="shared" ca="1" si="317"/>
        <v>0.84969923298955408</v>
      </c>
      <c r="AH652" s="304">
        <f t="shared" ca="1" si="318"/>
        <v>-8.9335936854233164</v>
      </c>
    </row>
    <row r="653" spans="1:34" x14ac:dyDescent="0.2">
      <c r="A653" s="347">
        <f t="shared" ca="1" si="296"/>
        <v>1E-4</v>
      </c>
      <c r="B653" s="304">
        <f t="shared" ca="1" si="297"/>
        <v>28.627300000000076</v>
      </c>
      <c r="D653" s="306">
        <f t="shared" ca="1" si="298"/>
        <v>-0.65875055406747562</v>
      </c>
      <c r="E653" s="307">
        <f t="shared" ca="1" si="299"/>
        <v>-0.90070284903082509</v>
      </c>
      <c r="F653" s="304">
        <f t="shared" ca="1" si="300"/>
        <v>1.1158933258768293</v>
      </c>
      <c r="G653" s="306">
        <f t="shared" ca="1" si="301"/>
        <v>7.2817960592516684</v>
      </c>
      <c r="H653" s="307">
        <f t="shared" ca="1" si="302"/>
        <v>-98.483911274673119</v>
      </c>
      <c r="I653" s="304">
        <f t="shared" ca="1" si="303"/>
        <v>98.752748487352079</v>
      </c>
      <c r="J653" s="306">
        <f t="shared" ca="1" si="304"/>
        <v>678.53524446899166</v>
      </c>
      <c r="K653" s="307">
        <f t="shared" ca="1" si="305"/>
        <v>-5.5593830461757481</v>
      </c>
      <c r="L653" s="304">
        <f t="shared" ca="1" si="290"/>
        <v>678.55801868848948</v>
      </c>
      <c r="M653" s="306">
        <f t="shared" ca="1" si="306"/>
        <v>-1.4969916865873782</v>
      </c>
      <c r="N653" s="304">
        <f t="shared" ca="1" si="307"/>
        <v>-85.771305607627653</v>
      </c>
      <c r="P653" s="310">
        <f t="shared" ca="1" si="308"/>
        <v>23</v>
      </c>
      <c r="Q653" s="304">
        <f t="shared" ca="1" si="309"/>
        <v>0</v>
      </c>
      <c r="R653" s="306">
        <f t="shared" ca="1" si="310"/>
        <v>0</v>
      </c>
      <c r="S653" s="307">
        <f t="shared" ca="1" si="311"/>
        <v>4.341000000000002</v>
      </c>
      <c r="T653" s="304">
        <f t="shared" ca="1" si="291"/>
        <v>42.585210000000025</v>
      </c>
      <c r="U653" s="311">
        <f t="shared" ca="1" si="292"/>
        <v>0</v>
      </c>
      <c r="V653" s="306">
        <f t="shared" ca="1" si="293"/>
        <v>1.2256812137795736</v>
      </c>
      <c r="W653" s="304">
        <f t="shared" ca="1" si="294"/>
        <v>38.780940045351244</v>
      </c>
      <c r="Y653" s="314" t="str">
        <f t="shared" ca="1" si="312"/>
        <v/>
      </c>
      <c r="Z653" s="315" t="str">
        <f t="shared" ca="1" si="313"/>
        <v/>
      </c>
      <c r="AA653" s="316" t="str">
        <f t="shared" ca="1" si="314"/>
        <v/>
      </c>
      <c r="AC653" s="310" t="e">
        <f t="shared" ca="1" si="315"/>
        <v>#N/A</v>
      </c>
      <c r="AD653" s="323" t="e">
        <f t="shared" ca="1" si="316"/>
        <v>#N/A</v>
      </c>
      <c r="AE653" s="324" t="e">
        <f t="shared" ca="1" si="295"/>
        <v>#N/A</v>
      </c>
      <c r="AG653" s="306">
        <f t="shared" ca="1" si="317"/>
        <v>0.84967559119630565</v>
      </c>
      <c r="AH653" s="304">
        <f t="shared" ca="1" si="318"/>
        <v>-8.9336178571031155</v>
      </c>
    </row>
    <row r="654" spans="1:34" x14ac:dyDescent="0.2">
      <c r="A654" s="347">
        <f t="shared" ca="1" si="296"/>
        <v>1E-4</v>
      </c>
      <c r="B654" s="304">
        <f t="shared" ca="1" si="297"/>
        <v>28.627400000000076</v>
      </c>
      <c r="D654" s="306">
        <f t="shared" ca="1" si="298"/>
        <v>-0.65874581025572121</v>
      </c>
      <c r="E654" s="307">
        <f t="shared" ca="1" si="299"/>
        <v>-0.90067826098190373</v>
      </c>
      <c r="F654" s="304">
        <f t="shared" ca="1" si="300"/>
        <v>1.1158706790371602</v>
      </c>
      <c r="G654" s="306">
        <f t="shared" ca="1" si="301"/>
        <v>7.2817301846706428</v>
      </c>
      <c r="H654" s="307">
        <f t="shared" ca="1" si="302"/>
        <v>-98.484001342499212</v>
      </c>
      <c r="I654" s="304">
        <f t="shared" ca="1" si="303"/>
        <v>98.752833452573554</v>
      </c>
      <c r="J654" s="306">
        <f t="shared" ca="1" si="304"/>
        <v>678.53524446899166</v>
      </c>
      <c r="K654" s="307">
        <f t="shared" ca="1" si="305"/>
        <v>-5.5692314418066067</v>
      </c>
      <c r="L654" s="304">
        <f t="shared" ca="1" si="290"/>
        <v>678.55809944723728</v>
      </c>
      <c r="M654" s="306">
        <f t="shared" ca="1" si="306"/>
        <v>-1.4969924190892885</v>
      </c>
      <c r="N654" s="304">
        <f t="shared" ca="1" si="307"/>
        <v>-85.771347576895607</v>
      </c>
      <c r="P654" s="310">
        <f t="shared" ca="1" si="308"/>
        <v>23</v>
      </c>
      <c r="Q654" s="304">
        <f t="shared" ca="1" si="309"/>
        <v>0</v>
      </c>
      <c r="R654" s="306">
        <f t="shared" ca="1" si="310"/>
        <v>0</v>
      </c>
      <c r="S654" s="307">
        <f t="shared" ca="1" si="311"/>
        <v>4.341000000000002</v>
      </c>
      <c r="T654" s="304">
        <f t="shared" ca="1" si="291"/>
        <v>42.585210000000025</v>
      </c>
      <c r="U654" s="311">
        <f t="shared" ca="1" si="292"/>
        <v>0</v>
      </c>
      <c r="V654" s="306">
        <f t="shared" ca="1" si="293"/>
        <v>1.2256824208796127</v>
      </c>
      <c r="W654" s="304">
        <f t="shared" ca="1" si="294"/>
        <v>38.781044971422432</v>
      </c>
      <c r="Y654" s="314" t="str">
        <f t="shared" ca="1" si="312"/>
        <v/>
      </c>
      <c r="Z654" s="315" t="str">
        <f t="shared" ca="1" si="313"/>
        <v/>
      </c>
      <c r="AA654" s="316" t="str">
        <f t="shared" ca="1" si="314"/>
        <v/>
      </c>
      <c r="AC654" s="310" t="e">
        <f t="shared" ca="1" si="315"/>
        <v>#N/A</v>
      </c>
      <c r="AD654" s="323" t="e">
        <f t="shared" ca="1" si="316"/>
        <v>#N/A</v>
      </c>
      <c r="AE654" s="324" t="e">
        <f t="shared" ca="1" si="295"/>
        <v>#N/A</v>
      </c>
      <c r="AG654" s="306">
        <f t="shared" ca="1" si="317"/>
        <v>0.84965194975962</v>
      </c>
      <c r="AH654" s="304">
        <f t="shared" ca="1" si="318"/>
        <v>-8.9336420284153935</v>
      </c>
    </row>
    <row r="655" spans="1:34" x14ac:dyDescent="0.2">
      <c r="A655" s="347">
        <f t="shared" ca="1" si="296"/>
        <v>1E-4</v>
      </c>
      <c r="B655" s="304">
        <f t="shared" ca="1" si="297"/>
        <v>28.627500000000076</v>
      </c>
      <c r="D655" s="306">
        <f t="shared" ca="1" si="298"/>
        <v>-0.65874106645147068</v>
      </c>
      <c r="E655" s="307">
        <f t="shared" ca="1" si="299"/>
        <v>-0.90065367330686819</v>
      </c>
      <c r="F655" s="304">
        <f t="shared" ca="1" si="300"/>
        <v>1.1158480326060425</v>
      </c>
      <c r="G655" s="306">
        <f t="shared" ca="1" si="301"/>
        <v>7.2816643105639978</v>
      </c>
      <c r="H655" s="307">
        <f t="shared" ca="1" si="302"/>
        <v>-98.484091407866543</v>
      </c>
      <c r="I655" s="304">
        <f t="shared" ca="1" si="303"/>
        <v>98.752918415430912</v>
      </c>
      <c r="J655" s="306">
        <f t="shared" ca="1" si="304"/>
        <v>678.53524446899166</v>
      </c>
      <c r="K655" s="307">
        <f t="shared" ca="1" si="305"/>
        <v>-5.5790798464441247</v>
      </c>
      <c r="L655" s="304">
        <f t="shared" ca="1" si="290"/>
        <v>678.55818034898618</v>
      </c>
      <c r="M655" s="306">
        <f t="shared" ca="1" si="306"/>
        <v>-1.4969931515833121</v>
      </c>
      <c r="N655" s="304">
        <f t="shared" ca="1" si="307"/>
        <v>-85.771389545711671</v>
      </c>
      <c r="P655" s="310">
        <f t="shared" ca="1" si="308"/>
        <v>23</v>
      </c>
      <c r="Q655" s="304">
        <f t="shared" ca="1" si="309"/>
        <v>0</v>
      </c>
      <c r="R655" s="306">
        <f t="shared" ca="1" si="310"/>
        <v>0</v>
      </c>
      <c r="S655" s="307">
        <f t="shared" ca="1" si="311"/>
        <v>4.341000000000002</v>
      </c>
      <c r="T655" s="304">
        <f t="shared" ca="1" si="291"/>
        <v>42.585210000000025</v>
      </c>
      <c r="U655" s="311">
        <f t="shared" ca="1" si="292"/>
        <v>0</v>
      </c>
      <c r="V655" s="306">
        <f t="shared" ca="1" si="293"/>
        <v>1.2256836279819443</v>
      </c>
      <c r="W655" s="304">
        <f t="shared" ca="1" si="294"/>
        <v>38.781149895898203</v>
      </c>
      <c r="Y655" s="314" t="str">
        <f t="shared" ca="1" si="312"/>
        <v/>
      </c>
      <c r="Z655" s="315" t="str">
        <f t="shared" ca="1" si="313"/>
        <v/>
      </c>
      <c r="AA655" s="316" t="str">
        <f t="shared" ca="1" si="314"/>
        <v/>
      </c>
      <c r="AC655" s="310" t="e">
        <f t="shared" ca="1" si="315"/>
        <v>#N/A</v>
      </c>
      <c r="AD655" s="323" t="e">
        <f t="shared" ca="1" si="316"/>
        <v>#N/A</v>
      </c>
      <c r="AE655" s="324" t="e">
        <f t="shared" ca="1" si="295"/>
        <v>#N/A</v>
      </c>
      <c r="AG655" s="306">
        <f t="shared" ca="1" si="317"/>
        <v>0.84962830867950245</v>
      </c>
      <c r="AH655" s="304">
        <f t="shared" ca="1" si="318"/>
        <v>-8.9336661993601503</v>
      </c>
    </row>
    <row r="656" spans="1:34" x14ac:dyDescent="0.2">
      <c r="A656" s="347">
        <f t="shared" ca="1" si="296"/>
        <v>1E-4</v>
      </c>
      <c r="B656" s="304">
        <f t="shared" ca="1" si="297"/>
        <v>28.627600000000076</v>
      </c>
      <c r="D656" s="306">
        <f t="shared" ca="1" si="298"/>
        <v>-0.65873632265471715</v>
      </c>
      <c r="E656" s="307">
        <f t="shared" ca="1" si="299"/>
        <v>-0.90062908600571845</v>
      </c>
      <c r="F656" s="304">
        <f t="shared" ca="1" si="300"/>
        <v>1.1158253865834724</v>
      </c>
      <c r="G656" s="306">
        <f t="shared" ca="1" si="301"/>
        <v>7.2815984369317324</v>
      </c>
      <c r="H656" s="307">
        <f t="shared" ca="1" si="302"/>
        <v>-98.484181470775141</v>
      </c>
      <c r="I656" s="304">
        <f t="shared" ca="1" si="303"/>
        <v>98.753003375924195</v>
      </c>
      <c r="J656" s="306">
        <f t="shared" ca="1" si="304"/>
        <v>678.53524446899166</v>
      </c>
      <c r="K656" s="307">
        <f t="shared" ca="1" si="305"/>
        <v>-5.588928260088057</v>
      </c>
      <c r="L656" s="304">
        <f t="shared" ca="1" si="290"/>
        <v>678.55826139373664</v>
      </c>
      <c r="M656" s="306">
        <f t="shared" ca="1" si="306"/>
        <v>-1.4969938840694486</v>
      </c>
      <c r="N656" s="304">
        <f t="shared" ca="1" si="307"/>
        <v>-85.771431514075843</v>
      </c>
      <c r="P656" s="310">
        <f t="shared" ca="1" si="308"/>
        <v>23</v>
      </c>
      <c r="Q656" s="304">
        <f t="shared" ca="1" si="309"/>
        <v>0</v>
      </c>
      <c r="R656" s="306">
        <f t="shared" ca="1" si="310"/>
        <v>0</v>
      </c>
      <c r="S656" s="307">
        <f t="shared" ca="1" si="311"/>
        <v>4.341000000000002</v>
      </c>
      <c r="T656" s="304">
        <f t="shared" ca="1" si="291"/>
        <v>42.585210000000025</v>
      </c>
      <c r="U656" s="311">
        <f t="shared" ca="1" si="292"/>
        <v>0</v>
      </c>
      <c r="V656" s="306">
        <f t="shared" ca="1" si="293"/>
        <v>1.2256848350865692</v>
      </c>
      <c r="W656" s="304">
        <f t="shared" ca="1" si="294"/>
        <v>38.781254818778592</v>
      </c>
      <c r="Y656" s="314" t="str">
        <f t="shared" ca="1" si="312"/>
        <v/>
      </c>
      <c r="Z656" s="315" t="str">
        <f t="shared" ca="1" si="313"/>
        <v/>
      </c>
      <c r="AA656" s="316" t="str">
        <f t="shared" ca="1" si="314"/>
        <v/>
      </c>
      <c r="AC656" s="310" t="e">
        <f t="shared" ca="1" si="315"/>
        <v>#N/A</v>
      </c>
      <c r="AD656" s="323" t="e">
        <f t="shared" ca="1" si="316"/>
        <v>#N/A</v>
      </c>
      <c r="AE656" s="324" t="e">
        <f t="shared" ca="1" si="295"/>
        <v>#N/A</v>
      </c>
      <c r="AG656" s="306">
        <f t="shared" ca="1" si="317"/>
        <v>0.84960466795595302</v>
      </c>
      <c r="AH656" s="304">
        <f t="shared" ca="1" si="318"/>
        <v>-8.9336903699373842</v>
      </c>
    </row>
    <row r="657" spans="1:34" x14ac:dyDescent="0.2">
      <c r="A657" s="347">
        <f t="shared" ca="1" si="296"/>
        <v>1E-4</v>
      </c>
      <c r="B657" s="304">
        <f t="shared" ca="1" si="297"/>
        <v>28.627700000000075</v>
      </c>
      <c r="D657" s="306">
        <f t="shared" ca="1" si="298"/>
        <v>-0.65873157886546863</v>
      </c>
      <c r="E657" s="307">
        <f t="shared" ca="1" si="299"/>
        <v>-0.90060449907845097</v>
      </c>
      <c r="F657" s="304">
        <f t="shared" ca="1" si="300"/>
        <v>1.1158027409694513</v>
      </c>
      <c r="G657" s="306">
        <f t="shared" ca="1" si="301"/>
        <v>7.2815325637738457</v>
      </c>
      <c r="H657" s="307">
        <f t="shared" ca="1" si="302"/>
        <v>-98.484271531225048</v>
      </c>
      <c r="I657" s="304">
        <f t="shared" ca="1" si="303"/>
        <v>98.753088334053444</v>
      </c>
      <c r="J657" s="306">
        <f t="shared" ca="1" si="304"/>
        <v>678.53524446899166</v>
      </c>
      <c r="K657" s="307">
        <f t="shared" ca="1" si="305"/>
        <v>-5.5987766827381567</v>
      </c>
      <c r="L657" s="304">
        <f t="shared" ca="1" si="290"/>
        <v>678.558342581489</v>
      </c>
      <c r="M657" s="306">
        <f t="shared" ca="1" si="306"/>
        <v>-1.4969946165476984</v>
      </c>
      <c r="N657" s="304">
        <f t="shared" ca="1" si="307"/>
        <v>-85.771473481988139</v>
      </c>
      <c r="P657" s="310">
        <f t="shared" ca="1" si="308"/>
        <v>23</v>
      </c>
      <c r="Q657" s="304">
        <f t="shared" ca="1" si="309"/>
        <v>0</v>
      </c>
      <c r="R657" s="306">
        <f t="shared" ca="1" si="310"/>
        <v>0</v>
      </c>
      <c r="S657" s="307">
        <f t="shared" ca="1" si="311"/>
        <v>4.341000000000002</v>
      </c>
      <c r="T657" s="304">
        <f t="shared" ca="1" si="291"/>
        <v>42.585210000000025</v>
      </c>
      <c r="U657" s="311">
        <f t="shared" ca="1" si="292"/>
        <v>0</v>
      </c>
      <c r="V657" s="306">
        <f t="shared" ca="1" si="293"/>
        <v>1.2256860421934874</v>
      </c>
      <c r="W657" s="304">
        <f t="shared" ca="1" si="294"/>
        <v>38.781359740063614</v>
      </c>
      <c r="Y657" s="314" t="str">
        <f t="shared" ca="1" si="312"/>
        <v/>
      </c>
      <c r="Z657" s="315" t="str">
        <f t="shared" ca="1" si="313"/>
        <v/>
      </c>
      <c r="AA657" s="316" t="str">
        <f t="shared" ca="1" si="314"/>
        <v/>
      </c>
      <c r="AC657" s="310" t="e">
        <f t="shared" ca="1" si="315"/>
        <v>#N/A</v>
      </c>
      <c r="AD657" s="323" t="e">
        <f t="shared" ca="1" si="316"/>
        <v>#N/A</v>
      </c>
      <c r="AE657" s="324" t="e">
        <f t="shared" ca="1" si="295"/>
        <v>#N/A</v>
      </c>
      <c r="AG657" s="306">
        <f t="shared" ca="1" si="317"/>
        <v>0.84958102758896636</v>
      </c>
      <c r="AH657" s="304">
        <f t="shared" ca="1" si="318"/>
        <v>-8.9337145401471023</v>
      </c>
    </row>
    <row r="658" spans="1:34" x14ac:dyDescent="0.2">
      <c r="A658" s="347">
        <f t="shared" ca="1" si="296"/>
        <v>1E-4</v>
      </c>
      <c r="B658" s="304">
        <f t="shared" ca="1" si="297"/>
        <v>28.627800000000075</v>
      </c>
      <c r="D658" s="306">
        <f t="shared" ca="1" si="298"/>
        <v>-0.6587268350837211</v>
      </c>
      <c r="E658" s="307">
        <f t="shared" ca="1" si="299"/>
        <v>-0.90057991252505687</v>
      </c>
      <c r="F658" s="304">
        <f t="shared" ca="1" si="300"/>
        <v>1.1157800957639703</v>
      </c>
      <c r="G658" s="306">
        <f t="shared" ca="1" si="301"/>
        <v>7.281466691090337</v>
      </c>
      <c r="H658" s="307">
        <f t="shared" ca="1" si="302"/>
        <v>-98.484361589216306</v>
      </c>
      <c r="I658" s="304">
        <f t="shared" ca="1" si="303"/>
        <v>98.753173289818704</v>
      </c>
      <c r="J658" s="306">
        <f t="shared" ca="1" si="304"/>
        <v>678.53524446899166</v>
      </c>
      <c r="K658" s="307">
        <f t="shared" ca="1" si="305"/>
        <v>-5.6086251143941785</v>
      </c>
      <c r="L658" s="304">
        <f t="shared" ca="1" si="290"/>
        <v>678.5584239122436</v>
      </c>
      <c r="M658" s="306">
        <f t="shared" ca="1" si="306"/>
        <v>-1.4969953490180616</v>
      </c>
      <c r="N658" s="304">
        <f t="shared" ca="1" si="307"/>
        <v>-85.771515449448572</v>
      </c>
      <c r="P658" s="310">
        <f t="shared" ca="1" si="308"/>
        <v>23</v>
      </c>
      <c r="Q658" s="304">
        <f t="shared" ca="1" si="309"/>
        <v>0</v>
      </c>
      <c r="R658" s="306">
        <f t="shared" ca="1" si="310"/>
        <v>0</v>
      </c>
      <c r="S658" s="307">
        <f t="shared" ca="1" si="311"/>
        <v>4.341000000000002</v>
      </c>
      <c r="T658" s="304">
        <f t="shared" ca="1" si="291"/>
        <v>42.585210000000025</v>
      </c>
      <c r="U658" s="311">
        <f t="shared" ca="1" si="292"/>
        <v>0</v>
      </c>
      <c r="V658" s="306">
        <f t="shared" ca="1" si="293"/>
        <v>1.2256872493026982</v>
      </c>
      <c r="W658" s="304">
        <f t="shared" ca="1" si="294"/>
        <v>38.781464659753297</v>
      </c>
      <c r="Y658" s="314" t="str">
        <f t="shared" ca="1" si="312"/>
        <v/>
      </c>
      <c r="Z658" s="315" t="str">
        <f t="shared" ca="1" si="313"/>
        <v/>
      </c>
      <c r="AA658" s="316" t="str">
        <f t="shared" ca="1" si="314"/>
        <v/>
      </c>
      <c r="AC658" s="310" t="e">
        <f t="shared" ca="1" si="315"/>
        <v>#N/A</v>
      </c>
      <c r="AD658" s="323" t="e">
        <f t="shared" ca="1" si="316"/>
        <v>#N/A</v>
      </c>
      <c r="AE658" s="324" t="e">
        <f t="shared" ca="1" si="295"/>
        <v>#N/A</v>
      </c>
      <c r="AG658" s="306">
        <f t="shared" ca="1" si="317"/>
        <v>0.84955738757853538</v>
      </c>
      <c r="AH658" s="304">
        <f t="shared" ca="1" si="318"/>
        <v>-8.93373870998931</v>
      </c>
    </row>
    <row r="659" spans="1:34" x14ac:dyDescent="0.2">
      <c r="A659" s="347">
        <f t="shared" ca="1" si="296"/>
        <v>1E-4</v>
      </c>
      <c r="B659" s="304">
        <f t="shared" ca="1" si="297"/>
        <v>28.627900000000075</v>
      </c>
      <c r="D659" s="306">
        <f t="shared" ca="1" si="298"/>
        <v>-0.65872209130947601</v>
      </c>
      <c r="E659" s="307">
        <f t="shared" ca="1" si="299"/>
        <v>-0.90055532634553082</v>
      </c>
      <c r="F659" s="304">
        <f t="shared" ca="1" si="300"/>
        <v>1.1157574509670261</v>
      </c>
      <c r="G659" s="306">
        <f t="shared" ca="1" si="301"/>
        <v>7.281400818881206</v>
      </c>
      <c r="H659" s="307">
        <f t="shared" ca="1" si="302"/>
        <v>-98.484451644748944</v>
      </c>
      <c r="I659" s="304">
        <f t="shared" ca="1" si="303"/>
        <v>98.753258243219989</v>
      </c>
      <c r="J659" s="306">
        <f t="shared" ca="1" si="304"/>
        <v>678.53524446899166</v>
      </c>
      <c r="K659" s="307">
        <f t="shared" ca="1" si="305"/>
        <v>-5.6184735550558766</v>
      </c>
      <c r="L659" s="304">
        <f t="shared" ca="1" si="290"/>
        <v>678.55850538600066</v>
      </c>
      <c r="M659" s="306">
        <f t="shared" ca="1" si="306"/>
        <v>-1.4969960814805381</v>
      </c>
      <c r="N659" s="304">
        <f t="shared" ca="1" si="307"/>
        <v>-85.771557416457128</v>
      </c>
      <c r="P659" s="310">
        <f t="shared" ca="1" si="308"/>
        <v>23</v>
      </c>
      <c r="Q659" s="304">
        <f t="shared" ca="1" si="309"/>
        <v>0</v>
      </c>
      <c r="R659" s="306">
        <f t="shared" ca="1" si="310"/>
        <v>0</v>
      </c>
      <c r="S659" s="307">
        <f t="shared" ca="1" si="311"/>
        <v>4.341000000000002</v>
      </c>
      <c r="T659" s="304">
        <f t="shared" ca="1" si="291"/>
        <v>42.585210000000025</v>
      </c>
      <c r="U659" s="311">
        <f t="shared" ca="1" si="292"/>
        <v>0</v>
      </c>
      <c r="V659" s="306">
        <f t="shared" ca="1" si="293"/>
        <v>1.2256884564142023</v>
      </c>
      <c r="W659" s="304">
        <f t="shared" ca="1" si="294"/>
        <v>38.781569577847648</v>
      </c>
      <c r="Y659" s="314" t="str">
        <f t="shared" ca="1" si="312"/>
        <v/>
      </c>
      <c r="Z659" s="315" t="str">
        <f t="shared" ca="1" si="313"/>
        <v/>
      </c>
      <c r="AA659" s="316" t="str">
        <f t="shared" ca="1" si="314"/>
        <v/>
      </c>
      <c r="AC659" s="310" t="e">
        <f t="shared" ca="1" si="315"/>
        <v>#N/A</v>
      </c>
      <c r="AD659" s="323" t="e">
        <f t="shared" ca="1" si="316"/>
        <v>#N/A</v>
      </c>
      <c r="AE659" s="324" t="e">
        <f t="shared" ca="1" si="295"/>
        <v>#N/A</v>
      </c>
      <c r="AG659" s="306">
        <f t="shared" ca="1" si="317"/>
        <v>0.84953374792465652</v>
      </c>
      <c r="AH659" s="304">
        <f t="shared" ca="1" si="318"/>
        <v>-8.9337628794640125</v>
      </c>
    </row>
    <row r="660" spans="1:34" x14ac:dyDescent="0.2">
      <c r="A660" s="347">
        <f t="shared" ca="1" si="296"/>
        <v>1E-4</v>
      </c>
      <c r="B660" s="304">
        <f t="shared" ca="1" si="297"/>
        <v>28.628000000000075</v>
      </c>
      <c r="D660" s="306">
        <f t="shared" ca="1" si="298"/>
        <v>-0.65871734754273714</v>
      </c>
      <c r="E660" s="307">
        <f t="shared" ca="1" si="299"/>
        <v>-0.90053074053987459</v>
      </c>
      <c r="F660" s="304">
        <f t="shared" ca="1" si="300"/>
        <v>1.1157348065786215</v>
      </c>
      <c r="G660" s="306">
        <f t="shared" ca="1" si="301"/>
        <v>7.2813349471464521</v>
      </c>
      <c r="H660" s="307">
        <f t="shared" ca="1" si="302"/>
        <v>-98.484541697823005</v>
      </c>
      <c r="I660" s="304">
        <f t="shared" ca="1" si="303"/>
        <v>98.753343194257354</v>
      </c>
      <c r="J660" s="306">
        <f t="shared" ca="1" si="304"/>
        <v>678.53524446899166</v>
      </c>
      <c r="K660" s="307">
        <f t="shared" ca="1" si="305"/>
        <v>-5.6283220047230049</v>
      </c>
      <c r="L660" s="304">
        <f t="shared" ca="1" si="290"/>
        <v>678.55858700276065</v>
      </c>
      <c r="M660" s="306">
        <f t="shared" ca="1" si="306"/>
        <v>-1.4969968139351284</v>
      </c>
      <c r="N660" s="304">
        <f t="shared" ca="1" si="307"/>
        <v>-85.771599383013836</v>
      </c>
      <c r="P660" s="310">
        <f t="shared" ca="1" si="308"/>
        <v>23</v>
      </c>
      <c r="Q660" s="304">
        <f t="shared" ca="1" si="309"/>
        <v>0</v>
      </c>
      <c r="R660" s="306">
        <f t="shared" ca="1" si="310"/>
        <v>0</v>
      </c>
      <c r="S660" s="307">
        <f t="shared" ca="1" si="311"/>
        <v>4.341000000000002</v>
      </c>
      <c r="T660" s="304">
        <f t="shared" ca="1" si="291"/>
        <v>42.585210000000025</v>
      </c>
      <c r="U660" s="311">
        <f t="shared" ca="1" si="292"/>
        <v>0</v>
      </c>
      <c r="V660" s="306">
        <f t="shared" ca="1" si="293"/>
        <v>1.225689663527999</v>
      </c>
      <c r="W660" s="304">
        <f t="shared" ca="1" si="294"/>
        <v>38.781674494346696</v>
      </c>
      <c r="Y660" s="314" t="str">
        <f t="shared" ca="1" si="312"/>
        <v/>
      </c>
      <c r="Z660" s="315" t="str">
        <f t="shared" ca="1" si="313"/>
        <v/>
      </c>
      <c r="AA660" s="316" t="str">
        <f t="shared" ca="1" si="314"/>
        <v/>
      </c>
      <c r="AC660" s="310" t="e">
        <f t="shared" ca="1" si="315"/>
        <v>#N/A</v>
      </c>
      <c r="AD660" s="323" t="e">
        <f t="shared" ca="1" si="316"/>
        <v>#N/A</v>
      </c>
      <c r="AE660" s="324" t="e">
        <f t="shared" ca="1" si="295"/>
        <v>#N/A</v>
      </c>
      <c r="AG660" s="306">
        <f t="shared" ca="1" si="317"/>
        <v>0.84951010862732623</v>
      </c>
      <c r="AH660" s="304">
        <f t="shared" ca="1" si="318"/>
        <v>-8.9337870485712116</v>
      </c>
    </row>
    <row r="661" spans="1:34" x14ac:dyDescent="0.2">
      <c r="A661" s="347">
        <f t="shared" ca="1" si="296"/>
        <v>1E-4</v>
      </c>
      <c r="B661" s="304">
        <f t="shared" ca="1" si="297"/>
        <v>28.628100000000074</v>
      </c>
      <c r="D661" s="306">
        <f t="shared" ca="1" si="298"/>
        <v>-0.65871260378350038</v>
      </c>
      <c r="E661" s="307">
        <f t="shared" ca="1" si="299"/>
        <v>-0.90050615510807575</v>
      </c>
      <c r="F661" s="304">
        <f t="shared" ca="1" si="300"/>
        <v>1.1157121625987452</v>
      </c>
      <c r="G661" s="306">
        <f t="shared" ca="1" si="301"/>
        <v>7.2812690758860734</v>
      </c>
      <c r="H661" s="307">
        <f t="shared" ca="1" si="302"/>
        <v>-98.484631748438517</v>
      </c>
      <c r="I661" s="304">
        <f t="shared" ca="1" si="303"/>
        <v>98.753428142930815</v>
      </c>
      <c r="J661" s="306">
        <f t="shared" ca="1" si="304"/>
        <v>678.53524446899166</v>
      </c>
      <c r="K661" s="307">
        <f t="shared" ca="1" si="305"/>
        <v>-5.6381704633953182</v>
      </c>
      <c r="L661" s="304">
        <f t="shared" ca="1" si="290"/>
        <v>678.55866876252389</v>
      </c>
      <c r="M661" s="306">
        <f t="shared" ca="1" si="306"/>
        <v>-1.4969975463818321</v>
      </c>
      <c r="N661" s="304">
        <f t="shared" ca="1" si="307"/>
        <v>-85.771641349118681</v>
      </c>
      <c r="P661" s="310">
        <f t="shared" ca="1" si="308"/>
        <v>23</v>
      </c>
      <c r="Q661" s="304">
        <f t="shared" ca="1" si="309"/>
        <v>0</v>
      </c>
      <c r="R661" s="306">
        <f t="shared" ca="1" si="310"/>
        <v>0</v>
      </c>
      <c r="S661" s="307">
        <f t="shared" ca="1" si="311"/>
        <v>4.341000000000002</v>
      </c>
      <c r="T661" s="304">
        <f t="shared" ca="1" si="291"/>
        <v>42.585210000000025</v>
      </c>
      <c r="U661" s="311">
        <f t="shared" ca="1" si="292"/>
        <v>0</v>
      </c>
      <c r="V661" s="306">
        <f t="shared" ca="1" si="293"/>
        <v>1.2256908706440892</v>
      </c>
      <c r="W661" s="304">
        <f t="shared" ca="1" si="294"/>
        <v>38.781779409250447</v>
      </c>
      <c r="Y661" s="314" t="str">
        <f t="shared" ca="1" si="312"/>
        <v/>
      </c>
      <c r="Z661" s="315" t="str">
        <f t="shared" ca="1" si="313"/>
        <v/>
      </c>
      <c r="AA661" s="316" t="str">
        <f t="shared" ca="1" si="314"/>
        <v/>
      </c>
      <c r="AC661" s="310" t="e">
        <f t="shared" ca="1" si="315"/>
        <v>#N/A</v>
      </c>
      <c r="AD661" s="323" t="e">
        <f t="shared" ca="1" si="316"/>
        <v>#N/A</v>
      </c>
      <c r="AE661" s="324" t="e">
        <f t="shared" ca="1" si="295"/>
        <v>#N/A</v>
      </c>
      <c r="AG661" s="306">
        <f t="shared" ca="1" si="317"/>
        <v>0.84948646968654096</v>
      </c>
      <c r="AH661" s="304">
        <f t="shared" ca="1" si="318"/>
        <v>-8.9338112173109145</v>
      </c>
    </row>
    <row r="662" spans="1:34" x14ac:dyDescent="0.2">
      <c r="A662" s="347">
        <f t="shared" ca="1" si="296"/>
        <v>1E-4</v>
      </c>
      <c r="B662" s="304">
        <f t="shared" ca="1" si="297"/>
        <v>28.628200000000074</v>
      </c>
      <c r="D662" s="306">
        <f t="shared" ca="1" si="298"/>
        <v>-0.65870786003177106</v>
      </c>
      <c r="E662" s="307">
        <f t="shared" ca="1" si="299"/>
        <v>-0.90048157005013785</v>
      </c>
      <c r="F662" s="304">
        <f t="shared" ca="1" si="300"/>
        <v>1.1156895190274023</v>
      </c>
      <c r="G662" s="306">
        <f t="shared" ca="1" si="301"/>
        <v>7.2812032051000699</v>
      </c>
      <c r="H662" s="307">
        <f t="shared" ca="1" si="302"/>
        <v>-98.484721796595522</v>
      </c>
      <c r="I662" s="304">
        <f t="shared" ca="1" si="303"/>
        <v>98.753513089240414</v>
      </c>
      <c r="J662" s="306">
        <f t="shared" ca="1" si="304"/>
        <v>678.53524446899166</v>
      </c>
      <c r="K662" s="307">
        <f t="shared" ca="1" si="305"/>
        <v>-5.6480189310725697</v>
      </c>
      <c r="L662" s="304">
        <f t="shared" ca="1" si="290"/>
        <v>678.55875066529063</v>
      </c>
      <c r="M662" s="306">
        <f t="shared" ca="1" si="306"/>
        <v>-1.4969982788206497</v>
      </c>
      <c r="N662" s="304">
        <f t="shared" ca="1" si="307"/>
        <v>-85.771683314771678</v>
      </c>
      <c r="P662" s="310">
        <f t="shared" ca="1" si="308"/>
        <v>23</v>
      </c>
      <c r="Q662" s="304">
        <f t="shared" ca="1" si="309"/>
        <v>0</v>
      </c>
      <c r="R662" s="306">
        <f t="shared" ca="1" si="310"/>
        <v>0</v>
      </c>
      <c r="S662" s="307">
        <f t="shared" ca="1" si="311"/>
        <v>4.341000000000002</v>
      </c>
      <c r="T662" s="304">
        <f t="shared" ca="1" si="291"/>
        <v>42.585210000000025</v>
      </c>
      <c r="U662" s="311">
        <f t="shared" ca="1" si="292"/>
        <v>0</v>
      </c>
      <c r="V662" s="306">
        <f t="shared" ca="1" si="293"/>
        <v>1.2256920777624716</v>
      </c>
      <c r="W662" s="304">
        <f t="shared" ca="1" si="294"/>
        <v>38.781884322558902</v>
      </c>
      <c r="Y662" s="314" t="str">
        <f t="shared" ca="1" si="312"/>
        <v/>
      </c>
      <c r="Z662" s="315" t="str">
        <f t="shared" ca="1" si="313"/>
        <v/>
      </c>
      <c r="AA662" s="316" t="str">
        <f t="shared" ca="1" si="314"/>
        <v/>
      </c>
      <c r="AC662" s="310" t="e">
        <f t="shared" ca="1" si="315"/>
        <v>#N/A</v>
      </c>
      <c r="AD662" s="323" t="e">
        <f t="shared" ca="1" si="316"/>
        <v>#N/A</v>
      </c>
      <c r="AE662" s="324" t="e">
        <f t="shared" ca="1" si="295"/>
        <v>#N/A</v>
      </c>
      <c r="AG662" s="306">
        <f t="shared" ca="1" si="317"/>
        <v>0.84946283110229714</v>
      </c>
      <c r="AH662" s="304">
        <f t="shared" ca="1" si="318"/>
        <v>-8.9338353856831212</v>
      </c>
    </row>
    <row r="663" spans="1:34" x14ac:dyDescent="0.2">
      <c r="A663" s="347">
        <f t="shared" ca="1" si="296"/>
        <v>1E-4</v>
      </c>
      <c r="B663" s="304">
        <f t="shared" ca="1" si="297"/>
        <v>28.628300000000074</v>
      </c>
      <c r="D663" s="306">
        <f t="shared" ca="1" si="298"/>
        <v>-0.65870311628754663</v>
      </c>
      <c r="E663" s="307">
        <f t="shared" ca="1" si="299"/>
        <v>-0.90045698536605911</v>
      </c>
      <c r="F663" s="304">
        <f t="shared" ca="1" si="300"/>
        <v>1.1156668758645909</v>
      </c>
      <c r="G663" s="306">
        <f t="shared" ca="1" si="301"/>
        <v>7.2811373347884407</v>
      </c>
      <c r="H663" s="307">
        <f t="shared" ca="1" si="302"/>
        <v>-98.484811842294064</v>
      </c>
      <c r="I663" s="304">
        <f t="shared" ca="1" si="303"/>
        <v>98.753598033186179</v>
      </c>
      <c r="J663" s="306">
        <f t="shared" ca="1" si="304"/>
        <v>678.53524446899166</v>
      </c>
      <c r="K663" s="307">
        <f t="shared" ca="1" si="305"/>
        <v>-5.6578674077545141</v>
      </c>
      <c r="L663" s="304">
        <f t="shared" ca="1" si="290"/>
        <v>678.5588327110612</v>
      </c>
      <c r="M663" s="306">
        <f t="shared" ca="1" si="306"/>
        <v>-1.4969990112515812</v>
      </c>
      <c r="N663" s="304">
        <f t="shared" ca="1" si="307"/>
        <v>-85.771725279972841</v>
      </c>
      <c r="P663" s="310">
        <f t="shared" ca="1" si="308"/>
        <v>23</v>
      </c>
      <c r="Q663" s="304">
        <f t="shared" ca="1" si="309"/>
        <v>0</v>
      </c>
      <c r="R663" s="306">
        <f t="shared" ca="1" si="310"/>
        <v>0</v>
      </c>
      <c r="S663" s="307">
        <f t="shared" ca="1" si="311"/>
        <v>4.341000000000002</v>
      </c>
      <c r="T663" s="304">
        <f t="shared" ca="1" si="291"/>
        <v>42.585210000000025</v>
      </c>
      <c r="U663" s="311">
        <f t="shared" ca="1" si="292"/>
        <v>0</v>
      </c>
      <c r="V663" s="306">
        <f t="shared" ca="1" si="293"/>
        <v>1.2256932848831472</v>
      </c>
      <c r="W663" s="304">
        <f t="shared" ca="1" si="294"/>
        <v>38.781989234272096</v>
      </c>
      <c r="Y663" s="314" t="str">
        <f t="shared" ca="1" si="312"/>
        <v/>
      </c>
      <c r="Z663" s="315" t="str">
        <f t="shared" ca="1" si="313"/>
        <v/>
      </c>
      <c r="AA663" s="316" t="str">
        <f t="shared" ca="1" si="314"/>
        <v/>
      </c>
      <c r="AC663" s="310" t="e">
        <f t="shared" ca="1" si="315"/>
        <v>#N/A</v>
      </c>
      <c r="AD663" s="323" t="e">
        <f t="shared" ca="1" si="316"/>
        <v>#N/A</v>
      </c>
      <c r="AE663" s="324" t="e">
        <f t="shared" ca="1" si="295"/>
        <v>#N/A</v>
      </c>
      <c r="AG663" s="306">
        <f t="shared" ca="1" si="317"/>
        <v>0.84943919287459657</v>
      </c>
      <c r="AH663" s="304">
        <f t="shared" ca="1" si="318"/>
        <v>-8.9338595536878334</v>
      </c>
    </row>
    <row r="664" spans="1:34" x14ac:dyDescent="0.2">
      <c r="A664" s="347">
        <f t="shared" ca="1" si="296"/>
        <v>1E-4</v>
      </c>
      <c r="B664" s="304">
        <f t="shared" ca="1" si="297"/>
        <v>28.628400000000074</v>
      </c>
      <c r="D664" s="306">
        <f t="shared" ca="1" si="298"/>
        <v>-0.6586983725508293</v>
      </c>
      <c r="E664" s="307">
        <f t="shared" ca="1" si="299"/>
        <v>-0.90043240105583244</v>
      </c>
      <c r="F664" s="304">
        <f t="shared" ca="1" si="300"/>
        <v>1.115644233110306</v>
      </c>
      <c r="G664" s="306">
        <f t="shared" ca="1" si="301"/>
        <v>7.2810714649511858</v>
      </c>
      <c r="H664" s="307">
        <f t="shared" ca="1" si="302"/>
        <v>-98.484901885534171</v>
      </c>
      <c r="I664" s="304">
        <f t="shared" ca="1" si="303"/>
        <v>98.753682974768182</v>
      </c>
      <c r="J664" s="306">
        <f t="shared" ca="1" si="304"/>
        <v>678.53524446899166</v>
      </c>
      <c r="K664" s="307">
        <f t="shared" ca="1" si="305"/>
        <v>-5.6677158934409055</v>
      </c>
      <c r="L664" s="304">
        <f t="shared" ca="1" si="290"/>
        <v>678.55891489983617</v>
      </c>
      <c r="M664" s="306">
        <f t="shared" ca="1" si="306"/>
        <v>-1.4969997436746265</v>
      </c>
      <c r="N664" s="304">
        <f t="shared" ca="1" si="307"/>
        <v>-85.771767244722156</v>
      </c>
      <c r="P664" s="310">
        <f t="shared" ca="1" si="308"/>
        <v>23</v>
      </c>
      <c r="Q664" s="304">
        <f t="shared" ca="1" si="309"/>
        <v>0</v>
      </c>
      <c r="R664" s="306">
        <f t="shared" ca="1" si="310"/>
        <v>0</v>
      </c>
      <c r="S664" s="307">
        <f t="shared" ca="1" si="311"/>
        <v>4.341000000000002</v>
      </c>
      <c r="T664" s="304">
        <f t="shared" ca="1" si="291"/>
        <v>42.585210000000025</v>
      </c>
      <c r="U664" s="311">
        <f t="shared" ca="1" si="292"/>
        <v>0</v>
      </c>
      <c r="V664" s="306">
        <f t="shared" ca="1" si="293"/>
        <v>1.2256944920061155</v>
      </c>
      <c r="W664" s="304">
        <f t="shared" ca="1" si="294"/>
        <v>38.782094144390051</v>
      </c>
      <c r="Y664" s="314" t="str">
        <f t="shared" ca="1" si="312"/>
        <v/>
      </c>
      <c r="Z664" s="315" t="str">
        <f t="shared" ca="1" si="313"/>
        <v/>
      </c>
      <c r="AA664" s="316" t="str">
        <f t="shared" ca="1" si="314"/>
        <v/>
      </c>
      <c r="AC664" s="310" t="e">
        <f t="shared" ca="1" si="315"/>
        <v>#N/A</v>
      </c>
      <c r="AD664" s="323" t="e">
        <f t="shared" ca="1" si="316"/>
        <v>#N/A</v>
      </c>
      <c r="AE664" s="324" t="e">
        <f t="shared" ca="1" si="295"/>
        <v>#N/A</v>
      </c>
      <c r="AG664" s="306">
        <f t="shared" ca="1" si="317"/>
        <v>0.84941555500343036</v>
      </c>
      <c r="AH664" s="304">
        <f t="shared" ca="1" si="318"/>
        <v>-8.9338837213250581</v>
      </c>
    </row>
    <row r="665" spans="1:34" x14ac:dyDescent="0.2">
      <c r="A665" s="347">
        <f t="shared" ca="1" si="296"/>
        <v>1E-4</v>
      </c>
      <c r="B665" s="304">
        <f t="shared" ca="1" si="297"/>
        <v>28.628500000000074</v>
      </c>
      <c r="D665" s="306">
        <f t="shared" ca="1" si="298"/>
        <v>-0.65869362882162052</v>
      </c>
      <c r="E665" s="307">
        <f t="shared" ca="1" si="299"/>
        <v>-0.90040781711944895</v>
      </c>
      <c r="F665" s="304">
        <f t="shared" ca="1" si="300"/>
        <v>1.1156215907645415</v>
      </c>
      <c r="G665" s="306">
        <f t="shared" ca="1" si="301"/>
        <v>7.2810055955883035</v>
      </c>
      <c r="H665" s="307">
        <f t="shared" ca="1" si="302"/>
        <v>-98.484991926315885</v>
      </c>
      <c r="I665" s="304">
        <f t="shared" ca="1" si="303"/>
        <v>98.753767913986422</v>
      </c>
      <c r="J665" s="306">
        <f t="shared" ca="1" si="304"/>
        <v>678.53524446899166</v>
      </c>
      <c r="K665" s="307">
        <f t="shared" ca="1" si="305"/>
        <v>-5.6775643881314979</v>
      </c>
      <c r="L665" s="304">
        <f t="shared" ca="1" si="290"/>
        <v>678.55899723161554</v>
      </c>
      <c r="M665" s="306">
        <f t="shared" ca="1" si="306"/>
        <v>-1.4970004760897861</v>
      </c>
      <c r="N665" s="304">
        <f t="shared" ca="1" si="307"/>
        <v>-85.771809209019651</v>
      </c>
      <c r="P665" s="310">
        <f t="shared" ca="1" si="308"/>
        <v>23</v>
      </c>
      <c r="Q665" s="304">
        <f t="shared" ca="1" si="309"/>
        <v>0</v>
      </c>
      <c r="R665" s="306">
        <f t="shared" ca="1" si="310"/>
        <v>0</v>
      </c>
      <c r="S665" s="307">
        <f t="shared" ca="1" si="311"/>
        <v>4.341000000000002</v>
      </c>
      <c r="T665" s="304">
        <f t="shared" ca="1" si="291"/>
        <v>42.585210000000025</v>
      </c>
      <c r="U665" s="311">
        <f t="shared" ca="1" si="292"/>
        <v>0</v>
      </c>
      <c r="V665" s="306">
        <f t="shared" ca="1" si="293"/>
        <v>1.2256956991313768</v>
      </c>
      <c r="W665" s="304">
        <f t="shared" ca="1" si="294"/>
        <v>38.782199052912787</v>
      </c>
      <c r="Y665" s="314" t="str">
        <f t="shared" ca="1" si="312"/>
        <v/>
      </c>
      <c r="Z665" s="315" t="str">
        <f t="shared" ca="1" si="313"/>
        <v/>
      </c>
      <c r="AA665" s="316" t="str">
        <f t="shared" ca="1" si="314"/>
        <v/>
      </c>
      <c r="AC665" s="310" t="e">
        <f t="shared" ca="1" si="315"/>
        <v>#N/A</v>
      </c>
      <c r="AD665" s="323" t="e">
        <f t="shared" ca="1" si="316"/>
        <v>#N/A</v>
      </c>
      <c r="AE665" s="324" t="e">
        <f t="shared" ca="1" si="295"/>
        <v>#N/A</v>
      </c>
      <c r="AG665" s="306">
        <f t="shared" ca="1" si="317"/>
        <v>0.84939191748879317</v>
      </c>
      <c r="AH665" s="304">
        <f t="shared" ca="1" si="318"/>
        <v>-8.9339078885948009</v>
      </c>
    </row>
    <row r="666" spans="1:34" x14ac:dyDescent="0.2">
      <c r="A666" s="347">
        <f t="shared" ca="1" si="296"/>
        <v>1E-4</v>
      </c>
      <c r="B666" s="304">
        <f t="shared" ca="1" si="297"/>
        <v>28.628600000000073</v>
      </c>
      <c r="D666" s="306">
        <f t="shared" ca="1" si="298"/>
        <v>-0.6586888850999183</v>
      </c>
      <c r="E666" s="307">
        <f t="shared" ca="1" si="299"/>
        <v>-0.90038323355690864</v>
      </c>
      <c r="F666" s="304">
        <f t="shared" ca="1" si="300"/>
        <v>1.1155989488272962</v>
      </c>
      <c r="G666" s="306">
        <f t="shared" ca="1" si="301"/>
        <v>7.2809397266997937</v>
      </c>
      <c r="H666" s="307">
        <f t="shared" ca="1" si="302"/>
        <v>-98.485081964639235</v>
      </c>
      <c r="I666" s="304">
        <f t="shared" ca="1" si="303"/>
        <v>98.753852850840929</v>
      </c>
      <c r="J666" s="306">
        <f t="shared" ca="1" si="304"/>
        <v>678.53524446899166</v>
      </c>
      <c r="K666" s="307">
        <f t="shared" ca="1" si="305"/>
        <v>-5.687412891826046</v>
      </c>
      <c r="L666" s="304">
        <f t="shared" ca="1" si="290"/>
        <v>678.55907970639987</v>
      </c>
      <c r="M666" s="306">
        <f t="shared" ca="1" si="306"/>
        <v>-1.4970012084970599</v>
      </c>
      <c r="N666" s="304">
        <f t="shared" ca="1" si="307"/>
        <v>-85.771851172865325</v>
      </c>
      <c r="P666" s="310">
        <f t="shared" ca="1" si="308"/>
        <v>23</v>
      </c>
      <c r="Q666" s="304">
        <f t="shared" ca="1" si="309"/>
        <v>0</v>
      </c>
      <c r="R666" s="306">
        <f t="shared" ca="1" si="310"/>
        <v>0</v>
      </c>
      <c r="S666" s="307">
        <f t="shared" ca="1" si="311"/>
        <v>4.341000000000002</v>
      </c>
      <c r="T666" s="304">
        <f t="shared" ca="1" si="291"/>
        <v>42.585210000000025</v>
      </c>
      <c r="U666" s="311">
        <f t="shared" ca="1" si="292"/>
        <v>0</v>
      </c>
      <c r="V666" s="306">
        <f t="shared" ca="1" si="293"/>
        <v>1.2256969062589305</v>
      </c>
      <c r="W666" s="304">
        <f t="shared" ca="1" si="294"/>
        <v>38.782303959840291</v>
      </c>
      <c r="Y666" s="314" t="str">
        <f t="shared" ca="1" si="312"/>
        <v/>
      </c>
      <c r="Z666" s="315" t="str">
        <f t="shared" ca="1" si="313"/>
        <v/>
      </c>
      <c r="AA666" s="316" t="str">
        <f t="shared" ca="1" si="314"/>
        <v/>
      </c>
      <c r="AC666" s="310" t="e">
        <f t="shared" ca="1" si="315"/>
        <v>#N/A</v>
      </c>
      <c r="AD666" s="323" t="e">
        <f t="shared" ca="1" si="316"/>
        <v>#N/A</v>
      </c>
      <c r="AE666" s="324" t="e">
        <f t="shared" ca="1" si="295"/>
        <v>#N/A</v>
      </c>
      <c r="AG666" s="306">
        <f t="shared" ca="1" si="317"/>
        <v>0.84936828033068146</v>
      </c>
      <c r="AH666" s="304">
        <f t="shared" ca="1" si="318"/>
        <v>-8.9339320554970669</v>
      </c>
    </row>
    <row r="667" spans="1:34" x14ac:dyDescent="0.2">
      <c r="A667" s="347">
        <f t="shared" ca="1" si="296"/>
        <v>1E-4</v>
      </c>
      <c r="B667" s="304">
        <f t="shared" ca="1" si="297"/>
        <v>28.628700000000073</v>
      </c>
      <c r="D667" s="306">
        <f t="shared" ca="1" si="298"/>
        <v>-0.65868414138572562</v>
      </c>
      <c r="E667" s="307">
        <f t="shared" ca="1" si="299"/>
        <v>-0.90035865036820972</v>
      </c>
      <c r="F667" s="304">
        <f t="shared" ca="1" si="300"/>
        <v>1.1155763072985705</v>
      </c>
      <c r="G667" s="306">
        <f t="shared" ca="1" si="301"/>
        <v>7.2808738582856556</v>
      </c>
      <c r="H667" s="307">
        <f t="shared" ca="1" si="302"/>
        <v>-98.485172000504278</v>
      </c>
      <c r="I667" s="304">
        <f t="shared" ca="1" si="303"/>
        <v>98.753937785331786</v>
      </c>
      <c r="J667" s="306">
        <f t="shared" ca="1" si="304"/>
        <v>678.53524446899166</v>
      </c>
      <c r="K667" s="307">
        <f t="shared" ca="1" si="305"/>
        <v>-5.6972614045243031</v>
      </c>
      <c r="L667" s="304">
        <f t="shared" ca="1" si="290"/>
        <v>678.55916232418951</v>
      </c>
      <c r="M667" s="306">
        <f t="shared" ca="1" si="306"/>
        <v>-1.4970019408964479</v>
      </c>
      <c r="N667" s="304">
        <f t="shared" ca="1" si="307"/>
        <v>-85.77189313625918</v>
      </c>
      <c r="P667" s="310">
        <f t="shared" ca="1" si="308"/>
        <v>23</v>
      </c>
      <c r="Q667" s="304">
        <f t="shared" ca="1" si="309"/>
        <v>0</v>
      </c>
      <c r="R667" s="306">
        <f t="shared" ca="1" si="310"/>
        <v>0</v>
      </c>
      <c r="S667" s="307">
        <f t="shared" ca="1" si="311"/>
        <v>4.341000000000002</v>
      </c>
      <c r="T667" s="304">
        <f t="shared" ca="1" si="291"/>
        <v>42.585210000000025</v>
      </c>
      <c r="U667" s="311">
        <f t="shared" ca="1" si="292"/>
        <v>0</v>
      </c>
      <c r="V667" s="306">
        <f t="shared" ca="1" si="293"/>
        <v>1.2256981133887774</v>
      </c>
      <c r="W667" s="304">
        <f t="shared" ca="1" si="294"/>
        <v>38.782408865172641</v>
      </c>
      <c r="Y667" s="314" t="str">
        <f t="shared" ca="1" si="312"/>
        <v/>
      </c>
      <c r="Z667" s="315" t="str">
        <f t="shared" ca="1" si="313"/>
        <v/>
      </c>
      <c r="AA667" s="316" t="str">
        <f t="shared" ca="1" si="314"/>
        <v/>
      </c>
      <c r="AC667" s="310" t="e">
        <f t="shared" ca="1" si="315"/>
        <v>#N/A</v>
      </c>
      <c r="AD667" s="323" t="e">
        <f t="shared" ca="1" si="316"/>
        <v>#N/A</v>
      </c>
      <c r="AE667" s="324" t="e">
        <f t="shared" ca="1" si="295"/>
        <v>#N/A</v>
      </c>
      <c r="AG667" s="306">
        <f t="shared" ca="1" si="317"/>
        <v>0.84934464352910055</v>
      </c>
      <c r="AH667" s="304">
        <f t="shared" ca="1" si="318"/>
        <v>-8.9339562220318527</v>
      </c>
    </row>
    <row r="668" spans="1:34" x14ac:dyDescent="0.2">
      <c r="A668" s="347">
        <f t="shared" ca="1" si="296"/>
        <v>1E-4</v>
      </c>
      <c r="B668" s="304">
        <f t="shared" ca="1" si="297"/>
        <v>28.628800000000073</v>
      </c>
      <c r="D668" s="306">
        <f t="shared" ca="1" si="298"/>
        <v>-0.65867939767904327</v>
      </c>
      <c r="E668" s="307">
        <f t="shared" ca="1" si="299"/>
        <v>-0.90033406755333623</v>
      </c>
      <c r="F668" s="304">
        <f t="shared" ca="1" si="300"/>
        <v>1.1155536661783523</v>
      </c>
      <c r="G668" s="306">
        <f t="shared" ca="1" si="301"/>
        <v>7.2808079903458873</v>
      </c>
      <c r="H668" s="307">
        <f t="shared" ca="1" si="302"/>
        <v>-98.485262033911027</v>
      </c>
      <c r="I668" s="304">
        <f t="shared" ca="1" si="303"/>
        <v>98.754022717458966</v>
      </c>
      <c r="J668" s="306">
        <f t="shared" ca="1" si="304"/>
        <v>678.53524446899166</v>
      </c>
      <c r="K668" s="307">
        <f t="shared" ca="1" si="305"/>
        <v>-5.7071099262260239</v>
      </c>
      <c r="L668" s="304">
        <f t="shared" ca="1" si="290"/>
        <v>678.5592450849847</v>
      </c>
      <c r="M668" s="306">
        <f t="shared" ca="1" si="306"/>
        <v>-1.4970026732879502</v>
      </c>
      <c r="N668" s="304">
        <f t="shared" ca="1" si="307"/>
        <v>-85.771935099201215</v>
      </c>
      <c r="P668" s="310">
        <f t="shared" ca="1" si="308"/>
        <v>23</v>
      </c>
      <c r="Q668" s="304">
        <f t="shared" ca="1" si="309"/>
        <v>0</v>
      </c>
      <c r="R668" s="306">
        <f t="shared" ca="1" si="310"/>
        <v>0</v>
      </c>
      <c r="S668" s="307">
        <f t="shared" ca="1" si="311"/>
        <v>4.341000000000002</v>
      </c>
      <c r="T668" s="304">
        <f t="shared" ca="1" si="291"/>
        <v>42.585210000000025</v>
      </c>
      <c r="U668" s="311">
        <f t="shared" ca="1" si="292"/>
        <v>0</v>
      </c>
      <c r="V668" s="306">
        <f t="shared" ca="1" si="293"/>
        <v>1.225699320520917</v>
      </c>
      <c r="W668" s="304">
        <f t="shared" ca="1" si="294"/>
        <v>38.782513768909794</v>
      </c>
      <c r="Y668" s="314" t="str">
        <f t="shared" ca="1" si="312"/>
        <v/>
      </c>
      <c r="Z668" s="315" t="str">
        <f t="shared" ca="1" si="313"/>
        <v/>
      </c>
      <c r="AA668" s="316" t="str">
        <f t="shared" ca="1" si="314"/>
        <v/>
      </c>
      <c r="AC668" s="310" t="e">
        <f t="shared" ca="1" si="315"/>
        <v>#N/A</v>
      </c>
      <c r="AD668" s="323" t="e">
        <f t="shared" ca="1" si="316"/>
        <v>#N/A</v>
      </c>
      <c r="AE668" s="324" t="e">
        <f t="shared" ca="1" si="295"/>
        <v>#N/A</v>
      </c>
      <c r="AG668" s="306">
        <f t="shared" ca="1" si="317"/>
        <v>0.84932100708402736</v>
      </c>
      <c r="AH668" s="304">
        <f t="shared" ca="1" si="318"/>
        <v>-8.9339803881991759</v>
      </c>
    </row>
    <row r="669" spans="1:34" x14ac:dyDescent="0.2">
      <c r="A669" s="347">
        <f t="shared" ca="1" si="296"/>
        <v>1E-4</v>
      </c>
      <c r="B669" s="304">
        <f t="shared" ca="1" si="297"/>
        <v>28.628900000000073</v>
      </c>
      <c r="D669" s="306">
        <f t="shared" ca="1" si="298"/>
        <v>-0.65867465397987202</v>
      </c>
      <c r="E669" s="307">
        <f t="shared" ca="1" si="299"/>
        <v>-0.90030948511230058</v>
      </c>
      <c r="F669" s="304">
        <f t="shared" ca="1" si="300"/>
        <v>1.1155310254666519</v>
      </c>
      <c r="G669" s="306">
        <f t="shared" ca="1" si="301"/>
        <v>7.2807421228804889</v>
      </c>
      <c r="H669" s="307">
        <f t="shared" ca="1" si="302"/>
        <v>-98.485352064859541</v>
      </c>
      <c r="I669" s="304">
        <f t="shared" ca="1" si="303"/>
        <v>98.75410764722254</v>
      </c>
      <c r="J669" s="306">
        <f t="shared" ca="1" si="304"/>
        <v>678.53524446899166</v>
      </c>
      <c r="K669" s="307">
        <f t="shared" ca="1" si="305"/>
        <v>-5.7169584569309624</v>
      </c>
      <c r="L669" s="304">
        <f t="shared" ca="1" si="290"/>
        <v>678.55932798878575</v>
      </c>
      <c r="M669" s="306">
        <f t="shared" ca="1" si="306"/>
        <v>-1.4970034056715673</v>
      </c>
      <c r="N669" s="304">
        <f t="shared" ca="1" si="307"/>
        <v>-85.771977061691459</v>
      </c>
      <c r="P669" s="310">
        <f t="shared" ca="1" si="308"/>
        <v>23</v>
      </c>
      <c r="Q669" s="304">
        <f t="shared" ca="1" si="309"/>
        <v>0</v>
      </c>
      <c r="R669" s="306">
        <f t="shared" ca="1" si="310"/>
        <v>0</v>
      </c>
      <c r="S669" s="307">
        <f t="shared" ca="1" si="311"/>
        <v>4.341000000000002</v>
      </c>
      <c r="T669" s="304">
        <f t="shared" ca="1" si="291"/>
        <v>42.585210000000025</v>
      </c>
      <c r="U669" s="311">
        <f t="shared" ca="1" si="292"/>
        <v>0</v>
      </c>
      <c r="V669" s="306">
        <f t="shared" ca="1" si="293"/>
        <v>1.2257005276553492</v>
      </c>
      <c r="W669" s="304">
        <f t="shared" ca="1" si="294"/>
        <v>38.782618671051772</v>
      </c>
      <c r="Y669" s="314" t="str">
        <f t="shared" ca="1" si="312"/>
        <v/>
      </c>
      <c r="Z669" s="315" t="str">
        <f t="shared" ca="1" si="313"/>
        <v/>
      </c>
      <c r="AA669" s="316" t="str">
        <f t="shared" ca="1" si="314"/>
        <v/>
      </c>
      <c r="AC669" s="310" t="e">
        <f t="shared" ca="1" si="315"/>
        <v>#N/A</v>
      </c>
      <c r="AD669" s="323" t="e">
        <f t="shared" ca="1" si="316"/>
        <v>#N/A</v>
      </c>
      <c r="AE669" s="324" t="e">
        <f t="shared" ca="1" si="295"/>
        <v>#N/A</v>
      </c>
      <c r="AG669" s="306">
        <f t="shared" ca="1" si="317"/>
        <v>0.84929737099547609</v>
      </c>
      <c r="AH669" s="304">
        <f t="shared" ca="1" si="318"/>
        <v>-8.9340045539990278</v>
      </c>
    </row>
    <row r="670" spans="1:34" x14ac:dyDescent="0.2">
      <c r="A670" s="347">
        <f t="shared" ca="1" si="296"/>
        <v>1E-4</v>
      </c>
      <c r="B670" s="304">
        <f t="shared" ca="1" si="297"/>
        <v>28.629000000000072</v>
      </c>
      <c r="D670" s="306">
        <f t="shared" ca="1" si="298"/>
        <v>-0.65866991028820954</v>
      </c>
      <c r="E670" s="307">
        <f t="shared" ca="1" si="299"/>
        <v>-0.90028490304509567</v>
      </c>
      <c r="F670" s="304">
        <f t="shared" ca="1" si="300"/>
        <v>1.1155083851634624</v>
      </c>
      <c r="G670" s="306">
        <f t="shared" ca="1" si="301"/>
        <v>7.2806762558894604</v>
      </c>
      <c r="H670" s="307">
        <f t="shared" ca="1" si="302"/>
        <v>-98.485442093349846</v>
      </c>
      <c r="I670" s="304">
        <f t="shared" ca="1" si="303"/>
        <v>98.754192574622564</v>
      </c>
      <c r="J670" s="306">
        <f t="shared" ca="1" si="304"/>
        <v>678.53524446899166</v>
      </c>
      <c r="K670" s="307">
        <f t="shared" ca="1" si="305"/>
        <v>-5.7268069966388726</v>
      </c>
      <c r="L670" s="304">
        <f t="shared" ca="1" si="290"/>
        <v>678.55941103559314</v>
      </c>
      <c r="M670" s="306">
        <f t="shared" ca="1" si="306"/>
        <v>-1.4970041380472989</v>
      </c>
      <c r="N670" s="304">
        <f t="shared" ca="1" si="307"/>
        <v>-85.772019023729897</v>
      </c>
      <c r="P670" s="310">
        <f t="shared" ca="1" si="308"/>
        <v>23</v>
      </c>
      <c r="Q670" s="304">
        <f t="shared" ca="1" si="309"/>
        <v>0</v>
      </c>
      <c r="R670" s="306">
        <f t="shared" ca="1" si="310"/>
        <v>0</v>
      </c>
      <c r="S670" s="307">
        <f t="shared" ca="1" si="311"/>
        <v>4.341000000000002</v>
      </c>
      <c r="T670" s="304">
        <f t="shared" ca="1" si="291"/>
        <v>42.585210000000025</v>
      </c>
      <c r="U670" s="311">
        <f t="shared" ca="1" si="292"/>
        <v>0</v>
      </c>
      <c r="V670" s="306">
        <f t="shared" ca="1" si="293"/>
        <v>1.225701734792074</v>
      </c>
      <c r="W670" s="304">
        <f t="shared" ca="1" si="294"/>
        <v>38.782723571598659</v>
      </c>
      <c r="Y670" s="314" t="str">
        <f t="shared" ca="1" si="312"/>
        <v/>
      </c>
      <c r="Z670" s="315" t="str">
        <f t="shared" ca="1" si="313"/>
        <v/>
      </c>
      <c r="AA670" s="316" t="str">
        <f t="shared" ca="1" si="314"/>
        <v/>
      </c>
      <c r="AC670" s="310" t="e">
        <f t="shared" ca="1" si="315"/>
        <v>#N/A</v>
      </c>
      <c r="AD670" s="323" t="e">
        <f t="shared" ca="1" si="316"/>
        <v>#N/A</v>
      </c>
      <c r="AE670" s="324" t="e">
        <f t="shared" ca="1" si="295"/>
        <v>#N/A</v>
      </c>
      <c r="AG670" s="306">
        <f t="shared" ca="1" si="317"/>
        <v>0.84927373526344319</v>
      </c>
      <c r="AH670" s="304">
        <f t="shared" ca="1" si="318"/>
        <v>-8.9340287194314101</v>
      </c>
    </row>
    <row r="671" spans="1:34" x14ac:dyDescent="0.2">
      <c r="A671" s="347">
        <f t="shared" ca="1" si="296"/>
        <v>1E-4</v>
      </c>
      <c r="B671" s="304">
        <f t="shared" ca="1" si="297"/>
        <v>28.629100000000072</v>
      </c>
      <c r="D671" s="306">
        <f t="shared" ca="1" si="298"/>
        <v>-0.65866516660406071</v>
      </c>
      <c r="E671" s="307">
        <f t="shared" ca="1" si="299"/>
        <v>-0.90026032135169842</v>
      </c>
      <c r="F671" s="304">
        <f t="shared" ca="1" si="300"/>
        <v>1.1154857452687679</v>
      </c>
      <c r="G671" s="306">
        <f t="shared" ca="1" si="301"/>
        <v>7.2806103893728</v>
      </c>
      <c r="H671" s="307">
        <f t="shared" ca="1" si="302"/>
        <v>-98.485532119381986</v>
      </c>
      <c r="I671" s="304">
        <f t="shared" ca="1" si="303"/>
        <v>98.75427749965904</v>
      </c>
      <c r="J671" s="306">
        <f t="shared" ca="1" si="304"/>
        <v>678.53524446899166</v>
      </c>
      <c r="K671" s="307">
        <f t="shared" ca="1" si="305"/>
        <v>-5.7366555453495094</v>
      </c>
      <c r="L671" s="304">
        <f t="shared" ca="1" si="290"/>
        <v>678.55949422540709</v>
      </c>
      <c r="M671" s="306">
        <f t="shared" ca="1" si="306"/>
        <v>-1.4970048704151453</v>
      </c>
      <c r="N671" s="304">
        <f t="shared" ca="1" si="307"/>
        <v>-85.772060985316543</v>
      </c>
      <c r="P671" s="310">
        <f t="shared" ca="1" si="308"/>
        <v>23</v>
      </c>
      <c r="Q671" s="304">
        <f t="shared" ca="1" si="309"/>
        <v>0</v>
      </c>
      <c r="R671" s="306">
        <f t="shared" ca="1" si="310"/>
        <v>0</v>
      </c>
      <c r="S671" s="307">
        <f t="shared" ca="1" si="311"/>
        <v>4.341000000000002</v>
      </c>
      <c r="T671" s="304">
        <f t="shared" ca="1" si="291"/>
        <v>42.585210000000025</v>
      </c>
      <c r="U671" s="311">
        <f t="shared" ca="1" si="292"/>
        <v>0</v>
      </c>
      <c r="V671" s="306">
        <f t="shared" ca="1" si="293"/>
        <v>1.2257029419310914</v>
      </c>
      <c r="W671" s="304">
        <f t="shared" ca="1" si="294"/>
        <v>38.782828470550392</v>
      </c>
      <c r="Y671" s="314" t="str">
        <f t="shared" ca="1" si="312"/>
        <v/>
      </c>
      <c r="Z671" s="315" t="str">
        <f t="shared" ca="1" si="313"/>
        <v/>
      </c>
      <c r="AA671" s="316" t="str">
        <f t="shared" ca="1" si="314"/>
        <v/>
      </c>
      <c r="AC671" s="310" t="e">
        <f t="shared" ca="1" si="315"/>
        <v>#N/A</v>
      </c>
      <c r="AD671" s="323" t="e">
        <f t="shared" ca="1" si="316"/>
        <v>#N/A</v>
      </c>
      <c r="AE671" s="324" t="e">
        <f t="shared" ca="1" si="295"/>
        <v>#N/A</v>
      </c>
      <c r="AG671" s="306">
        <f t="shared" ca="1" si="317"/>
        <v>0.84925009988790556</v>
      </c>
      <c r="AH671" s="304">
        <f t="shared" ca="1" si="318"/>
        <v>-8.9340528844963476</v>
      </c>
    </row>
    <row r="672" spans="1:34" x14ac:dyDescent="0.2">
      <c r="A672" s="347">
        <f t="shared" ca="1" si="296"/>
        <v>1E-4</v>
      </c>
      <c r="B672" s="304">
        <f t="shared" ca="1" si="297"/>
        <v>28.629200000000072</v>
      </c>
      <c r="D672" s="306">
        <f t="shared" ca="1" si="298"/>
        <v>-0.65866042292742377</v>
      </c>
      <c r="E672" s="307">
        <f t="shared" ca="1" si="299"/>
        <v>-0.90023574003212836</v>
      </c>
      <c r="F672" s="304">
        <f t="shared" ca="1" si="300"/>
        <v>1.1154631057825832</v>
      </c>
      <c r="G672" s="306">
        <f t="shared" ca="1" si="301"/>
        <v>7.2805445233305077</v>
      </c>
      <c r="H672" s="307">
        <f t="shared" ca="1" si="302"/>
        <v>-98.485622142955989</v>
      </c>
      <c r="I672" s="304">
        <f t="shared" ca="1" si="303"/>
        <v>98.754362422332008</v>
      </c>
      <c r="J672" s="306">
        <f t="shared" ca="1" si="304"/>
        <v>678.53524446899166</v>
      </c>
      <c r="K672" s="307">
        <f t="shared" ca="1" si="305"/>
        <v>-5.7465041030626267</v>
      </c>
      <c r="L672" s="304">
        <f t="shared" ca="1" si="290"/>
        <v>678.55957755822794</v>
      </c>
      <c r="M672" s="306">
        <f t="shared" ca="1" si="306"/>
        <v>-1.4970056027751064</v>
      </c>
      <c r="N672" s="304">
        <f t="shared" ca="1" si="307"/>
        <v>-85.772102946451398</v>
      </c>
      <c r="P672" s="310">
        <f t="shared" ca="1" si="308"/>
        <v>23</v>
      </c>
      <c r="Q672" s="304">
        <f t="shared" ca="1" si="309"/>
        <v>0</v>
      </c>
      <c r="R672" s="306">
        <f t="shared" ca="1" si="310"/>
        <v>0</v>
      </c>
      <c r="S672" s="307">
        <f t="shared" ca="1" si="311"/>
        <v>4.341000000000002</v>
      </c>
      <c r="T672" s="304">
        <f t="shared" ca="1" si="291"/>
        <v>42.585210000000025</v>
      </c>
      <c r="U672" s="311">
        <f t="shared" ca="1" si="292"/>
        <v>0</v>
      </c>
      <c r="V672" s="306">
        <f t="shared" ca="1" si="293"/>
        <v>1.2257041490724019</v>
      </c>
      <c r="W672" s="304">
        <f t="shared" ca="1" si="294"/>
        <v>38.782933367907034</v>
      </c>
      <c r="Y672" s="314" t="str">
        <f t="shared" ca="1" si="312"/>
        <v/>
      </c>
      <c r="Z672" s="315" t="str">
        <f t="shared" ca="1" si="313"/>
        <v/>
      </c>
      <c r="AA672" s="316" t="str">
        <f t="shared" ca="1" si="314"/>
        <v/>
      </c>
      <c r="AC672" s="310" t="e">
        <f t="shared" ca="1" si="315"/>
        <v>#N/A</v>
      </c>
      <c r="AD672" s="323" t="e">
        <f t="shared" ca="1" si="316"/>
        <v>#N/A</v>
      </c>
      <c r="AE672" s="324" t="e">
        <f t="shared" ca="1" si="295"/>
        <v>#N/A</v>
      </c>
      <c r="AG672" s="306">
        <f t="shared" ca="1" si="317"/>
        <v>0.84922646486887921</v>
      </c>
      <c r="AH672" s="304">
        <f t="shared" ca="1" si="318"/>
        <v>-8.9340770491938208</v>
      </c>
    </row>
    <row r="673" spans="1:34" x14ac:dyDescent="0.2">
      <c r="A673" s="347">
        <f t="shared" ca="1" si="296"/>
        <v>1E-4</v>
      </c>
      <c r="B673" s="304">
        <f t="shared" ca="1" si="297"/>
        <v>28.629300000000072</v>
      </c>
      <c r="D673" s="306">
        <f t="shared" ca="1" si="298"/>
        <v>-0.65865567925830115</v>
      </c>
      <c r="E673" s="307">
        <f t="shared" ca="1" si="299"/>
        <v>-0.90021115908637128</v>
      </c>
      <c r="F673" s="304">
        <f t="shared" ca="1" si="300"/>
        <v>1.1154404667048987</v>
      </c>
      <c r="G673" s="306">
        <f t="shared" ca="1" si="301"/>
        <v>7.2804786577625817</v>
      </c>
      <c r="H673" s="307">
        <f t="shared" ca="1" si="302"/>
        <v>-98.485712164071899</v>
      </c>
      <c r="I673" s="304">
        <f t="shared" ca="1" si="303"/>
        <v>98.754447342641512</v>
      </c>
      <c r="J673" s="306">
        <f t="shared" ca="1" si="304"/>
        <v>678.53524446899166</v>
      </c>
      <c r="K673" s="307">
        <f t="shared" ca="1" si="305"/>
        <v>-5.7563526697779785</v>
      </c>
      <c r="L673" s="304">
        <f t="shared" ca="1" si="290"/>
        <v>678.55966103405615</v>
      </c>
      <c r="M673" s="306">
        <f t="shared" ca="1" si="306"/>
        <v>-1.4970063351271827</v>
      </c>
      <c r="N673" s="304">
        <f t="shared" ca="1" si="307"/>
        <v>-85.772144907134489</v>
      </c>
      <c r="P673" s="310">
        <f t="shared" ca="1" si="308"/>
        <v>23</v>
      </c>
      <c r="Q673" s="304">
        <f t="shared" ca="1" si="309"/>
        <v>0</v>
      </c>
      <c r="R673" s="306">
        <f t="shared" ca="1" si="310"/>
        <v>0</v>
      </c>
      <c r="S673" s="307">
        <f t="shared" ca="1" si="311"/>
        <v>4.341000000000002</v>
      </c>
      <c r="T673" s="304">
        <f t="shared" ca="1" si="291"/>
        <v>42.585210000000025</v>
      </c>
      <c r="U673" s="311">
        <f t="shared" ca="1" si="292"/>
        <v>0</v>
      </c>
      <c r="V673" s="306">
        <f t="shared" ca="1" si="293"/>
        <v>1.2257053562160047</v>
      </c>
      <c r="W673" s="304">
        <f t="shared" ca="1" si="294"/>
        <v>38.783038263668587</v>
      </c>
      <c r="Y673" s="314" t="str">
        <f t="shared" ca="1" si="312"/>
        <v/>
      </c>
      <c r="Z673" s="315" t="str">
        <f t="shared" ca="1" si="313"/>
        <v/>
      </c>
      <c r="AA673" s="316" t="str">
        <f t="shared" ca="1" si="314"/>
        <v/>
      </c>
      <c r="AC673" s="310" t="e">
        <f t="shared" ca="1" si="315"/>
        <v>#N/A</v>
      </c>
      <c r="AD673" s="323" t="e">
        <f t="shared" ca="1" si="316"/>
        <v>#N/A</v>
      </c>
      <c r="AE673" s="324" t="e">
        <f t="shared" ca="1" si="295"/>
        <v>#N/A</v>
      </c>
      <c r="AG673" s="306">
        <f t="shared" ca="1" si="317"/>
        <v>0.84920283020635345</v>
      </c>
      <c r="AH673" s="304">
        <f t="shared" ca="1" si="318"/>
        <v>-8.9341012135238458</v>
      </c>
    </row>
    <row r="674" spans="1:34" x14ac:dyDescent="0.2">
      <c r="A674" s="347">
        <f t="shared" ca="1" si="296"/>
        <v>1E-4</v>
      </c>
      <c r="B674" s="304">
        <f t="shared" ca="1" si="297"/>
        <v>28.629400000000071</v>
      </c>
      <c r="D674" s="306">
        <f t="shared" ca="1" si="298"/>
        <v>-0.65865093559669052</v>
      </c>
      <c r="E674" s="307">
        <f t="shared" ca="1" si="299"/>
        <v>-0.90018657851442185</v>
      </c>
      <c r="F674" s="304">
        <f t="shared" ca="1" si="300"/>
        <v>1.1154178280357083</v>
      </c>
      <c r="G674" s="306">
        <f t="shared" ca="1" si="301"/>
        <v>7.2804127926690221</v>
      </c>
      <c r="H674" s="307">
        <f t="shared" ca="1" si="302"/>
        <v>-98.485802182729756</v>
      </c>
      <c r="I674" s="304">
        <f t="shared" ca="1" si="303"/>
        <v>98.754532260587595</v>
      </c>
      <c r="J674" s="306">
        <f t="shared" ca="1" si="304"/>
        <v>678.53524446899166</v>
      </c>
      <c r="K674" s="307">
        <f t="shared" ca="1" si="305"/>
        <v>-5.7662012454953189</v>
      </c>
      <c r="L674" s="304">
        <f t="shared" ca="1" si="290"/>
        <v>678.55974465289194</v>
      </c>
      <c r="M674" s="306">
        <f t="shared" ca="1" si="306"/>
        <v>-1.497007067471374</v>
      </c>
      <c r="N674" s="304">
        <f t="shared" ca="1" si="307"/>
        <v>-85.772186867365804</v>
      </c>
      <c r="P674" s="310">
        <f t="shared" ca="1" si="308"/>
        <v>23</v>
      </c>
      <c r="Q674" s="304">
        <f t="shared" ca="1" si="309"/>
        <v>0</v>
      </c>
      <c r="R674" s="306">
        <f t="shared" ca="1" si="310"/>
        <v>0</v>
      </c>
      <c r="S674" s="307">
        <f t="shared" ca="1" si="311"/>
        <v>4.341000000000002</v>
      </c>
      <c r="T674" s="304">
        <f t="shared" ca="1" si="291"/>
        <v>42.585210000000025</v>
      </c>
      <c r="U674" s="311">
        <f t="shared" ca="1" si="292"/>
        <v>0</v>
      </c>
      <c r="V674" s="306">
        <f t="shared" ca="1" si="293"/>
        <v>1.2257065633619002</v>
      </c>
      <c r="W674" s="304">
        <f t="shared" ca="1" si="294"/>
        <v>38.783143157835077</v>
      </c>
      <c r="Y674" s="314" t="str">
        <f t="shared" ca="1" si="312"/>
        <v/>
      </c>
      <c r="Z674" s="315" t="str">
        <f t="shared" ca="1" si="313"/>
        <v/>
      </c>
      <c r="AA674" s="316" t="str">
        <f t="shared" ca="1" si="314"/>
        <v/>
      </c>
      <c r="AC674" s="310" t="e">
        <f t="shared" ca="1" si="315"/>
        <v>#N/A</v>
      </c>
      <c r="AD674" s="323" t="e">
        <f t="shared" ca="1" si="316"/>
        <v>#N/A</v>
      </c>
      <c r="AE674" s="324" t="e">
        <f t="shared" ca="1" si="295"/>
        <v>#N/A</v>
      </c>
      <c r="AG674" s="306">
        <f t="shared" ca="1" si="317"/>
        <v>0.84917919590032298</v>
      </c>
      <c r="AH674" s="304">
        <f t="shared" ca="1" si="318"/>
        <v>-8.9341253774864242</v>
      </c>
    </row>
    <row r="675" spans="1:34" x14ac:dyDescent="0.2">
      <c r="A675" s="347">
        <f t="shared" ca="1" si="296"/>
        <v>1E-4</v>
      </c>
      <c r="B675" s="304">
        <f t="shared" ca="1" si="297"/>
        <v>28.629500000000071</v>
      </c>
      <c r="D675" s="306">
        <f t="shared" ca="1" si="298"/>
        <v>-0.65864619194259566</v>
      </c>
      <c r="E675" s="307">
        <f t="shared" ca="1" si="299"/>
        <v>-0.9001619983162783</v>
      </c>
      <c r="F675" s="304">
        <f t="shared" ca="1" si="300"/>
        <v>1.1153951897750134</v>
      </c>
      <c r="G675" s="306">
        <f t="shared" ca="1" si="301"/>
        <v>7.2803469280498279</v>
      </c>
      <c r="H675" s="307">
        <f t="shared" ca="1" si="302"/>
        <v>-98.485892198929591</v>
      </c>
      <c r="I675" s="304">
        <f t="shared" ca="1" si="303"/>
        <v>98.754617176170271</v>
      </c>
      <c r="J675" s="306">
        <f t="shared" ca="1" si="304"/>
        <v>678.53524446899166</v>
      </c>
      <c r="K675" s="307">
        <f t="shared" ca="1" si="305"/>
        <v>-5.7760498302144017</v>
      </c>
      <c r="L675" s="304">
        <f t="shared" ca="1" si="290"/>
        <v>678.55982841473565</v>
      </c>
      <c r="M675" s="306">
        <f t="shared" ca="1" si="306"/>
        <v>-1.4970077998076805</v>
      </c>
      <c r="N675" s="304">
        <f t="shared" ca="1" si="307"/>
        <v>-85.772228827145341</v>
      </c>
      <c r="P675" s="310">
        <f t="shared" ca="1" si="308"/>
        <v>23</v>
      </c>
      <c r="Q675" s="304">
        <f t="shared" ca="1" si="309"/>
        <v>0</v>
      </c>
      <c r="R675" s="306">
        <f t="shared" ca="1" si="310"/>
        <v>0</v>
      </c>
      <c r="S675" s="307">
        <f t="shared" ca="1" si="311"/>
        <v>4.341000000000002</v>
      </c>
      <c r="T675" s="304">
        <f t="shared" ca="1" si="291"/>
        <v>42.585210000000025</v>
      </c>
      <c r="U675" s="311">
        <f t="shared" ca="1" si="292"/>
        <v>0</v>
      </c>
      <c r="V675" s="306">
        <f t="shared" ca="1" si="293"/>
        <v>1.2257077705100883</v>
      </c>
      <c r="W675" s="304">
        <f t="shared" ca="1" si="294"/>
        <v>38.78324805040652</v>
      </c>
      <c r="Y675" s="314" t="str">
        <f t="shared" ca="1" si="312"/>
        <v/>
      </c>
      <c r="Z675" s="315" t="str">
        <f t="shared" ca="1" si="313"/>
        <v/>
      </c>
      <c r="AA675" s="316" t="str">
        <f t="shared" ca="1" si="314"/>
        <v/>
      </c>
      <c r="AC675" s="310" t="e">
        <f t="shared" ca="1" si="315"/>
        <v>#N/A</v>
      </c>
      <c r="AD675" s="323" t="e">
        <f t="shared" ca="1" si="316"/>
        <v>#N/A</v>
      </c>
      <c r="AE675" s="324" t="e">
        <f t="shared" ca="1" si="295"/>
        <v>#N/A</v>
      </c>
      <c r="AG675" s="306">
        <f t="shared" ca="1" si="317"/>
        <v>0.84915556195078423</v>
      </c>
      <c r="AH675" s="304">
        <f t="shared" ca="1" si="318"/>
        <v>-8.9341495410815615</v>
      </c>
    </row>
    <row r="676" spans="1:34" x14ac:dyDescent="0.2">
      <c r="A676" s="347">
        <f t="shared" ca="1" si="296"/>
        <v>1E-4</v>
      </c>
      <c r="B676" s="304">
        <f t="shared" ca="1" si="297"/>
        <v>28.629600000000071</v>
      </c>
      <c r="D676" s="306">
        <f t="shared" ca="1" si="298"/>
        <v>-0.65864144829601601</v>
      </c>
      <c r="E676" s="307">
        <f t="shared" ca="1" si="299"/>
        <v>-0.90013741849193352</v>
      </c>
      <c r="F676" s="304">
        <f t="shared" ca="1" si="300"/>
        <v>1.1153725519228075</v>
      </c>
      <c r="G676" s="306">
        <f t="shared" ca="1" si="301"/>
        <v>7.2802810639049982</v>
      </c>
      <c r="H676" s="307">
        <f t="shared" ca="1" si="302"/>
        <v>-98.485982212671445</v>
      </c>
      <c r="I676" s="304">
        <f t="shared" ca="1" si="303"/>
        <v>98.754702089389596</v>
      </c>
      <c r="J676" s="306">
        <f t="shared" ca="1" si="304"/>
        <v>678.53524446899166</v>
      </c>
      <c r="K676" s="307">
        <f t="shared" ca="1" si="305"/>
        <v>-5.7858984239349818</v>
      </c>
      <c r="L676" s="304">
        <f t="shared" ca="1" si="290"/>
        <v>678.55991231958762</v>
      </c>
      <c r="M676" s="306">
        <f t="shared" ca="1" si="306"/>
        <v>-1.4970085321361022</v>
      </c>
      <c r="N676" s="304">
        <f t="shared" ca="1" si="307"/>
        <v>-85.772270786473129</v>
      </c>
      <c r="P676" s="310">
        <f t="shared" ca="1" si="308"/>
        <v>23</v>
      </c>
      <c r="Q676" s="304">
        <f t="shared" ca="1" si="309"/>
        <v>0</v>
      </c>
      <c r="R676" s="306">
        <f t="shared" ca="1" si="310"/>
        <v>0</v>
      </c>
      <c r="S676" s="307">
        <f t="shared" ca="1" si="311"/>
        <v>4.341000000000002</v>
      </c>
      <c r="T676" s="304">
        <f t="shared" ca="1" si="291"/>
        <v>42.585210000000025</v>
      </c>
      <c r="U676" s="311">
        <f t="shared" ca="1" si="292"/>
        <v>0</v>
      </c>
      <c r="V676" s="306">
        <f t="shared" ca="1" si="293"/>
        <v>1.2257089776605687</v>
      </c>
      <c r="W676" s="304">
        <f t="shared" ca="1" si="294"/>
        <v>38.783352941382923</v>
      </c>
      <c r="Y676" s="314" t="str">
        <f t="shared" ca="1" si="312"/>
        <v/>
      </c>
      <c r="Z676" s="315" t="str">
        <f t="shared" ca="1" si="313"/>
        <v/>
      </c>
      <c r="AA676" s="316" t="str">
        <f t="shared" ca="1" si="314"/>
        <v/>
      </c>
      <c r="AC676" s="310" t="e">
        <f t="shared" ca="1" si="315"/>
        <v>#N/A</v>
      </c>
      <c r="AD676" s="323" t="e">
        <f t="shared" ca="1" si="316"/>
        <v>#N/A</v>
      </c>
      <c r="AE676" s="324" t="e">
        <f t="shared" ca="1" si="295"/>
        <v>#N/A</v>
      </c>
      <c r="AG676" s="306">
        <f t="shared" ca="1" si="317"/>
        <v>0.84913192835773366</v>
      </c>
      <c r="AH676" s="304">
        <f t="shared" ca="1" si="318"/>
        <v>-8.9341737043092611</v>
      </c>
    </row>
    <row r="677" spans="1:34" x14ac:dyDescent="0.2">
      <c r="A677" s="347">
        <f t="shared" ca="1" si="296"/>
        <v>1E-4</v>
      </c>
      <c r="B677" s="304">
        <f t="shared" ca="1" si="297"/>
        <v>28.629700000000071</v>
      </c>
      <c r="D677" s="306">
        <f t="shared" ca="1" si="298"/>
        <v>-0.65863670465695323</v>
      </c>
      <c r="E677" s="307">
        <f t="shared" ca="1" si="299"/>
        <v>-0.90011283904138928</v>
      </c>
      <c r="F677" s="304">
        <f t="shared" ca="1" si="300"/>
        <v>1.1153499144790933</v>
      </c>
      <c r="G677" s="306">
        <f t="shared" ca="1" si="301"/>
        <v>7.2802152002345322</v>
      </c>
      <c r="H677" s="307">
        <f t="shared" ca="1" si="302"/>
        <v>-98.486072223955347</v>
      </c>
      <c r="I677" s="304">
        <f t="shared" ca="1" si="303"/>
        <v>98.754787000245599</v>
      </c>
      <c r="J677" s="306">
        <f t="shared" ca="1" si="304"/>
        <v>678.53524446899166</v>
      </c>
      <c r="K677" s="307">
        <f t="shared" ca="1" si="305"/>
        <v>-5.7957470266568132</v>
      </c>
      <c r="L677" s="304">
        <f t="shared" ca="1" si="290"/>
        <v>678.55999636744821</v>
      </c>
      <c r="M677" s="306">
        <f t="shared" ca="1" si="306"/>
        <v>-1.4970092644566393</v>
      </c>
      <c r="N677" s="304">
        <f t="shared" ca="1" si="307"/>
        <v>-85.772312745349154</v>
      </c>
      <c r="P677" s="310">
        <f t="shared" ca="1" si="308"/>
        <v>23</v>
      </c>
      <c r="Q677" s="304">
        <f t="shared" ca="1" si="309"/>
        <v>0</v>
      </c>
      <c r="R677" s="306">
        <f t="shared" ca="1" si="310"/>
        <v>0</v>
      </c>
      <c r="S677" s="307">
        <f t="shared" ca="1" si="311"/>
        <v>4.341000000000002</v>
      </c>
      <c r="T677" s="304">
        <f t="shared" ca="1" si="291"/>
        <v>42.585210000000025</v>
      </c>
      <c r="U677" s="311">
        <f t="shared" ca="1" si="292"/>
        <v>0</v>
      </c>
      <c r="V677" s="306">
        <f t="shared" ca="1" si="293"/>
        <v>1.2257101848133414</v>
      </c>
      <c r="W677" s="304">
        <f t="shared" ca="1" si="294"/>
        <v>38.783457830764299</v>
      </c>
      <c r="Y677" s="314" t="str">
        <f t="shared" ca="1" si="312"/>
        <v/>
      </c>
      <c r="Z677" s="315" t="str">
        <f t="shared" ca="1" si="313"/>
        <v/>
      </c>
      <c r="AA677" s="316" t="str">
        <f t="shared" ca="1" si="314"/>
        <v/>
      </c>
      <c r="AC677" s="310" t="e">
        <f t="shared" ca="1" si="315"/>
        <v>#N/A</v>
      </c>
      <c r="AD677" s="323" t="e">
        <f t="shared" ca="1" si="316"/>
        <v>#N/A</v>
      </c>
      <c r="AE677" s="324" t="e">
        <f t="shared" ca="1" si="295"/>
        <v>#N/A</v>
      </c>
      <c r="AG677" s="306">
        <f t="shared" ca="1" si="317"/>
        <v>0.84910829512116948</v>
      </c>
      <c r="AH677" s="304">
        <f t="shared" ca="1" si="318"/>
        <v>-8.9341978671695248</v>
      </c>
    </row>
    <row r="678" spans="1:34" x14ac:dyDescent="0.2">
      <c r="A678" s="347">
        <f t="shared" ca="1" si="296"/>
        <v>1E-4</v>
      </c>
      <c r="B678" s="304">
        <f t="shared" ca="1" si="297"/>
        <v>28.629800000000071</v>
      </c>
      <c r="D678" s="306">
        <f t="shared" ca="1" si="298"/>
        <v>-0.658631961025407</v>
      </c>
      <c r="E678" s="307">
        <f t="shared" ca="1" si="299"/>
        <v>-0.90008825996464026</v>
      </c>
      <c r="F678" s="304">
        <f t="shared" ca="1" si="300"/>
        <v>1.1153272774438663</v>
      </c>
      <c r="G678" s="306">
        <f t="shared" ca="1" si="301"/>
        <v>7.2801493370384298</v>
      </c>
      <c r="H678" s="307">
        <f t="shared" ca="1" si="302"/>
        <v>-98.486162232781339</v>
      </c>
      <c r="I678" s="304">
        <f t="shared" ca="1" si="303"/>
        <v>98.754871908738295</v>
      </c>
      <c r="J678" s="306">
        <f t="shared" ca="1" si="304"/>
        <v>678.53524446899166</v>
      </c>
      <c r="K678" s="307">
        <f t="shared" ca="1" si="305"/>
        <v>-5.8055956383796499</v>
      </c>
      <c r="L678" s="304">
        <f t="shared" ca="1" si="290"/>
        <v>678.56008055831774</v>
      </c>
      <c r="M678" s="306">
        <f t="shared" ca="1" si="306"/>
        <v>-1.497009996769292</v>
      </c>
      <c r="N678" s="304">
        <f t="shared" ca="1" si="307"/>
        <v>-85.772354703773431</v>
      </c>
      <c r="P678" s="310">
        <f t="shared" ca="1" si="308"/>
        <v>23</v>
      </c>
      <c r="Q678" s="304">
        <f t="shared" ca="1" si="309"/>
        <v>0</v>
      </c>
      <c r="R678" s="306">
        <f t="shared" ca="1" si="310"/>
        <v>0</v>
      </c>
      <c r="S678" s="307">
        <f t="shared" ca="1" si="311"/>
        <v>4.341000000000002</v>
      </c>
      <c r="T678" s="304">
        <f t="shared" ca="1" si="291"/>
        <v>42.585210000000025</v>
      </c>
      <c r="U678" s="311">
        <f t="shared" ca="1" si="292"/>
        <v>0</v>
      </c>
      <c r="V678" s="306">
        <f t="shared" ca="1" si="293"/>
        <v>1.2257113919684071</v>
      </c>
      <c r="W678" s="304">
        <f t="shared" ca="1" si="294"/>
        <v>38.783562718550677</v>
      </c>
      <c r="Y678" s="314" t="str">
        <f t="shared" ca="1" si="312"/>
        <v/>
      </c>
      <c r="Z678" s="315" t="str">
        <f t="shared" ca="1" si="313"/>
        <v/>
      </c>
      <c r="AA678" s="316" t="str">
        <f t="shared" ca="1" si="314"/>
        <v/>
      </c>
      <c r="AC678" s="310" t="e">
        <f t="shared" ca="1" si="315"/>
        <v>#N/A</v>
      </c>
      <c r="AD678" s="323" t="e">
        <f t="shared" ca="1" si="316"/>
        <v>#N/A</v>
      </c>
      <c r="AE678" s="324" t="e">
        <f t="shared" ca="1" si="295"/>
        <v>#N/A</v>
      </c>
      <c r="AG678" s="306">
        <f t="shared" ca="1" si="317"/>
        <v>0.84908466224109169</v>
      </c>
      <c r="AH678" s="304">
        <f t="shared" ca="1" si="318"/>
        <v>-8.9342220296623545</v>
      </c>
    </row>
    <row r="679" spans="1:34" x14ac:dyDescent="0.2">
      <c r="A679" s="347">
        <f t="shared" ca="1" si="296"/>
        <v>1E-4</v>
      </c>
      <c r="B679" s="304">
        <f t="shared" ca="1" si="297"/>
        <v>28.62990000000007</v>
      </c>
      <c r="D679" s="306">
        <f t="shared" ca="1" si="298"/>
        <v>-0.65862721740137697</v>
      </c>
      <c r="E679" s="307">
        <f t="shared" ca="1" si="299"/>
        <v>-0.90006368126167935</v>
      </c>
      <c r="F679" s="304">
        <f t="shared" ca="1" si="300"/>
        <v>1.1153046408171208</v>
      </c>
      <c r="G679" s="306">
        <f t="shared" ca="1" si="301"/>
        <v>7.2800834743166893</v>
      </c>
      <c r="H679" s="307">
        <f t="shared" ca="1" si="302"/>
        <v>-98.486252239149465</v>
      </c>
      <c r="I679" s="304">
        <f t="shared" ca="1" si="303"/>
        <v>98.754956814867739</v>
      </c>
      <c r="J679" s="306">
        <f t="shared" ca="1" si="304"/>
        <v>678.53524446899166</v>
      </c>
      <c r="K679" s="307">
        <f t="shared" ca="1" si="305"/>
        <v>-5.8154442591032467</v>
      </c>
      <c r="L679" s="304">
        <f t="shared" ca="1" si="290"/>
        <v>678.56016489219655</v>
      </c>
      <c r="M679" s="306">
        <f t="shared" ca="1" si="306"/>
        <v>-1.4970107290740602</v>
      </c>
      <c r="N679" s="304">
        <f t="shared" ca="1" si="307"/>
        <v>-85.772396661745972</v>
      </c>
      <c r="P679" s="310">
        <f t="shared" ca="1" si="308"/>
        <v>23</v>
      </c>
      <c r="Q679" s="304">
        <f t="shared" ca="1" si="309"/>
        <v>0</v>
      </c>
      <c r="R679" s="306">
        <f t="shared" ca="1" si="310"/>
        <v>0</v>
      </c>
      <c r="S679" s="307">
        <f t="shared" ca="1" si="311"/>
        <v>4.341000000000002</v>
      </c>
      <c r="T679" s="304">
        <f t="shared" ca="1" si="291"/>
        <v>42.585210000000025</v>
      </c>
      <c r="U679" s="311">
        <f t="shared" ca="1" si="292"/>
        <v>0</v>
      </c>
      <c r="V679" s="306">
        <f t="shared" ca="1" si="293"/>
        <v>1.2257125991257651</v>
      </c>
      <c r="W679" s="304">
        <f t="shared" ca="1" si="294"/>
        <v>38.783667604742078</v>
      </c>
      <c r="Y679" s="314" t="str">
        <f t="shared" ca="1" si="312"/>
        <v/>
      </c>
      <c r="Z679" s="315" t="str">
        <f t="shared" ca="1" si="313"/>
        <v/>
      </c>
      <c r="AA679" s="316" t="str">
        <f t="shared" ca="1" si="314"/>
        <v/>
      </c>
      <c r="AC679" s="310" t="e">
        <f t="shared" ca="1" si="315"/>
        <v>#N/A</v>
      </c>
      <c r="AD679" s="323" t="e">
        <f t="shared" ca="1" si="316"/>
        <v>#N/A</v>
      </c>
      <c r="AE679" s="324" t="e">
        <f t="shared" ca="1" si="295"/>
        <v>#N/A</v>
      </c>
      <c r="AG679" s="306">
        <f t="shared" ca="1" si="317"/>
        <v>0.84906102971748965</v>
      </c>
      <c r="AH679" s="304">
        <f t="shared" ca="1" si="318"/>
        <v>-8.9342461917877589</v>
      </c>
    </row>
    <row r="680" spans="1:34" x14ac:dyDescent="0.2">
      <c r="A680" s="347">
        <f t="shared" ca="1" si="296"/>
        <v>1E-4</v>
      </c>
      <c r="B680" s="304">
        <f t="shared" ca="1" si="297"/>
        <v>28.63000000000007</v>
      </c>
      <c r="D680" s="306">
        <f t="shared" ca="1" si="298"/>
        <v>-0.65862247378486716</v>
      </c>
      <c r="E680" s="307">
        <f t="shared" ca="1" si="299"/>
        <v>-0.90003910293250478</v>
      </c>
      <c r="F680" s="304">
        <f t="shared" ca="1" si="300"/>
        <v>1.1152820045988574</v>
      </c>
      <c r="G680" s="306">
        <f t="shared" ca="1" si="301"/>
        <v>7.2800176120693108</v>
      </c>
      <c r="H680" s="307">
        <f t="shared" ca="1" si="302"/>
        <v>-98.486342243059752</v>
      </c>
      <c r="I680" s="304">
        <f t="shared" ca="1" si="303"/>
        <v>98.755041718633962</v>
      </c>
      <c r="J680" s="306">
        <f t="shared" ca="1" si="304"/>
        <v>678.53524446899166</v>
      </c>
      <c r="K680" s="307">
        <f t="shared" ca="1" si="305"/>
        <v>-5.8252928888273567</v>
      </c>
      <c r="L680" s="304">
        <f t="shared" ca="1" si="290"/>
        <v>678.56024936908511</v>
      </c>
      <c r="M680" s="306">
        <f t="shared" ca="1" si="306"/>
        <v>-1.4970114613709442</v>
      </c>
      <c r="N680" s="304">
        <f t="shared" ca="1" si="307"/>
        <v>-85.772438619266779</v>
      </c>
      <c r="P680" s="310">
        <f t="shared" ca="1" si="308"/>
        <v>23</v>
      </c>
      <c r="Q680" s="304">
        <f t="shared" ca="1" si="309"/>
        <v>0</v>
      </c>
      <c r="R680" s="306">
        <f t="shared" ca="1" si="310"/>
        <v>0</v>
      </c>
      <c r="S680" s="307">
        <f t="shared" ca="1" si="311"/>
        <v>4.341000000000002</v>
      </c>
      <c r="T680" s="304">
        <f t="shared" ca="1" si="291"/>
        <v>42.585210000000025</v>
      </c>
      <c r="U680" s="311">
        <f t="shared" ca="1" si="292"/>
        <v>0</v>
      </c>
      <c r="V680" s="306">
        <f t="shared" ca="1" si="293"/>
        <v>1.2257138062854154</v>
      </c>
      <c r="W680" s="304">
        <f t="shared" ca="1" si="294"/>
        <v>38.783772489338496</v>
      </c>
      <c r="Y680" s="314" t="str">
        <f t="shared" ca="1" si="312"/>
        <v/>
      </c>
      <c r="Z680" s="315" t="str">
        <f t="shared" ca="1" si="313"/>
        <v/>
      </c>
      <c r="AA680" s="316" t="str">
        <f t="shared" ca="1" si="314"/>
        <v/>
      </c>
      <c r="AC680" s="310" t="e">
        <f t="shared" ca="1" si="315"/>
        <v>#N/A</v>
      </c>
      <c r="AD680" s="323" t="e">
        <f t="shared" ca="1" si="316"/>
        <v>#N/A</v>
      </c>
      <c r="AE680" s="324" t="e">
        <f t="shared" ca="1" si="295"/>
        <v>#N/A</v>
      </c>
      <c r="AG680" s="306">
        <f t="shared" ca="1" si="317"/>
        <v>0.84903739755036156</v>
      </c>
      <c r="AH680" s="304">
        <f t="shared" ca="1" si="318"/>
        <v>-8.93427035354574</v>
      </c>
    </row>
    <row r="681" spans="1:34" x14ac:dyDescent="0.2">
      <c r="A681" s="347">
        <f t="shared" ca="1" si="296"/>
        <v>1E-4</v>
      </c>
      <c r="B681" s="304">
        <f t="shared" ca="1" si="297"/>
        <v>28.63010000000007</v>
      </c>
      <c r="D681" s="306">
        <f t="shared" ca="1" si="298"/>
        <v>-0.65861773017587477</v>
      </c>
      <c r="E681" s="307">
        <f t="shared" ca="1" si="299"/>
        <v>-0.90001452497711298</v>
      </c>
      <c r="F681" s="304">
        <f t="shared" ca="1" si="300"/>
        <v>1.1152593687890722</v>
      </c>
      <c r="G681" s="306">
        <f t="shared" ca="1" si="301"/>
        <v>7.2799517502962932</v>
      </c>
      <c r="H681" s="307">
        <f t="shared" ca="1" si="302"/>
        <v>-98.486432244512244</v>
      </c>
      <c r="I681" s="304">
        <f t="shared" ca="1" si="303"/>
        <v>98.755126620037018</v>
      </c>
      <c r="J681" s="306">
        <f t="shared" ca="1" si="304"/>
        <v>678.53524446899166</v>
      </c>
      <c r="K681" s="307">
        <f t="shared" ca="1" si="305"/>
        <v>-5.8351415275517358</v>
      </c>
      <c r="L681" s="304">
        <f t="shared" ca="1" si="290"/>
        <v>678.56033398898353</v>
      </c>
      <c r="M681" s="306">
        <f t="shared" ca="1" si="306"/>
        <v>-1.4970121936599441</v>
      </c>
      <c r="N681" s="304">
        <f t="shared" ca="1" si="307"/>
        <v>-85.772480576335852</v>
      </c>
      <c r="P681" s="310">
        <f t="shared" ca="1" si="308"/>
        <v>23</v>
      </c>
      <c r="Q681" s="304">
        <f t="shared" ca="1" si="309"/>
        <v>0</v>
      </c>
      <c r="R681" s="306">
        <f t="shared" ca="1" si="310"/>
        <v>0</v>
      </c>
      <c r="S681" s="307">
        <f t="shared" ca="1" si="311"/>
        <v>4.341000000000002</v>
      </c>
      <c r="T681" s="304">
        <f t="shared" ca="1" si="291"/>
        <v>42.585210000000025</v>
      </c>
      <c r="U681" s="311">
        <f t="shared" ca="1" si="292"/>
        <v>0</v>
      </c>
      <c r="V681" s="306">
        <f t="shared" ca="1" si="293"/>
        <v>1.225715013447358</v>
      </c>
      <c r="W681" s="304">
        <f t="shared" ca="1" si="294"/>
        <v>38.783877372339987</v>
      </c>
      <c r="Y681" s="314" t="str">
        <f t="shared" ca="1" si="312"/>
        <v/>
      </c>
      <c r="Z681" s="315" t="str">
        <f t="shared" ca="1" si="313"/>
        <v/>
      </c>
      <c r="AA681" s="316" t="str">
        <f t="shared" ca="1" si="314"/>
        <v/>
      </c>
      <c r="AC681" s="310" t="e">
        <f t="shared" ca="1" si="315"/>
        <v>#N/A</v>
      </c>
      <c r="AD681" s="323" t="e">
        <f t="shared" ca="1" si="316"/>
        <v>#N/A</v>
      </c>
      <c r="AE681" s="324" t="e">
        <f t="shared" ca="1" si="295"/>
        <v>#N/A</v>
      </c>
      <c r="AG681" s="306">
        <f t="shared" ca="1" si="317"/>
        <v>0.84901376573970921</v>
      </c>
      <c r="AH681" s="304">
        <f t="shared" ca="1" si="318"/>
        <v>-8.9342945149362993</v>
      </c>
    </row>
    <row r="682" spans="1:34" x14ac:dyDescent="0.2">
      <c r="A682" s="347">
        <f t="shared" ca="1" si="296"/>
        <v>1E-4</v>
      </c>
      <c r="B682" s="304">
        <f t="shared" ca="1" si="297"/>
        <v>28.63020000000007</v>
      </c>
      <c r="D682" s="306">
        <f t="shared" ca="1" si="298"/>
        <v>-0.65861298657440226</v>
      </c>
      <c r="E682" s="307">
        <f t="shared" ca="1" si="299"/>
        <v>-0.89998994739549332</v>
      </c>
      <c r="F682" s="304">
        <f t="shared" ca="1" si="300"/>
        <v>1.1152367333877578</v>
      </c>
      <c r="G682" s="306">
        <f t="shared" ca="1" si="301"/>
        <v>7.2798858889976357</v>
      </c>
      <c r="H682" s="307">
        <f t="shared" ca="1" si="302"/>
        <v>-98.486522243506982</v>
      </c>
      <c r="I682" s="304">
        <f t="shared" ca="1" si="303"/>
        <v>98.755211519076923</v>
      </c>
      <c r="J682" s="306">
        <f t="shared" ca="1" si="304"/>
        <v>678.53524446899166</v>
      </c>
      <c r="K682" s="307">
        <f t="shared" ca="1" si="305"/>
        <v>-5.8449901752761368</v>
      </c>
      <c r="L682" s="304">
        <f t="shared" ca="1" si="290"/>
        <v>678.56041875189226</v>
      </c>
      <c r="M682" s="306">
        <f t="shared" ca="1" si="306"/>
        <v>-1.4970129259410598</v>
      </c>
      <c r="N682" s="304">
        <f t="shared" ca="1" si="307"/>
        <v>-85.772522532953204</v>
      </c>
      <c r="P682" s="310">
        <f t="shared" ca="1" si="308"/>
        <v>23</v>
      </c>
      <c r="Q682" s="304">
        <f t="shared" ca="1" si="309"/>
        <v>0</v>
      </c>
      <c r="R682" s="306">
        <f t="shared" ca="1" si="310"/>
        <v>0</v>
      </c>
      <c r="S682" s="307">
        <f t="shared" ca="1" si="311"/>
        <v>4.341000000000002</v>
      </c>
      <c r="T682" s="304">
        <f t="shared" ca="1" si="291"/>
        <v>42.585210000000025</v>
      </c>
      <c r="U682" s="311">
        <f t="shared" ca="1" si="292"/>
        <v>0</v>
      </c>
      <c r="V682" s="306">
        <f t="shared" ca="1" si="293"/>
        <v>1.2257162206115932</v>
      </c>
      <c r="W682" s="304">
        <f t="shared" ca="1" si="294"/>
        <v>38.783982253746558</v>
      </c>
      <c r="Y682" s="314" t="str">
        <f t="shared" ca="1" si="312"/>
        <v/>
      </c>
      <c r="Z682" s="315" t="str">
        <f t="shared" ca="1" si="313"/>
        <v/>
      </c>
      <c r="AA682" s="316" t="str">
        <f t="shared" ca="1" si="314"/>
        <v/>
      </c>
      <c r="AC682" s="310" t="e">
        <f t="shared" ca="1" si="315"/>
        <v>#N/A</v>
      </c>
      <c r="AD682" s="323" t="e">
        <f t="shared" ca="1" si="316"/>
        <v>#N/A</v>
      </c>
      <c r="AE682" s="324" t="e">
        <f t="shared" ca="1" si="295"/>
        <v>#N/A</v>
      </c>
      <c r="AG682" s="306">
        <f t="shared" ca="1" si="317"/>
        <v>0.84899013428551662</v>
      </c>
      <c r="AH682" s="304">
        <f t="shared" ca="1" si="318"/>
        <v>-8.9343186759594495</v>
      </c>
    </row>
    <row r="683" spans="1:34" x14ac:dyDescent="0.2">
      <c r="A683" s="347">
        <f t="shared" ca="1" si="296"/>
        <v>1E-4</v>
      </c>
      <c r="B683" s="304">
        <f t="shared" ca="1" si="297"/>
        <v>28.630300000000069</v>
      </c>
      <c r="D683" s="306">
        <f t="shared" ca="1" si="298"/>
        <v>-0.65860824298045106</v>
      </c>
      <c r="E683" s="307">
        <f t="shared" ca="1" si="299"/>
        <v>-0.89996537018764577</v>
      </c>
      <c r="F683" s="304">
        <f t="shared" ca="1" si="300"/>
        <v>1.115214098394915</v>
      </c>
      <c r="G683" s="306">
        <f t="shared" ca="1" si="301"/>
        <v>7.2798200281733374</v>
      </c>
      <c r="H683" s="307">
        <f t="shared" ca="1" si="302"/>
        <v>-98.486612240043996</v>
      </c>
      <c r="I683" s="304">
        <f t="shared" ca="1" si="303"/>
        <v>98.755296415753705</v>
      </c>
      <c r="J683" s="306">
        <f t="shared" ca="1" si="304"/>
        <v>678.53524446899166</v>
      </c>
      <c r="K683" s="307">
        <f t="shared" ca="1" si="305"/>
        <v>-5.854838832000314</v>
      </c>
      <c r="L683" s="304">
        <f t="shared" ca="1" si="290"/>
        <v>678.56050365781164</v>
      </c>
      <c r="M683" s="306">
        <f t="shared" ca="1" si="306"/>
        <v>-1.4970136582142917</v>
      </c>
      <c r="N683" s="304">
        <f t="shared" ca="1" si="307"/>
        <v>-85.772564489118835</v>
      </c>
      <c r="P683" s="310">
        <f t="shared" ca="1" si="308"/>
        <v>23</v>
      </c>
      <c r="Q683" s="304">
        <f t="shared" ca="1" si="309"/>
        <v>0</v>
      </c>
      <c r="R683" s="306">
        <f t="shared" ca="1" si="310"/>
        <v>0</v>
      </c>
      <c r="S683" s="307">
        <f t="shared" ca="1" si="311"/>
        <v>4.341000000000002</v>
      </c>
      <c r="T683" s="304">
        <f t="shared" ca="1" si="291"/>
        <v>42.585210000000025</v>
      </c>
      <c r="U683" s="311">
        <f t="shared" ca="1" si="292"/>
        <v>0</v>
      </c>
      <c r="V683" s="306">
        <f t="shared" ca="1" si="293"/>
        <v>1.2257174277781209</v>
      </c>
      <c r="W683" s="304">
        <f t="shared" ca="1" si="294"/>
        <v>38.784087133558195</v>
      </c>
      <c r="Y683" s="314" t="str">
        <f t="shared" ca="1" si="312"/>
        <v/>
      </c>
      <c r="Z683" s="315" t="str">
        <f t="shared" ca="1" si="313"/>
        <v/>
      </c>
      <c r="AA683" s="316" t="str">
        <f t="shared" ca="1" si="314"/>
        <v/>
      </c>
      <c r="AC683" s="310" t="e">
        <f t="shared" ca="1" si="315"/>
        <v>#N/A</v>
      </c>
      <c r="AD683" s="323" t="e">
        <f t="shared" ca="1" si="316"/>
        <v>#N/A</v>
      </c>
      <c r="AE683" s="324" t="e">
        <f t="shared" ca="1" si="295"/>
        <v>#N/A</v>
      </c>
      <c r="AG683" s="306">
        <f t="shared" ca="1" si="317"/>
        <v>0.84896650318778555</v>
      </c>
      <c r="AH683" s="304">
        <f t="shared" ca="1" si="318"/>
        <v>-8.9343428366151905</v>
      </c>
    </row>
    <row r="684" spans="1:34" x14ac:dyDescent="0.2">
      <c r="A684" s="347">
        <f t="shared" ca="1" si="296"/>
        <v>1E-4</v>
      </c>
      <c r="B684" s="304">
        <f t="shared" ca="1" si="297"/>
        <v>28.630400000000069</v>
      </c>
      <c r="D684" s="306">
        <f t="shared" ca="1" si="298"/>
        <v>-0.65860349939402019</v>
      </c>
      <c r="E684" s="307">
        <f t="shared" ca="1" si="299"/>
        <v>-0.89994079335357391</v>
      </c>
      <c r="F684" s="304">
        <f t="shared" ca="1" si="300"/>
        <v>1.1151914638105465</v>
      </c>
      <c r="G684" s="306">
        <f t="shared" ca="1" si="301"/>
        <v>7.2797541678233983</v>
      </c>
      <c r="H684" s="307">
        <f t="shared" ca="1" si="302"/>
        <v>-98.486702234123328</v>
      </c>
      <c r="I684" s="304">
        <f t="shared" ca="1" si="303"/>
        <v>98.755381310067435</v>
      </c>
      <c r="J684" s="306">
        <f t="shared" ca="1" si="304"/>
        <v>678.53524446899166</v>
      </c>
      <c r="K684" s="307">
        <f t="shared" ca="1" si="305"/>
        <v>-5.864687497724022</v>
      </c>
      <c r="L684" s="304">
        <f t="shared" ca="1" si="290"/>
        <v>678.56058870674201</v>
      </c>
      <c r="M684" s="306">
        <f t="shared" ca="1" si="306"/>
        <v>-1.4970143904796396</v>
      </c>
      <c r="N684" s="304">
        <f t="shared" ca="1" si="307"/>
        <v>-85.772606444832761</v>
      </c>
      <c r="P684" s="310">
        <f t="shared" ca="1" si="308"/>
        <v>23</v>
      </c>
      <c r="Q684" s="304">
        <f t="shared" ca="1" si="309"/>
        <v>0</v>
      </c>
      <c r="R684" s="306">
        <f t="shared" ca="1" si="310"/>
        <v>0</v>
      </c>
      <c r="S684" s="307">
        <f t="shared" ca="1" si="311"/>
        <v>4.341000000000002</v>
      </c>
      <c r="T684" s="304">
        <f t="shared" ca="1" si="291"/>
        <v>42.585210000000025</v>
      </c>
      <c r="U684" s="311">
        <f t="shared" ca="1" si="292"/>
        <v>0</v>
      </c>
      <c r="V684" s="306">
        <f t="shared" ca="1" si="293"/>
        <v>1.2257186349469407</v>
      </c>
      <c r="W684" s="304">
        <f t="shared" ca="1" si="294"/>
        <v>38.784192011774955</v>
      </c>
      <c r="Y684" s="314" t="str">
        <f t="shared" ca="1" si="312"/>
        <v/>
      </c>
      <c r="Z684" s="315" t="str">
        <f t="shared" ca="1" si="313"/>
        <v/>
      </c>
      <c r="AA684" s="316" t="str">
        <f t="shared" ca="1" si="314"/>
        <v/>
      </c>
      <c r="AC684" s="310" t="e">
        <f t="shared" ca="1" si="315"/>
        <v>#N/A</v>
      </c>
      <c r="AD684" s="323" t="e">
        <f t="shared" ca="1" si="316"/>
        <v>#N/A</v>
      </c>
      <c r="AE684" s="324" t="e">
        <f t="shared" ca="1" si="295"/>
        <v>#N/A</v>
      </c>
      <c r="AG684" s="306">
        <f t="shared" ca="1" si="317"/>
        <v>0.84894287244651956</v>
      </c>
      <c r="AH684" s="304">
        <f t="shared" ca="1" si="318"/>
        <v>-8.9343669969035187</v>
      </c>
    </row>
    <row r="685" spans="1:34" x14ac:dyDescent="0.2">
      <c r="A685" s="347">
        <f t="shared" ca="1" si="296"/>
        <v>1E-4</v>
      </c>
      <c r="B685" s="304">
        <f t="shared" ca="1" si="297"/>
        <v>28.630500000000069</v>
      </c>
      <c r="D685" s="306">
        <f t="shared" ca="1" si="298"/>
        <v>-0.65859875581511218</v>
      </c>
      <c r="E685" s="307">
        <f t="shared" ca="1" si="299"/>
        <v>-0.89991621689325996</v>
      </c>
      <c r="F685" s="304">
        <f t="shared" ca="1" si="300"/>
        <v>1.1151688296346391</v>
      </c>
      <c r="G685" s="306">
        <f t="shared" ca="1" si="301"/>
        <v>7.2796883079478167</v>
      </c>
      <c r="H685" s="307">
        <f t="shared" ca="1" si="302"/>
        <v>-98.48679222574502</v>
      </c>
      <c r="I685" s="304">
        <f t="shared" ca="1" si="303"/>
        <v>98.755466202018113</v>
      </c>
      <c r="J685" s="306">
        <f t="shared" ca="1" si="304"/>
        <v>678.53524446899166</v>
      </c>
      <c r="K685" s="307">
        <f t="shared" ca="1" si="305"/>
        <v>-5.8745361724470158</v>
      </c>
      <c r="L685" s="304">
        <f t="shared" ca="1" si="290"/>
        <v>678.5606738986836</v>
      </c>
      <c r="M685" s="306">
        <f t="shared" ca="1" si="306"/>
        <v>-1.497015122737104</v>
      </c>
      <c r="N685" s="304">
        <f t="shared" ca="1" si="307"/>
        <v>-85.77264840009498</v>
      </c>
      <c r="P685" s="310">
        <f t="shared" ca="1" si="308"/>
        <v>23</v>
      </c>
      <c r="Q685" s="304">
        <f t="shared" ca="1" si="309"/>
        <v>0</v>
      </c>
      <c r="R685" s="306">
        <f t="shared" ca="1" si="310"/>
        <v>0</v>
      </c>
      <c r="S685" s="307">
        <f t="shared" ca="1" si="311"/>
        <v>4.341000000000002</v>
      </c>
      <c r="T685" s="304">
        <f t="shared" ca="1" si="291"/>
        <v>42.585210000000025</v>
      </c>
      <c r="U685" s="311">
        <f t="shared" ca="1" si="292"/>
        <v>0</v>
      </c>
      <c r="V685" s="306">
        <f t="shared" ca="1" si="293"/>
        <v>1.2257198421180528</v>
      </c>
      <c r="W685" s="304">
        <f t="shared" ca="1" si="294"/>
        <v>38.784296888396831</v>
      </c>
      <c r="Y685" s="314" t="str">
        <f t="shared" ca="1" si="312"/>
        <v/>
      </c>
      <c r="Z685" s="315" t="str">
        <f t="shared" ca="1" si="313"/>
        <v/>
      </c>
      <c r="AA685" s="316" t="str">
        <f t="shared" ca="1" si="314"/>
        <v/>
      </c>
      <c r="AC685" s="310" t="e">
        <f t="shared" ca="1" si="315"/>
        <v>#N/A</v>
      </c>
      <c r="AD685" s="323" t="e">
        <f t="shared" ca="1" si="316"/>
        <v>#N/A</v>
      </c>
      <c r="AE685" s="324" t="e">
        <f t="shared" ca="1" si="295"/>
        <v>#N/A</v>
      </c>
      <c r="AG685" s="306">
        <f t="shared" ca="1" si="317"/>
        <v>0.84891924206170444</v>
      </c>
      <c r="AH685" s="304">
        <f t="shared" ca="1" si="318"/>
        <v>-8.9343911568244501</v>
      </c>
    </row>
    <row r="686" spans="1:34" x14ac:dyDescent="0.2">
      <c r="A686" s="347">
        <f t="shared" ca="1" si="296"/>
        <v>1E-4</v>
      </c>
      <c r="B686" s="304">
        <f t="shared" ca="1" si="297"/>
        <v>28.630600000000069</v>
      </c>
      <c r="D686" s="306">
        <f t="shared" ca="1" si="298"/>
        <v>-0.65859401224372427</v>
      </c>
      <c r="E686" s="307">
        <f t="shared" ca="1" si="299"/>
        <v>-0.89989164080670925</v>
      </c>
      <c r="F686" s="304">
        <f t="shared" ca="1" si="300"/>
        <v>1.1151461958671958</v>
      </c>
      <c r="G686" s="306">
        <f t="shared" ca="1" si="301"/>
        <v>7.2796224485465926</v>
      </c>
      <c r="H686" s="307">
        <f t="shared" ca="1" si="302"/>
        <v>-98.486882214909102</v>
      </c>
      <c r="I686" s="304">
        <f t="shared" ca="1" si="303"/>
        <v>98.755551091605795</v>
      </c>
      <c r="J686" s="306">
        <f t="shared" ca="1" si="304"/>
        <v>678.53524446899166</v>
      </c>
      <c r="K686" s="307">
        <f t="shared" ca="1" si="305"/>
        <v>-5.8843848561690484</v>
      </c>
      <c r="L686" s="304">
        <f t="shared" ca="1" si="290"/>
        <v>678.56075923363699</v>
      </c>
      <c r="M686" s="306">
        <f t="shared" ca="1" si="306"/>
        <v>-1.4970158549866845</v>
      </c>
      <c r="N686" s="304">
        <f t="shared" ca="1" si="307"/>
        <v>-85.772690354905492</v>
      </c>
      <c r="P686" s="310">
        <f t="shared" ca="1" si="308"/>
        <v>23</v>
      </c>
      <c r="Q686" s="304">
        <f t="shared" ca="1" si="309"/>
        <v>0</v>
      </c>
      <c r="R686" s="306">
        <f t="shared" ca="1" si="310"/>
        <v>0</v>
      </c>
      <c r="S686" s="307">
        <f t="shared" ca="1" si="311"/>
        <v>4.341000000000002</v>
      </c>
      <c r="T686" s="304">
        <f t="shared" ca="1" si="291"/>
        <v>42.585210000000025</v>
      </c>
      <c r="U686" s="311">
        <f t="shared" ca="1" si="292"/>
        <v>0</v>
      </c>
      <c r="V686" s="306">
        <f t="shared" ca="1" si="293"/>
        <v>1.2257210492914574</v>
      </c>
      <c r="W686" s="304">
        <f t="shared" ca="1" si="294"/>
        <v>38.784401763423858</v>
      </c>
      <c r="Y686" s="314" t="str">
        <f t="shared" ca="1" si="312"/>
        <v/>
      </c>
      <c r="Z686" s="315" t="str">
        <f t="shared" ca="1" si="313"/>
        <v/>
      </c>
      <c r="AA686" s="316" t="str">
        <f t="shared" ca="1" si="314"/>
        <v/>
      </c>
      <c r="AC686" s="310" t="e">
        <f t="shared" ca="1" si="315"/>
        <v>#N/A</v>
      </c>
      <c r="AD686" s="323" t="e">
        <f t="shared" ca="1" si="316"/>
        <v>#N/A</v>
      </c>
      <c r="AE686" s="324" t="e">
        <f t="shared" ca="1" si="295"/>
        <v>#N/A</v>
      </c>
      <c r="AG686" s="306">
        <f t="shared" ca="1" si="317"/>
        <v>0.84889561203334019</v>
      </c>
      <c r="AH686" s="304">
        <f t="shared" ca="1" si="318"/>
        <v>-8.9344153163779811</v>
      </c>
    </row>
    <row r="687" spans="1:34" x14ac:dyDescent="0.2">
      <c r="A687" s="347">
        <f t="shared" ca="1" si="296"/>
        <v>1E-4</v>
      </c>
      <c r="B687" s="304">
        <f t="shared" ca="1" si="297"/>
        <v>28.630700000000068</v>
      </c>
      <c r="D687" s="306">
        <f t="shared" ca="1" si="298"/>
        <v>-0.65858926867986245</v>
      </c>
      <c r="E687" s="307">
        <f t="shared" ca="1" si="299"/>
        <v>-0.8998670650939129</v>
      </c>
      <c r="F687" s="304">
        <f t="shared" ca="1" si="300"/>
        <v>1.1151235625082132</v>
      </c>
      <c r="G687" s="306">
        <f t="shared" ca="1" si="301"/>
        <v>7.279556589619725</v>
      </c>
      <c r="H687" s="307">
        <f t="shared" ca="1" si="302"/>
        <v>-98.486972201615615</v>
      </c>
      <c r="I687" s="304">
        <f t="shared" ca="1" si="303"/>
        <v>98.755635978830512</v>
      </c>
      <c r="J687" s="306">
        <f t="shared" ca="1" si="304"/>
        <v>678.53524446899166</v>
      </c>
      <c r="K687" s="307">
        <f t="shared" ca="1" si="305"/>
        <v>-5.8942335488898747</v>
      </c>
      <c r="L687" s="304">
        <f t="shared" ca="1" si="290"/>
        <v>678.56084471160227</v>
      </c>
      <c r="M687" s="306">
        <f t="shared" ca="1" si="306"/>
        <v>-1.4970165872283818</v>
      </c>
      <c r="N687" s="304">
        <f t="shared" ca="1" si="307"/>
        <v>-85.772732309264342</v>
      </c>
      <c r="P687" s="310">
        <f t="shared" ca="1" si="308"/>
        <v>23</v>
      </c>
      <c r="Q687" s="304">
        <f t="shared" ca="1" si="309"/>
        <v>0</v>
      </c>
      <c r="R687" s="306">
        <f t="shared" ca="1" si="310"/>
        <v>0</v>
      </c>
      <c r="S687" s="307">
        <f t="shared" ca="1" si="311"/>
        <v>4.341000000000002</v>
      </c>
      <c r="T687" s="304">
        <f t="shared" ca="1" si="291"/>
        <v>42.585210000000025</v>
      </c>
      <c r="U687" s="311">
        <f t="shared" ca="1" si="292"/>
        <v>0</v>
      </c>
      <c r="V687" s="306">
        <f t="shared" ca="1" si="293"/>
        <v>1.2257222564671542</v>
      </c>
      <c r="W687" s="304">
        <f t="shared" ca="1" si="294"/>
        <v>38.784506636856044</v>
      </c>
      <c r="Y687" s="314" t="str">
        <f t="shared" ca="1" si="312"/>
        <v/>
      </c>
      <c r="Z687" s="315" t="str">
        <f t="shared" ca="1" si="313"/>
        <v/>
      </c>
      <c r="AA687" s="316" t="str">
        <f t="shared" ca="1" si="314"/>
        <v/>
      </c>
      <c r="AC687" s="310" t="e">
        <f t="shared" ca="1" si="315"/>
        <v>#N/A</v>
      </c>
      <c r="AD687" s="323" t="e">
        <f t="shared" ca="1" si="316"/>
        <v>#N/A</v>
      </c>
      <c r="AE687" s="324" t="e">
        <f t="shared" ca="1" si="295"/>
        <v>#N/A</v>
      </c>
      <c r="AG687" s="306">
        <f t="shared" ca="1" si="317"/>
        <v>0.84887198236142503</v>
      </c>
      <c r="AH687" s="304">
        <f t="shared" ca="1" si="318"/>
        <v>-8.934439475564119</v>
      </c>
    </row>
    <row r="688" spans="1:34" x14ac:dyDescent="0.2">
      <c r="A688" s="347">
        <f t="shared" ca="1" si="296"/>
        <v>1E-4</v>
      </c>
      <c r="B688" s="304">
        <f t="shared" ca="1" si="297"/>
        <v>28.630800000000068</v>
      </c>
      <c r="D688" s="306">
        <f t="shared" ca="1" si="298"/>
        <v>-0.65858452512352217</v>
      </c>
      <c r="E688" s="307">
        <f t="shared" ca="1" si="299"/>
        <v>-0.89984248975486736</v>
      </c>
      <c r="F688" s="304">
        <f t="shared" ca="1" si="300"/>
        <v>1.1151009295576852</v>
      </c>
      <c r="G688" s="306">
        <f t="shared" ca="1" si="301"/>
        <v>7.279490731167213</v>
      </c>
      <c r="H688" s="307">
        <f t="shared" ca="1" si="302"/>
        <v>-98.487062185864588</v>
      </c>
      <c r="I688" s="304">
        <f t="shared" ca="1" si="303"/>
        <v>98.755720863692275</v>
      </c>
      <c r="J688" s="306">
        <f t="shared" ca="1" si="304"/>
        <v>678.53524446899166</v>
      </c>
      <c r="K688" s="307">
        <f t="shared" ca="1" si="305"/>
        <v>-5.9040822506092487</v>
      </c>
      <c r="L688" s="304">
        <f t="shared" ca="1" si="290"/>
        <v>678.5609303325798</v>
      </c>
      <c r="M688" s="306">
        <f t="shared" ca="1" si="306"/>
        <v>-1.4970173194621954</v>
      </c>
      <c r="N688" s="304">
        <f t="shared" ca="1" si="307"/>
        <v>-85.77277426317147</v>
      </c>
      <c r="P688" s="310">
        <f t="shared" ca="1" si="308"/>
        <v>23</v>
      </c>
      <c r="Q688" s="304">
        <f t="shared" ca="1" si="309"/>
        <v>0</v>
      </c>
      <c r="R688" s="306">
        <f t="shared" ca="1" si="310"/>
        <v>0</v>
      </c>
      <c r="S688" s="307">
        <f t="shared" ca="1" si="311"/>
        <v>4.341000000000002</v>
      </c>
      <c r="T688" s="304">
        <f t="shared" ca="1" si="291"/>
        <v>42.585210000000025</v>
      </c>
      <c r="U688" s="311">
        <f t="shared" ca="1" si="292"/>
        <v>0</v>
      </c>
      <c r="V688" s="306">
        <f t="shared" ca="1" si="293"/>
        <v>1.2257234636451433</v>
      </c>
      <c r="W688" s="304">
        <f t="shared" ca="1" si="294"/>
        <v>38.784611508693395</v>
      </c>
      <c r="Y688" s="314" t="str">
        <f t="shared" ca="1" si="312"/>
        <v/>
      </c>
      <c r="Z688" s="315" t="str">
        <f t="shared" ca="1" si="313"/>
        <v/>
      </c>
      <c r="AA688" s="316" t="str">
        <f t="shared" ca="1" si="314"/>
        <v/>
      </c>
      <c r="AC688" s="310" t="e">
        <f t="shared" ca="1" si="315"/>
        <v>#N/A</v>
      </c>
      <c r="AD688" s="323" t="e">
        <f t="shared" ca="1" si="316"/>
        <v>#N/A</v>
      </c>
      <c r="AE688" s="324" t="e">
        <f t="shared" ca="1" si="295"/>
        <v>#N/A</v>
      </c>
      <c r="AG688" s="306">
        <f t="shared" ca="1" si="317"/>
        <v>0.84884835304595185</v>
      </c>
      <c r="AH688" s="304">
        <f t="shared" ca="1" si="318"/>
        <v>-8.9344636343828672</v>
      </c>
    </row>
    <row r="689" spans="1:34" x14ac:dyDescent="0.2">
      <c r="A689" s="347">
        <f t="shared" ca="1" si="296"/>
        <v>1E-4</v>
      </c>
      <c r="B689" s="304">
        <f t="shared" ca="1" si="297"/>
        <v>28.630900000000068</v>
      </c>
      <c r="D689" s="306">
        <f t="shared" ca="1" si="298"/>
        <v>-0.65857978157470898</v>
      </c>
      <c r="E689" s="307">
        <f t="shared" ca="1" si="299"/>
        <v>-0.89981791478957618</v>
      </c>
      <c r="F689" s="304">
        <f t="shared" ca="1" si="300"/>
        <v>1.1150782970156188</v>
      </c>
      <c r="G689" s="306">
        <f t="shared" ca="1" si="301"/>
        <v>7.2794248731890558</v>
      </c>
      <c r="H689" s="307">
        <f t="shared" ca="1" si="302"/>
        <v>-98.487152167656063</v>
      </c>
      <c r="I689" s="304">
        <f t="shared" ca="1" si="303"/>
        <v>98.755805746191172</v>
      </c>
      <c r="J689" s="306">
        <f t="shared" ca="1" si="304"/>
        <v>678.53524446899166</v>
      </c>
      <c r="K689" s="307">
        <f t="shared" ca="1" si="305"/>
        <v>-5.9139309613269244</v>
      </c>
      <c r="L689" s="304">
        <f t="shared" ca="1" si="290"/>
        <v>678.56101609657003</v>
      </c>
      <c r="M689" s="306">
        <f t="shared" ca="1" si="306"/>
        <v>-1.497018051688126</v>
      </c>
      <c r="N689" s="304">
        <f t="shared" ca="1" si="307"/>
        <v>-85.772816216626936</v>
      </c>
      <c r="P689" s="310">
        <f t="shared" ca="1" si="308"/>
        <v>23</v>
      </c>
      <c r="Q689" s="304">
        <f t="shared" ca="1" si="309"/>
        <v>0</v>
      </c>
      <c r="R689" s="306">
        <f t="shared" ca="1" si="310"/>
        <v>0</v>
      </c>
      <c r="S689" s="307">
        <f t="shared" ca="1" si="311"/>
        <v>4.341000000000002</v>
      </c>
      <c r="T689" s="304">
        <f t="shared" ca="1" si="291"/>
        <v>42.585210000000025</v>
      </c>
      <c r="U689" s="311">
        <f t="shared" ca="1" si="292"/>
        <v>0</v>
      </c>
      <c r="V689" s="306">
        <f t="shared" ca="1" si="293"/>
        <v>1.2257246708254241</v>
      </c>
      <c r="W689" s="304">
        <f t="shared" ca="1" si="294"/>
        <v>38.78471637893594</v>
      </c>
      <c r="Y689" s="314" t="str">
        <f t="shared" ca="1" si="312"/>
        <v/>
      </c>
      <c r="Z689" s="315" t="str">
        <f t="shared" ca="1" si="313"/>
        <v/>
      </c>
      <c r="AA689" s="316" t="str">
        <f t="shared" ca="1" si="314"/>
        <v/>
      </c>
      <c r="AC689" s="310" t="e">
        <f t="shared" ca="1" si="315"/>
        <v>#N/A</v>
      </c>
      <c r="AD689" s="323" t="e">
        <f t="shared" ca="1" si="316"/>
        <v>#N/A</v>
      </c>
      <c r="AE689" s="324" t="e">
        <f t="shared" ca="1" si="295"/>
        <v>#N/A</v>
      </c>
      <c r="AG689" s="306">
        <f t="shared" ca="1" si="317"/>
        <v>0.84882472408692244</v>
      </c>
      <c r="AH689" s="304">
        <f t="shared" ca="1" si="318"/>
        <v>-8.9344877928342257</v>
      </c>
    </row>
    <row r="690" spans="1:34" x14ac:dyDescent="0.2">
      <c r="A690" s="347">
        <f t="shared" ca="1" si="296"/>
        <v>1E-4</v>
      </c>
      <c r="B690" s="304">
        <f t="shared" ca="1" si="297"/>
        <v>28.631000000000068</v>
      </c>
      <c r="D690" s="306">
        <f t="shared" ca="1" si="298"/>
        <v>-0.65857503803341888</v>
      </c>
      <c r="E690" s="307">
        <f t="shared" ca="1" si="299"/>
        <v>-0.89979334019802515</v>
      </c>
      <c r="F690" s="304">
        <f t="shared" ca="1" si="300"/>
        <v>1.1150556648819996</v>
      </c>
      <c r="G690" s="306">
        <f t="shared" ca="1" si="301"/>
        <v>7.2793590156852526</v>
      </c>
      <c r="H690" s="307">
        <f t="shared" ca="1" si="302"/>
        <v>-98.487242146990084</v>
      </c>
      <c r="I690" s="304">
        <f t="shared" ca="1" si="303"/>
        <v>98.755890626327187</v>
      </c>
      <c r="J690" s="306">
        <f t="shared" ca="1" si="304"/>
        <v>678.53524446899166</v>
      </c>
      <c r="K690" s="307">
        <f t="shared" ca="1" si="305"/>
        <v>-5.9237796810426566</v>
      </c>
      <c r="L690" s="304">
        <f t="shared" ca="1" si="290"/>
        <v>678.5611020035733</v>
      </c>
      <c r="M690" s="306">
        <f t="shared" ca="1" si="306"/>
        <v>-1.497018783906173</v>
      </c>
      <c r="N690" s="304">
        <f t="shared" ca="1" si="307"/>
        <v>-85.772858169630723</v>
      </c>
      <c r="P690" s="310">
        <f t="shared" ca="1" si="308"/>
        <v>23</v>
      </c>
      <c r="Q690" s="304">
        <f t="shared" ca="1" si="309"/>
        <v>0</v>
      </c>
      <c r="R690" s="306">
        <f t="shared" ca="1" si="310"/>
        <v>0</v>
      </c>
      <c r="S690" s="307">
        <f t="shared" ca="1" si="311"/>
        <v>4.341000000000002</v>
      </c>
      <c r="T690" s="304">
        <f t="shared" ca="1" si="291"/>
        <v>42.585210000000025</v>
      </c>
      <c r="U690" s="311">
        <f t="shared" ca="1" si="292"/>
        <v>0</v>
      </c>
      <c r="V690" s="306">
        <f t="shared" ca="1" si="293"/>
        <v>1.2257258780079974</v>
      </c>
      <c r="W690" s="304">
        <f t="shared" ca="1" si="294"/>
        <v>38.784821247583693</v>
      </c>
      <c r="Y690" s="314" t="str">
        <f t="shared" ca="1" si="312"/>
        <v/>
      </c>
      <c r="Z690" s="315" t="str">
        <f t="shared" ca="1" si="313"/>
        <v/>
      </c>
      <c r="AA690" s="316" t="str">
        <f t="shared" ca="1" si="314"/>
        <v/>
      </c>
      <c r="AC690" s="310" t="e">
        <f t="shared" ca="1" si="315"/>
        <v>#N/A</v>
      </c>
      <c r="AD690" s="323" t="e">
        <f t="shared" ca="1" si="316"/>
        <v>#N/A</v>
      </c>
      <c r="AE690" s="324" t="e">
        <f t="shared" ca="1" si="295"/>
        <v>#N/A</v>
      </c>
      <c r="AG690" s="306">
        <f t="shared" ca="1" si="317"/>
        <v>0.84880109548432792</v>
      </c>
      <c r="AH690" s="304">
        <f t="shared" ca="1" si="318"/>
        <v>-8.9345119509182034</v>
      </c>
    </row>
    <row r="691" spans="1:34" x14ac:dyDescent="0.2">
      <c r="A691" s="347">
        <f t="shared" ca="1" si="296"/>
        <v>1E-4</v>
      </c>
      <c r="B691" s="304">
        <f t="shared" ca="1" si="297"/>
        <v>28.631100000000067</v>
      </c>
      <c r="D691" s="306">
        <f t="shared" ca="1" si="298"/>
        <v>-0.65857029449965743</v>
      </c>
      <c r="E691" s="307">
        <f t="shared" ca="1" si="299"/>
        <v>-0.89976876598021605</v>
      </c>
      <c r="F691" s="304">
        <f t="shared" ca="1" si="300"/>
        <v>1.1150330331568328</v>
      </c>
      <c r="G691" s="306">
        <f t="shared" ca="1" si="301"/>
        <v>7.2792931586558023</v>
      </c>
      <c r="H691" s="307">
        <f t="shared" ca="1" si="302"/>
        <v>-98.487332123866679</v>
      </c>
      <c r="I691" s="304">
        <f t="shared" ca="1" si="303"/>
        <v>98.755975504100377</v>
      </c>
      <c r="J691" s="306">
        <f t="shared" ca="1" si="304"/>
        <v>678.53524446899166</v>
      </c>
      <c r="K691" s="307">
        <f t="shared" ca="1" si="305"/>
        <v>-5.9336284097561993</v>
      </c>
      <c r="L691" s="304">
        <f t="shared" ca="1" si="290"/>
        <v>678.56118805358983</v>
      </c>
      <c r="M691" s="306">
        <f t="shared" ca="1" si="306"/>
        <v>-1.4970195161163373</v>
      </c>
      <c r="N691" s="304">
        <f t="shared" ca="1" si="307"/>
        <v>-85.772900122182847</v>
      </c>
      <c r="P691" s="310">
        <f t="shared" ca="1" si="308"/>
        <v>23</v>
      </c>
      <c r="Q691" s="304">
        <f t="shared" ca="1" si="309"/>
        <v>0</v>
      </c>
      <c r="R691" s="306">
        <f t="shared" ca="1" si="310"/>
        <v>0</v>
      </c>
      <c r="S691" s="307">
        <f t="shared" ca="1" si="311"/>
        <v>4.341000000000002</v>
      </c>
      <c r="T691" s="304">
        <f t="shared" ca="1" si="291"/>
        <v>42.585210000000025</v>
      </c>
      <c r="U691" s="311">
        <f t="shared" ca="1" si="292"/>
        <v>0</v>
      </c>
      <c r="V691" s="306">
        <f t="shared" ca="1" si="293"/>
        <v>1.225727085192863</v>
      </c>
      <c r="W691" s="304">
        <f t="shared" ca="1" si="294"/>
        <v>38.784926114636683</v>
      </c>
      <c r="Y691" s="314" t="str">
        <f t="shared" ca="1" si="312"/>
        <v/>
      </c>
      <c r="Z691" s="315" t="str">
        <f t="shared" ca="1" si="313"/>
        <v/>
      </c>
      <c r="AA691" s="316" t="str">
        <f t="shared" ca="1" si="314"/>
        <v/>
      </c>
      <c r="AC691" s="310" t="e">
        <f t="shared" ca="1" si="315"/>
        <v>#N/A</v>
      </c>
      <c r="AD691" s="323" t="e">
        <f t="shared" ca="1" si="316"/>
        <v>#N/A</v>
      </c>
      <c r="AE691" s="324" t="e">
        <f t="shared" ca="1" si="295"/>
        <v>#N/A</v>
      </c>
      <c r="AG691" s="306">
        <f t="shared" ca="1" si="317"/>
        <v>0.84877746723816649</v>
      </c>
      <c r="AH691" s="304">
        <f t="shared" ca="1" si="318"/>
        <v>-8.9345361086348021</v>
      </c>
    </row>
    <row r="692" spans="1:34" x14ac:dyDescent="0.2">
      <c r="A692" s="347">
        <f t="shared" ca="1" si="296"/>
        <v>1E-4</v>
      </c>
      <c r="B692" s="304">
        <f t="shared" ca="1" si="297"/>
        <v>28.631200000000067</v>
      </c>
      <c r="D692" s="306">
        <f t="shared" ca="1" si="298"/>
        <v>-0.65856555097342051</v>
      </c>
      <c r="E692" s="307">
        <f t="shared" ca="1" si="299"/>
        <v>-0.89974419213614176</v>
      </c>
      <c r="F692" s="304">
        <f t="shared" ca="1" si="300"/>
        <v>1.1150104018401099</v>
      </c>
      <c r="G692" s="306">
        <f t="shared" ca="1" si="301"/>
        <v>7.279227302100705</v>
      </c>
      <c r="H692" s="307">
        <f t="shared" ca="1" si="302"/>
        <v>-98.48742209828589</v>
      </c>
      <c r="I692" s="304">
        <f t="shared" ca="1" si="303"/>
        <v>98.756060379510785</v>
      </c>
      <c r="J692" s="306">
        <f t="shared" ca="1" si="304"/>
        <v>678.53524446899166</v>
      </c>
      <c r="K692" s="307">
        <f t="shared" ca="1" si="305"/>
        <v>-5.9434771474673074</v>
      </c>
      <c r="L692" s="304">
        <f t="shared" ca="1" si="290"/>
        <v>678.56127424662009</v>
      </c>
      <c r="M692" s="306">
        <f t="shared" ca="1" si="306"/>
        <v>-1.4970202483186186</v>
      </c>
      <c r="N692" s="304">
        <f t="shared" ca="1" si="307"/>
        <v>-85.772942074283321</v>
      </c>
      <c r="P692" s="310">
        <f t="shared" ca="1" si="308"/>
        <v>23</v>
      </c>
      <c r="Q692" s="304">
        <f t="shared" ca="1" si="309"/>
        <v>0</v>
      </c>
      <c r="R692" s="306">
        <f t="shared" ca="1" si="310"/>
        <v>0</v>
      </c>
      <c r="S692" s="307">
        <f t="shared" ca="1" si="311"/>
        <v>4.341000000000002</v>
      </c>
      <c r="T692" s="304">
        <f t="shared" ca="1" si="291"/>
        <v>42.585210000000025</v>
      </c>
      <c r="U692" s="311">
        <f t="shared" ca="1" si="292"/>
        <v>0</v>
      </c>
      <c r="V692" s="306">
        <f t="shared" ca="1" si="293"/>
        <v>1.2257282923800206</v>
      </c>
      <c r="W692" s="304">
        <f t="shared" ca="1" si="294"/>
        <v>38.785030980094909</v>
      </c>
      <c r="Y692" s="314" t="str">
        <f t="shared" ca="1" si="312"/>
        <v/>
      </c>
      <c r="Z692" s="315" t="str">
        <f t="shared" ca="1" si="313"/>
        <v/>
      </c>
      <c r="AA692" s="316" t="str">
        <f t="shared" ca="1" si="314"/>
        <v/>
      </c>
      <c r="AC692" s="310" t="e">
        <f t="shared" ca="1" si="315"/>
        <v>#N/A</v>
      </c>
      <c r="AD692" s="323" t="e">
        <f t="shared" ca="1" si="316"/>
        <v>#N/A</v>
      </c>
      <c r="AE692" s="324" t="e">
        <f t="shared" ca="1" si="295"/>
        <v>#N/A</v>
      </c>
      <c r="AG692" s="306">
        <f t="shared" ca="1" si="317"/>
        <v>0.84875383934843462</v>
      </c>
      <c r="AH692" s="304">
        <f t="shared" ca="1" si="318"/>
        <v>-8.9345602659840271</v>
      </c>
    </row>
    <row r="693" spans="1:34" x14ac:dyDescent="0.2">
      <c r="A693" s="347">
        <f t="shared" ca="1" si="296"/>
        <v>1E-4</v>
      </c>
      <c r="B693" s="304">
        <f t="shared" ca="1" si="297"/>
        <v>28.631300000000067</v>
      </c>
      <c r="D693" s="306">
        <f t="shared" ca="1" si="298"/>
        <v>-0.65856080745471168</v>
      </c>
      <c r="E693" s="307">
        <f t="shared" ca="1" si="299"/>
        <v>-0.89971961866579697</v>
      </c>
      <c r="F693" s="304">
        <f t="shared" ca="1" si="300"/>
        <v>1.114987770931829</v>
      </c>
      <c r="G693" s="306">
        <f t="shared" ca="1" si="301"/>
        <v>7.2791614460199598</v>
      </c>
      <c r="H693" s="307">
        <f t="shared" ca="1" si="302"/>
        <v>-98.48751207024776</v>
      </c>
      <c r="I693" s="304">
        <f t="shared" ca="1" si="303"/>
        <v>98.75614525255844</v>
      </c>
      <c r="J693" s="306">
        <f t="shared" ca="1" si="304"/>
        <v>678.53524446899166</v>
      </c>
      <c r="K693" s="307">
        <f t="shared" ca="1" si="305"/>
        <v>-5.9533258941757339</v>
      </c>
      <c r="L693" s="304">
        <f t="shared" ca="1" si="290"/>
        <v>678.56136058266429</v>
      </c>
      <c r="M693" s="306">
        <f t="shared" ca="1" si="306"/>
        <v>-1.4970209805130168</v>
      </c>
      <c r="N693" s="304">
        <f t="shared" ca="1" si="307"/>
        <v>-85.772984025932118</v>
      </c>
      <c r="P693" s="310">
        <f t="shared" ca="1" si="308"/>
        <v>23</v>
      </c>
      <c r="Q693" s="304">
        <f t="shared" ca="1" si="309"/>
        <v>0</v>
      </c>
      <c r="R693" s="306">
        <f t="shared" ca="1" si="310"/>
        <v>0</v>
      </c>
      <c r="S693" s="307">
        <f t="shared" ca="1" si="311"/>
        <v>4.341000000000002</v>
      </c>
      <c r="T693" s="304">
        <f t="shared" ca="1" si="291"/>
        <v>42.585210000000025</v>
      </c>
      <c r="U693" s="311">
        <f t="shared" ca="1" si="292"/>
        <v>0</v>
      </c>
      <c r="V693" s="306">
        <f t="shared" ca="1" si="293"/>
        <v>1.2257294995694707</v>
      </c>
      <c r="W693" s="304">
        <f t="shared" ca="1" si="294"/>
        <v>38.785135843958415</v>
      </c>
      <c r="Y693" s="314" t="str">
        <f t="shared" ca="1" si="312"/>
        <v/>
      </c>
      <c r="Z693" s="315" t="str">
        <f t="shared" ca="1" si="313"/>
        <v/>
      </c>
      <c r="AA693" s="316" t="str">
        <f t="shared" ca="1" si="314"/>
        <v/>
      </c>
      <c r="AC693" s="310" t="e">
        <f t="shared" ca="1" si="315"/>
        <v>#N/A</v>
      </c>
      <c r="AD693" s="323" t="e">
        <f t="shared" ca="1" si="316"/>
        <v>#N/A</v>
      </c>
      <c r="AE693" s="324" t="e">
        <f t="shared" ca="1" si="295"/>
        <v>#N/A</v>
      </c>
      <c r="AG693" s="306">
        <f t="shared" ca="1" si="317"/>
        <v>0.84873021181512698</v>
      </c>
      <c r="AH693" s="304">
        <f t="shared" ca="1" si="318"/>
        <v>-8.934584422965882</v>
      </c>
    </row>
    <row r="694" spans="1:34" x14ac:dyDescent="0.2">
      <c r="A694" s="347">
        <f t="shared" ca="1" si="296"/>
        <v>1E-4</v>
      </c>
      <c r="B694" s="304">
        <f t="shared" ca="1" si="297"/>
        <v>28.631400000000067</v>
      </c>
      <c r="D694" s="306">
        <f t="shared" ca="1" si="298"/>
        <v>-0.6585560639435325</v>
      </c>
      <c r="E694" s="307">
        <f t="shared" ca="1" si="299"/>
        <v>-0.89969504556918167</v>
      </c>
      <c r="F694" s="304">
        <f t="shared" ca="1" si="300"/>
        <v>1.1149651404319914</v>
      </c>
      <c r="G694" s="306">
        <f t="shared" ca="1" si="301"/>
        <v>7.2790955904135659</v>
      </c>
      <c r="H694" s="307">
        <f t="shared" ca="1" si="302"/>
        <v>-98.487602039752318</v>
      </c>
      <c r="I694" s="304">
        <f t="shared" ca="1" si="303"/>
        <v>98.756230123243384</v>
      </c>
      <c r="J694" s="306">
        <f t="shared" ca="1" si="304"/>
        <v>678.53524446899166</v>
      </c>
      <c r="K694" s="307">
        <f t="shared" ca="1" si="305"/>
        <v>-5.9631746498812337</v>
      </c>
      <c r="L694" s="304">
        <f t="shared" ca="1" si="290"/>
        <v>678.56144706172279</v>
      </c>
      <c r="M694" s="306">
        <f t="shared" ca="1" si="306"/>
        <v>-1.4970217126995324</v>
      </c>
      <c r="N694" s="304">
        <f t="shared" ca="1" si="307"/>
        <v>-85.773025977129279</v>
      </c>
      <c r="P694" s="310">
        <f t="shared" ca="1" si="308"/>
        <v>23</v>
      </c>
      <c r="Q694" s="304">
        <f t="shared" ca="1" si="309"/>
        <v>0</v>
      </c>
      <c r="R694" s="306">
        <f t="shared" ca="1" si="310"/>
        <v>0</v>
      </c>
      <c r="S694" s="307">
        <f t="shared" ca="1" si="311"/>
        <v>4.341000000000002</v>
      </c>
      <c r="T694" s="304">
        <f t="shared" ca="1" si="291"/>
        <v>42.585210000000025</v>
      </c>
      <c r="U694" s="311">
        <f t="shared" ca="1" si="292"/>
        <v>0</v>
      </c>
      <c r="V694" s="306">
        <f t="shared" ca="1" si="293"/>
        <v>1.2257307067612122</v>
      </c>
      <c r="W694" s="304">
        <f t="shared" ca="1" si="294"/>
        <v>38.785240706227199</v>
      </c>
      <c r="Y694" s="314" t="str">
        <f t="shared" ca="1" si="312"/>
        <v/>
      </c>
      <c r="Z694" s="315" t="str">
        <f t="shared" ca="1" si="313"/>
        <v/>
      </c>
      <c r="AA694" s="316" t="str">
        <f t="shared" ca="1" si="314"/>
        <v/>
      </c>
      <c r="AC694" s="310" t="e">
        <f t="shared" ca="1" si="315"/>
        <v>#N/A</v>
      </c>
      <c r="AD694" s="323" t="e">
        <f t="shared" ca="1" si="316"/>
        <v>#N/A</v>
      </c>
      <c r="AE694" s="324" t="e">
        <f t="shared" ca="1" si="295"/>
        <v>#N/A</v>
      </c>
      <c r="AG694" s="306">
        <f t="shared" ca="1" si="317"/>
        <v>0.84870658463823823</v>
      </c>
      <c r="AH694" s="304">
        <f t="shared" ca="1" si="318"/>
        <v>-8.934608579580372</v>
      </c>
    </row>
    <row r="695" spans="1:34" x14ac:dyDescent="0.2">
      <c r="A695" s="347">
        <f t="shared" ca="1" si="296"/>
        <v>1E-4</v>
      </c>
      <c r="B695" s="304">
        <f t="shared" ca="1" si="297"/>
        <v>28.631500000000067</v>
      </c>
      <c r="D695" s="306">
        <f t="shared" ca="1" si="298"/>
        <v>-0.65855132043988107</v>
      </c>
      <c r="E695" s="307">
        <f t="shared" ca="1" si="299"/>
        <v>-0.89967047284628876</v>
      </c>
      <c r="F695" s="304">
        <f t="shared" ca="1" si="300"/>
        <v>1.1149425103405897</v>
      </c>
      <c r="G695" s="306">
        <f t="shared" ca="1" si="301"/>
        <v>7.2790297352815223</v>
      </c>
      <c r="H695" s="307">
        <f t="shared" ca="1" si="302"/>
        <v>-98.487692006799605</v>
      </c>
      <c r="I695" s="304">
        <f t="shared" ca="1" si="303"/>
        <v>98.756314991565631</v>
      </c>
      <c r="J695" s="306">
        <f t="shared" ca="1" si="304"/>
        <v>678.53524446899166</v>
      </c>
      <c r="K695" s="307">
        <f t="shared" ca="1" si="305"/>
        <v>-5.9730234145835617</v>
      </c>
      <c r="L695" s="304">
        <f t="shared" ca="1" si="290"/>
        <v>678.56153368379603</v>
      </c>
      <c r="M695" s="306">
        <f t="shared" ca="1" si="306"/>
        <v>-1.4970224448781655</v>
      </c>
      <c r="N695" s="304">
        <f t="shared" ca="1" si="307"/>
        <v>-85.773067927874806</v>
      </c>
      <c r="P695" s="310">
        <f t="shared" ca="1" si="308"/>
        <v>23</v>
      </c>
      <c r="Q695" s="304">
        <f t="shared" ca="1" si="309"/>
        <v>0</v>
      </c>
      <c r="R695" s="306">
        <f t="shared" ca="1" si="310"/>
        <v>0</v>
      </c>
      <c r="S695" s="307">
        <f t="shared" ca="1" si="311"/>
        <v>4.341000000000002</v>
      </c>
      <c r="T695" s="304">
        <f t="shared" ca="1" si="291"/>
        <v>42.585210000000025</v>
      </c>
      <c r="U695" s="311">
        <f t="shared" ca="1" si="292"/>
        <v>0</v>
      </c>
      <c r="V695" s="306">
        <f t="shared" ca="1" si="293"/>
        <v>1.2257319139552461</v>
      </c>
      <c r="W695" s="304">
        <f t="shared" ca="1" si="294"/>
        <v>38.785345566901263</v>
      </c>
      <c r="Y695" s="314" t="str">
        <f t="shared" ca="1" si="312"/>
        <v/>
      </c>
      <c r="Z695" s="315" t="str">
        <f t="shared" ca="1" si="313"/>
        <v/>
      </c>
      <c r="AA695" s="316" t="str">
        <f t="shared" ca="1" si="314"/>
        <v/>
      </c>
      <c r="AC695" s="310" t="e">
        <f t="shared" ca="1" si="315"/>
        <v>#N/A</v>
      </c>
      <c r="AD695" s="323" t="e">
        <f t="shared" ca="1" si="316"/>
        <v>#N/A</v>
      </c>
      <c r="AE695" s="324" t="e">
        <f t="shared" ca="1" si="295"/>
        <v>#N/A</v>
      </c>
      <c r="AG695" s="306">
        <f t="shared" ca="1" si="317"/>
        <v>0.84868295781776482</v>
      </c>
      <c r="AH695" s="304">
        <f t="shared" ca="1" si="318"/>
        <v>-8.9346327358275008</v>
      </c>
    </row>
    <row r="696" spans="1:34" x14ac:dyDescent="0.2">
      <c r="A696" s="347">
        <f t="shared" ca="1" si="296"/>
        <v>1E-4</v>
      </c>
      <c r="B696" s="304">
        <f t="shared" ca="1" si="297"/>
        <v>28.631600000000066</v>
      </c>
      <c r="D696" s="306">
        <f t="shared" ca="1" si="298"/>
        <v>-0.6585465769437584</v>
      </c>
      <c r="E696" s="307">
        <f t="shared" ca="1" si="299"/>
        <v>-0.89964590049711823</v>
      </c>
      <c r="F696" s="304">
        <f t="shared" ca="1" si="300"/>
        <v>1.1149198806576248</v>
      </c>
      <c r="G696" s="306">
        <f t="shared" ca="1" si="301"/>
        <v>7.2789638806238282</v>
      </c>
      <c r="H696" s="307">
        <f t="shared" ca="1" si="302"/>
        <v>-98.487781971389651</v>
      </c>
      <c r="I696" s="304">
        <f t="shared" ca="1" si="303"/>
        <v>98.756399857525238</v>
      </c>
      <c r="J696" s="306">
        <f t="shared" ca="1" si="304"/>
        <v>678.53524446899166</v>
      </c>
      <c r="K696" s="307">
        <f t="shared" ca="1" si="305"/>
        <v>-5.9828721882824709</v>
      </c>
      <c r="L696" s="304">
        <f t="shared" ca="1" si="290"/>
        <v>678.56162044888424</v>
      </c>
      <c r="M696" s="306">
        <f t="shared" ca="1" si="306"/>
        <v>-1.4970231770489157</v>
      </c>
      <c r="N696" s="304">
        <f t="shared" ca="1" si="307"/>
        <v>-85.773109878168682</v>
      </c>
      <c r="P696" s="310">
        <f t="shared" ca="1" si="308"/>
        <v>23</v>
      </c>
      <c r="Q696" s="304">
        <f t="shared" ca="1" si="309"/>
        <v>0</v>
      </c>
      <c r="R696" s="306">
        <f t="shared" ca="1" si="310"/>
        <v>0</v>
      </c>
      <c r="S696" s="307">
        <f t="shared" ca="1" si="311"/>
        <v>4.341000000000002</v>
      </c>
      <c r="T696" s="304">
        <f t="shared" ca="1" si="291"/>
        <v>42.585210000000025</v>
      </c>
      <c r="U696" s="311">
        <f t="shared" ca="1" si="292"/>
        <v>0</v>
      </c>
      <c r="V696" s="306">
        <f t="shared" ca="1" si="293"/>
        <v>1.2257331211515723</v>
      </c>
      <c r="W696" s="304">
        <f t="shared" ca="1" si="294"/>
        <v>38.78545042598067</v>
      </c>
      <c r="Y696" s="314" t="str">
        <f t="shared" ca="1" si="312"/>
        <v/>
      </c>
      <c r="Z696" s="315" t="str">
        <f t="shared" ca="1" si="313"/>
        <v/>
      </c>
      <c r="AA696" s="316" t="str">
        <f t="shared" ca="1" si="314"/>
        <v/>
      </c>
      <c r="AC696" s="310" t="e">
        <f t="shared" ca="1" si="315"/>
        <v>#N/A</v>
      </c>
      <c r="AD696" s="323" t="e">
        <f t="shared" ca="1" si="316"/>
        <v>#N/A</v>
      </c>
      <c r="AE696" s="324" t="e">
        <f t="shared" ca="1" si="295"/>
        <v>#N/A</v>
      </c>
      <c r="AG696" s="306">
        <f t="shared" ca="1" si="317"/>
        <v>0.84865933135371208</v>
      </c>
      <c r="AH696" s="304">
        <f t="shared" ca="1" si="318"/>
        <v>-8.9346568917072666</v>
      </c>
    </row>
    <row r="697" spans="1:34" x14ac:dyDescent="0.2">
      <c r="A697" s="347">
        <f t="shared" ca="1" si="296"/>
        <v>1E-4</v>
      </c>
      <c r="B697" s="304">
        <f t="shared" ca="1" si="297"/>
        <v>28.631700000000066</v>
      </c>
      <c r="D697" s="306">
        <f t="shared" ca="1" si="298"/>
        <v>-0.65854183345516903</v>
      </c>
      <c r="E697" s="307">
        <f t="shared" ca="1" si="299"/>
        <v>-0.89962132852165766</v>
      </c>
      <c r="F697" s="304">
        <f t="shared" ca="1" si="300"/>
        <v>1.1148972513830895</v>
      </c>
      <c r="G697" s="306">
        <f t="shared" ca="1" si="301"/>
        <v>7.2788980264404826</v>
      </c>
      <c r="H697" s="307">
        <f t="shared" ca="1" si="302"/>
        <v>-98.487871933522499</v>
      </c>
      <c r="I697" s="304">
        <f t="shared" ca="1" si="303"/>
        <v>98.75648472112222</v>
      </c>
      <c r="J697" s="306">
        <f t="shared" ca="1" si="304"/>
        <v>678.53524446899166</v>
      </c>
      <c r="K697" s="307">
        <f t="shared" ca="1" si="305"/>
        <v>-5.9927209709777163</v>
      </c>
      <c r="L697" s="304">
        <f t="shared" ca="1" si="290"/>
        <v>678.56170735698777</v>
      </c>
      <c r="M697" s="306">
        <f t="shared" ca="1" si="306"/>
        <v>-1.4970239092117839</v>
      </c>
      <c r="N697" s="304">
        <f t="shared" ca="1" si="307"/>
        <v>-85.773151828010938</v>
      </c>
      <c r="P697" s="310">
        <f t="shared" ca="1" si="308"/>
        <v>23</v>
      </c>
      <c r="Q697" s="304">
        <f t="shared" ca="1" si="309"/>
        <v>0</v>
      </c>
      <c r="R697" s="306">
        <f t="shared" ca="1" si="310"/>
        <v>0</v>
      </c>
      <c r="S697" s="307">
        <f t="shared" ca="1" si="311"/>
        <v>4.341000000000002</v>
      </c>
      <c r="T697" s="304">
        <f t="shared" ca="1" si="291"/>
        <v>42.585210000000025</v>
      </c>
      <c r="U697" s="311">
        <f t="shared" ca="1" si="292"/>
        <v>0</v>
      </c>
      <c r="V697" s="306">
        <f t="shared" ca="1" si="293"/>
        <v>1.2257343283501902</v>
      </c>
      <c r="W697" s="304">
        <f t="shared" ca="1" si="294"/>
        <v>38.785555283465385</v>
      </c>
      <c r="Y697" s="314" t="str">
        <f t="shared" ca="1" si="312"/>
        <v/>
      </c>
      <c r="Z697" s="315" t="str">
        <f t="shared" ca="1" si="313"/>
        <v/>
      </c>
      <c r="AA697" s="316" t="str">
        <f t="shared" ca="1" si="314"/>
        <v/>
      </c>
      <c r="AC697" s="310" t="e">
        <f t="shared" ca="1" si="315"/>
        <v>#N/A</v>
      </c>
      <c r="AD697" s="323" t="e">
        <f t="shared" ca="1" si="316"/>
        <v>#N/A</v>
      </c>
      <c r="AE697" s="324" t="e">
        <f t="shared" ca="1" si="295"/>
        <v>#N/A</v>
      </c>
      <c r="AG697" s="306">
        <f t="shared" ca="1" si="317"/>
        <v>0.84863570524606047</v>
      </c>
      <c r="AH697" s="304">
        <f t="shared" ca="1" si="318"/>
        <v>-8.9346810472196854</v>
      </c>
    </row>
    <row r="698" spans="1:34" x14ac:dyDescent="0.2">
      <c r="A698" s="347">
        <f t="shared" ca="1" si="296"/>
        <v>1E-4</v>
      </c>
      <c r="B698" s="304">
        <f t="shared" ca="1" si="297"/>
        <v>28.631800000000066</v>
      </c>
      <c r="D698" s="306">
        <f t="shared" ca="1" si="298"/>
        <v>-0.65853708997410776</v>
      </c>
      <c r="E698" s="307">
        <f t="shared" ca="1" si="299"/>
        <v>-0.89959675691991592</v>
      </c>
      <c r="F698" s="304">
        <f t="shared" ca="1" si="300"/>
        <v>1.1148746225169881</v>
      </c>
      <c r="G698" s="306">
        <f t="shared" ca="1" si="301"/>
        <v>7.2788321727314855</v>
      </c>
      <c r="H698" s="307">
        <f t="shared" ca="1" si="302"/>
        <v>-98.48796189319819</v>
      </c>
      <c r="I698" s="304">
        <f t="shared" ca="1" si="303"/>
        <v>98.756569582356633</v>
      </c>
      <c r="J698" s="306">
        <f t="shared" ca="1" si="304"/>
        <v>678.53524446899166</v>
      </c>
      <c r="K698" s="307">
        <f t="shared" ca="1" si="305"/>
        <v>-6.0025697626690526</v>
      </c>
      <c r="L698" s="304">
        <f t="shared" ca="1" si="290"/>
        <v>678.56179440810695</v>
      </c>
      <c r="M698" s="306">
        <f t="shared" ca="1" si="306"/>
        <v>-1.4970246413667696</v>
      </c>
      <c r="N698" s="304">
        <f t="shared" ca="1" si="307"/>
        <v>-85.773193777401573</v>
      </c>
      <c r="P698" s="310">
        <f t="shared" ca="1" si="308"/>
        <v>23</v>
      </c>
      <c r="Q698" s="304">
        <f t="shared" ca="1" si="309"/>
        <v>0</v>
      </c>
      <c r="R698" s="306">
        <f t="shared" ca="1" si="310"/>
        <v>0</v>
      </c>
      <c r="S698" s="307">
        <f t="shared" ca="1" si="311"/>
        <v>4.341000000000002</v>
      </c>
      <c r="T698" s="304">
        <f t="shared" ca="1" si="291"/>
        <v>42.585210000000025</v>
      </c>
      <c r="U698" s="311">
        <f t="shared" ca="1" si="292"/>
        <v>0</v>
      </c>
      <c r="V698" s="306">
        <f t="shared" ca="1" si="293"/>
        <v>1.2257355355510999</v>
      </c>
      <c r="W698" s="304">
        <f t="shared" ca="1" si="294"/>
        <v>38.785660139355443</v>
      </c>
      <c r="Y698" s="314" t="str">
        <f t="shared" ca="1" si="312"/>
        <v/>
      </c>
      <c r="Z698" s="315" t="str">
        <f t="shared" ca="1" si="313"/>
        <v/>
      </c>
      <c r="AA698" s="316" t="str">
        <f t="shared" ca="1" si="314"/>
        <v/>
      </c>
      <c r="AC698" s="310" t="e">
        <f t="shared" ca="1" si="315"/>
        <v>#N/A</v>
      </c>
      <c r="AD698" s="323" t="e">
        <f t="shared" ca="1" si="316"/>
        <v>#N/A</v>
      </c>
      <c r="AE698" s="324" t="e">
        <f t="shared" ca="1" si="295"/>
        <v>#N/A</v>
      </c>
      <c r="AG698" s="306">
        <f t="shared" ca="1" si="317"/>
        <v>0.84861207949482598</v>
      </c>
      <c r="AH698" s="304">
        <f t="shared" ca="1" si="318"/>
        <v>-8.9347052023647464</v>
      </c>
    </row>
    <row r="699" spans="1:34" x14ac:dyDescent="0.2">
      <c r="A699" s="347">
        <f t="shared" ca="1" si="296"/>
        <v>1E-4</v>
      </c>
      <c r="B699" s="304">
        <f t="shared" ca="1" si="297"/>
        <v>28.631900000000066</v>
      </c>
      <c r="D699" s="306">
        <f t="shared" ca="1" si="298"/>
        <v>-0.65853234650057868</v>
      </c>
      <c r="E699" s="307">
        <f t="shared" ca="1" si="299"/>
        <v>-0.8995721856918788</v>
      </c>
      <c r="F699" s="304">
        <f t="shared" ca="1" si="300"/>
        <v>1.1148519940593111</v>
      </c>
      <c r="G699" s="306">
        <f t="shared" ca="1" si="301"/>
        <v>7.2787663194968353</v>
      </c>
      <c r="H699" s="307">
        <f t="shared" ca="1" si="302"/>
        <v>-98.488051850416753</v>
      </c>
      <c r="I699" s="304">
        <f t="shared" ca="1" si="303"/>
        <v>98.75665444122852</v>
      </c>
      <c r="J699" s="306">
        <f t="shared" ca="1" si="304"/>
        <v>678.53524446899166</v>
      </c>
      <c r="K699" s="307">
        <f t="shared" ca="1" si="305"/>
        <v>-6.012418563356233</v>
      </c>
      <c r="L699" s="304">
        <f t="shared" ca="1" si="290"/>
        <v>678.56188160224212</v>
      </c>
      <c r="M699" s="306">
        <f t="shared" ca="1" si="306"/>
        <v>-1.497025373513873</v>
      </c>
      <c r="N699" s="304">
        <f t="shared" ca="1" si="307"/>
        <v>-85.773235726340573</v>
      </c>
      <c r="P699" s="310">
        <f t="shared" ca="1" si="308"/>
        <v>23</v>
      </c>
      <c r="Q699" s="304">
        <f t="shared" ca="1" si="309"/>
        <v>0</v>
      </c>
      <c r="R699" s="306">
        <f t="shared" ca="1" si="310"/>
        <v>0</v>
      </c>
      <c r="S699" s="307">
        <f t="shared" ca="1" si="311"/>
        <v>4.341000000000002</v>
      </c>
      <c r="T699" s="304">
        <f t="shared" ca="1" si="291"/>
        <v>42.585210000000025</v>
      </c>
      <c r="U699" s="311">
        <f t="shared" ca="1" si="292"/>
        <v>0</v>
      </c>
      <c r="V699" s="306">
        <f t="shared" ca="1" si="293"/>
        <v>1.225736742754302</v>
      </c>
      <c r="W699" s="304">
        <f t="shared" ca="1" si="294"/>
        <v>38.785764993650908</v>
      </c>
      <c r="Y699" s="314" t="str">
        <f t="shared" ca="1" si="312"/>
        <v/>
      </c>
      <c r="Z699" s="315" t="str">
        <f t="shared" ca="1" si="313"/>
        <v/>
      </c>
      <c r="AA699" s="316" t="str">
        <f t="shared" ca="1" si="314"/>
        <v/>
      </c>
      <c r="AC699" s="310" t="e">
        <f t="shared" ca="1" si="315"/>
        <v>#N/A</v>
      </c>
      <c r="AD699" s="323" t="e">
        <f t="shared" ca="1" si="316"/>
        <v>#N/A</v>
      </c>
      <c r="AE699" s="324" t="e">
        <f t="shared" ca="1" si="295"/>
        <v>#N/A</v>
      </c>
      <c r="AG699" s="306">
        <f t="shared" ca="1" si="317"/>
        <v>0.84858845409998906</v>
      </c>
      <c r="AH699" s="304">
        <f t="shared" ca="1" si="318"/>
        <v>-8.9347293571424622</v>
      </c>
    </row>
    <row r="700" spans="1:34" x14ac:dyDescent="0.2">
      <c r="A700" s="347">
        <f t="shared" ca="1" si="296"/>
        <v>1E-4</v>
      </c>
      <c r="B700" s="304">
        <f t="shared" ca="1" si="297"/>
        <v>28.632000000000065</v>
      </c>
      <c r="D700" s="306">
        <f t="shared" ca="1" si="298"/>
        <v>-0.65852760303458413</v>
      </c>
      <c r="E700" s="307">
        <f t="shared" ca="1" si="299"/>
        <v>-0.8995476148375392</v>
      </c>
      <c r="F700" s="304">
        <f t="shared" ca="1" si="300"/>
        <v>1.1148293660100548</v>
      </c>
      <c r="G700" s="306">
        <f t="shared" ca="1" si="301"/>
        <v>7.2787004667365318</v>
      </c>
      <c r="H700" s="307">
        <f t="shared" ca="1" si="302"/>
        <v>-98.48814180517823</v>
      </c>
      <c r="I700" s="304">
        <f t="shared" ca="1" si="303"/>
        <v>98.75673929773788</v>
      </c>
      <c r="J700" s="306">
        <f t="shared" ca="1" si="304"/>
        <v>678.53524446899166</v>
      </c>
      <c r="K700" s="307">
        <f t="shared" ca="1" si="305"/>
        <v>-6.0222673730390124</v>
      </c>
      <c r="L700" s="304">
        <f t="shared" ca="1" si="290"/>
        <v>678.56196893939364</v>
      </c>
      <c r="M700" s="306">
        <f t="shared" ca="1" si="306"/>
        <v>-1.4970261056530945</v>
      </c>
      <c r="N700" s="304">
        <f t="shared" ca="1" si="307"/>
        <v>-85.77327767482798</v>
      </c>
      <c r="P700" s="310">
        <f t="shared" ca="1" si="308"/>
        <v>23</v>
      </c>
      <c r="Q700" s="304">
        <f t="shared" ca="1" si="309"/>
        <v>0</v>
      </c>
      <c r="R700" s="306">
        <f t="shared" ca="1" si="310"/>
        <v>0</v>
      </c>
      <c r="S700" s="307">
        <f t="shared" ca="1" si="311"/>
        <v>4.341000000000002</v>
      </c>
      <c r="T700" s="304">
        <f t="shared" ca="1" si="291"/>
        <v>42.585210000000025</v>
      </c>
      <c r="U700" s="311">
        <f t="shared" ca="1" si="292"/>
        <v>0</v>
      </c>
      <c r="V700" s="306">
        <f t="shared" ca="1" si="293"/>
        <v>1.2257379499597956</v>
      </c>
      <c r="W700" s="304">
        <f t="shared" ca="1" si="294"/>
        <v>38.785869846351709</v>
      </c>
      <c r="Y700" s="314" t="str">
        <f t="shared" ca="1" si="312"/>
        <v/>
      </c>
      <c r="Z700" s="315" t="str">
        <f t="shared" ca="1" si="313"/>
        <v/>
      </c>
      <c r="AA700" s="316" t="str">
        <f t="shared" ca="1" si="314"/>
        <v/>
      </c>
      <c r="AC700" s="310" t="e">
        <f t="shared" ca="1" si="315"/>
        <v>#N/A</v>
      </c>
      <c r="AD700" s="323" t="e">
        <f t="shared" ca="1" si="316"/>
        <v>#N/A</v>
      </c>
      <c r="AE700" s="324" t="e">
        <f t="shared" ca="1" si="295"/>
        <v>#N/A</v>
      </c>
      <c r="AG700" s="306">
        <f t="shared" ca="1" si="317"/>
        <v>0.84856482906154618</v>
      </c>
      <c r="AH700" s="304">
        <f t="shared" ca="1" si="318"/>
        <v>-8.9347535115528434</v>
      </c>
    </row>
    <row r="701" spans="1:34" x14ac:dyDescent="0.2">
      <c r="A701" s="347">
        <f t="shared" ca="1" si="296"/>
        <v>1E-4</v>
      </c>
      <c r="B701" s="304">
        <f t="shared" ca="1" si="297"/>
        <v>28.632100000000065</v>
      </c>
      <c r="D701" s="306">
        <f t="shared" ca="1" si="298"/>
        <v>-0.65852285957612022</v>
      </c>
      <c r="E701" s="307">
        <f t="shared" ca="1" si="299"/>
        <v>-0.89952304435691133</v>
      </c>
      <c r="F701" s="304">
        <f t="shared" ca="1" si="300"/>
        <v>1.1148067383692279</v>
      </c>
      <c r="G701" s="306">
        <f t="shared" ca="1" si="301"/>
        <v>7.2786346144505742</v>
      </c>
      <c r="H701" s="307">
        <f t="shared" ca="1" si="302"/>
        <v>-98.488231757482666</v>
      </c>
      <c r="I701" s="304">
        <f t="shared" ca="1" si="303"/>
        <v>98.7568241518848</v>
      </c>
      <c r="J701" s="306">
        <f t="shared" ca="1" si="304"/>
        <v>678.53524446899166</v>
      </c>
      <c r="K701" s="307">
        <f t="shared" ca="1" si="305"/>
        <v>-6.0321161917171455</v>
      </c>
      <c r="L701" s="304">
        <f t="shared" ca="1" si="290"/>
        <v>678.56205641956183</v>
      </c>
      <c r="M701" s="306">
        <f t="shared" ca="1" si="306"/>
        <v>-1.4970268377844338</v>
      </c>
      <c r="N701" s="304">
        <f t="shared" ca="1" si="307"/>
        <v>-85.773319622863781</v>
      </c>
      <c r="P701" s="310">
        <f t="shared" ca="1" si="308"/>
        <v>23</v>
      </c>
      <c r="Q701" s="304">
        <f t="shared" ca="1" si="309"/>
        <v>0</v>
      </c>
      <c r="R701" s="306">
        <f t="shared" ca="1" si="310"/>
        <v>0</v>
      </c>
      <c r="S701" s="307">
        <f t="shared" ca="1" si="311"/>
        <v>4.341000000000002</v>
      </c>
      <c r="T701" s="304">
        <f t="shared" ca="1" si="291"/>
        <v>42.585210000000025</v>
      </c>
      <c r="U701" s="311">
        <f t="shared" ca="1" si="292"/>
        <v>0</v>
      </c>
      <c r="V701" s="306">
        <f t="shared" ca="1" si="293"/>
        <v>1.2257391571675813</v>
      </c>
      <c r="W701" s="304">
        <f t="shared" ca="1" si="294"/>
        <v>38.785974697457959</v>
      </c>
      <c r="Y701" s="314" t="str">
        <f t="shared" ca="1" si="312"/>
        <v/>
      </c>
      <c r="Z701" s="315" t="str">
        <f t="shared" ca="1" si="313"/>
        <v/>
      </c>
      <c r="AA701" s="316" t="str">
        <f t="shared" ca="1" si="314"/>
        <v/>
      </c>
      <c r="AC701" s="310" t="e">
        <f t="shared" ca="1" si="315"/>
        <v>#N/A</v>
      </c>
      <c r="AD701" s="323" t="e">
        <f t="shared" ca="1" si="316"/>
        <v>#N/A</v>
      </c>
      <c r="AE701" s="324" t="e">
        <f t="shared" ca="1" si="295"/>
        <v>#N/A</v>
      </c>
      <c r="AG701" s="306">
        <f t="shared" ca="1" si="317"/>
        <v>0.84854120437950797</v>
      </c>
      <c r="AH701" s="304">
        <f t="shared" ca="1" si="318"/>
        <v>-8.9347776655958739</v>
      </c>
    </row>
    <row r="702" spans="1:34" x14ac:dyDescent="0.2">
      <c r="A702" s="347">
        <f t="shared" ca="1" si="296"/>
        <v>1E-4</v>
      </c>
      <c r="B702" s="304">
        <f t="shared" ca="1" si="297"/>
        <v>28.632200000000065</v>
      </c>
      <c r="D702" s="306">
        <f t="shared" ca="1" si="298"/>
        <v>-0.65851811612519262</v>
      </c>
      <c r="E702" s="307">
        <f t="shared" ca="1" si="299"/>
        <v>-0.89949847424996499</v>
      </c>
      <c r="F702" s="304">
        <f t="shared" ca="1" si="300"/>
        <v>1.11478411113681</v>
      </c>
      <c r="G702" s="306">
        <f t="shared" ca="1" si="301"/>
        <v>7.2785687626389617</v>
      </c>
      <c r="H702" s="307">
        <f t="shared" ca="1" si="302"/>
        <v>-98.488321707330087</v>
      </c>
      <c r="I702" s="304">
        <f t="shared" ca="1" si="303"/>
        <v>98.756909003669264</v>
      </c>
      <c r="J702" s="306">
        <f t="shared" ca="1" si="304"/>
        <v>678.53524446899166</v>
      </c>
      <c r="K702" s="307">
        <f t="shared" ca="1" si="305"/>
        <v>-6.0419650193903864</v>
      </c>
      <c r="L702" s="304">
        <f t="shared" ca="1" si="290"/>
        <v>678.56214404274704</v>
      </c>
      <c r="M702" s="306">
        <f t="shared" ca="1" si="306"/>
        <v>-1.4970275699078912</v>
      </c>
      <c r="N702" s="304">
        <f t="shared" ca="1" si="307"/>
        <v>-85.773361570447975</v>
      </c>
      <c r="P702" s="310">
        <f t="shared" ca="1" si="308"/>
        <v>23</v>
      </c>
      <c r="Q702" s="304">
        <f t="shared" ca="1" si="309"/>
        <v>0</v>
      </c>
      <c r="R702" s="306">
        <f t="shared" ca="1" si="310"/>
        <v>0</v>
      </c>
      <c r="S702" s="307">
        <f t="shared" ca="1" si="311"/>
        <v>4.341000000000002</v>
      </c>
      <c r="T702" s="304">
        <f t="shared" ca="1" si="291"/>
        <v>42.585210000000025</v>
      </c>
      <c r="U702" s="311">
        <f t="shared" ca="1" si="292"/>
        <v>0</v>
      </c>
      <c r="V702" s="306">
        <f t="shared" ca="1" si="293"/>
        <v>1.225740364377659</v>
      </c>
      <c r="W702" s="304">
        <f t="shared" ca="1" si="294"/>
        <v>38.786079546969603</v>
      </c>
      <c r="Y702" s="314" t="str">
        <f t="shared" ca="1" si="312"/>
        <v/>
      </c>
      <c r="Z702" s="315" t="str">
        <f t="shared" ca="1" si="313"/>
        <v/>
      </c>
      <c r="AA702" s="316" t="str">
        <f t="shared" ca="1" si="314"/>
        <v/>
      </c>
      <c r="AC702" s="310" t="e">
        <f t="shared" ca="1" si="315"/>
        <v>#N/A</v>
      </c>
      <c r="AD702" s="323" t="e">
        <f t="shared" ca="1" si="316"/>
        <v>#N/A</v>
      </c>
      <c r="AE702" s="324" t="e">
        <f t="shared" ca="1" si="295"/>
        <v>#N/A</v>
      </c>
      <c r="AG702" s="306">
        <f t="shared" ca="1" si="317"/>
        <v>0.84851758005385136</v>
      </c>
      <c r="AH702" s="304">
        <f t="shared" ca="1" si="318"/>
        <v>-8.9348018192715823</v>
      </c>
    </row>
    <row r="703" spans="1:34" x14ac:dyDescent="0.2">
      <c r="A703" s="347">
        <f t="shared" ca="1" si="296"/>
        <v>1E-4</v>
      </c>
      <c r="B703" s="304">
        <f t="shared" ca="1" si="297"/>
        <v>28.632300000000065</v>
      </c>
      <c r="D703" s="306">
        <f t="shared" ca="1" si="298"/>
        <v>-0.65851337268179955</v>
      </c>
      <c r="E703" s="307">
        <f t="shared" ca="1" si="299"/>
        <v>-0.89947390451671616</v>
      </c>
      <c r="F703" s="304">
        <f t="shared" ca="1" si="300"/>
        <v>1.1147614843128126</v>
      </c>
      <c r="G703" s="306">
        <f t="shared" ca="1" si="301"/>
        <v>7.2785029113016932</v>
      </c>
      <c r="H703" s="307">
        <f t="shared" ca="1" si="302"/>
        <v>-98.488411654720537</v>
      </c>
      <c r="I703" s="304">
        <f t="shared" ca="1" si="303"/>
        <v>98.75699385309133</v>
      </c>
      <c r="J703" s="306">
        <f t="shared" ca="1" si="304"/>
        <v>678.53524446899166</v>
      </c>
      <c r="K703" s="307">
        <f t="shared" ca="1" si="305"/>
        <v>-6.0518138560584891</v>
      </c>
      <c r="L703" s="304">
        <f t="shared" ca="1" si="290"/>
        <v>678.5622318089496</v>
      </c>
      <c r="M703" s="306">
        <f t="shared" ca="1" si="306"/>
        <v>-1.4970283020234672</v>
      </c>
      <c r="N703" s="304">
        <f t="shared" ca="1" si="307"/>
        <v>-85.77340351758059</v>
      </c>
      <c r="P703" s="310">
        <f t="shared" ca="1" si="308"/>
        <v>23</v>
      </c>
      <c r="Q703" s="304">
        <f t="shared" ca="1" si="309"/>
        <v>0</v>
      </c>
      <c r="R703" s="306">
        <f t="shared" ca="1" si="310"/>
        <v>0</v>
      </c>
      <c r="S703" s="307">
        <f t="shared" ca="1" si="311"/>
        <v>4.341000000000002</v>
      </c>
      <c r="T703" s="304">
        <f t="shared" ca="1" si="291"/>
        <v>42.585210000000025</v>
      </c>
      <c r="U703" s="311">
        <f t="shared" ca="1" si="292"/>
        <v>0</v>
      </c>
      <c r="V703" s="306">
        <f t="shared" ca="1" si="293"/>
        <v>1.2257415715900284</v>
      </c>
      <c r="W703" s="304">
        <f t="shared" ca="1" si="294"/>
        <v>38.786184394886689</v>
      </c>
      <c r="Y703" s="314" t="str">
        <f t="shared" ca="1" si="312"/>
        <v/>
      </c>
      <c r="Z703" s="315" t="str">
        <f t="shared" ca="1" si="313"/>
        <v/>
      </c>
      <c r="AA703" s="316" t="str">
        <f t="shared" ca="1" si="314"/>
        <v/>
      </c>
      <c r="AC703" s="310" t="e">
        <f t="shared" ca="1" si="315"/>
        <v>#N/A</v>
      </c>
      <c r="AD703" s="323" t="e">
        <f t="shared" ca="1" si="316"/>
        <v>#N/A</v>
      </c>
      <c r="AE703" s="324" t="e">
        <f t="shared" ca="1" si="295"/>
        <v>#N/A</v>
      </c>
      <c r="AG703" s="306">
        <f t="shared" ca="1" si="317"/>
        <v>0.84849395608458877</v>
      </c>
      <c r="AH703" s="304">
        <f t="shared" ca="1" si="318"/>
        <v>-8.9348259725799544</v>
      </c>
    </row>
    <row r="704" spans="1:34" x14ac:dyDescent="0.2">
      <c r="A704" s="347">
        <f t="shared" ca="1" si="296"/>
        <v>1E-4</v>
      </c>
      <c r="B704" s="304">
        <f t="shared" ca="1" si="297"/>
        <v>28.632400000000064</v>
      </c>
      <c r="D704" s="306">
        <f t="shared" ca="1" si="298"/>
        <v>-0.65850862924593923</v>
      </c>
      <c r="E704" s="307">
        <f t="shared" ca="1" si="299"/>
        <v>-0.89944933515715242</v>
      </c>
      <c r="F704" s="304">
        <f t="shared" ca="1" si="300"/>
        <v>1.1147388578972248</v>
      </c>
      <c r="G704" s="306">
        <f t="shared" ca="1" si="301"/>
        <v>7.2784370604387689</v>
      </c>
      <c r="H704" s="307">
        <f t="shared" ca="1" si="302"/>
        <v>-98.488501599654057</v>
      </c>
      <c r="I704" s="304">
        <f t="shared" ca="1" si="303"/>
        <v>98.757078700151055</v>
      </c>
      <c r="J704" s="306">
        <f t="shared" ca="1" si="304"/>
        <v>678.53524446899166</v>
      </c>
      <c r="K704" s="307">
        <f t="shared" ca="1" si="305"/>
        <v>-6.0616627017212075</v>
      </c>
      <c r="L704" s="304">
        <f t="shared" ca="1" si="290"/>
        <v>678.56231971816987</v>
      </c>
      <c r="M704" s="306">
        <f t="shared" ca="1" si="306"/>
        <v>-1.4970290341311612</v>
      </c>
      <c r="N704" s="304">
        <f t="shared" ca="1" si="307"/>
        <v>-85.773445464261599</v>
      </c>
      <c r="P704" s="310">
        <f t="shared" ca="1" si="308"/>
        <v>23</v>
      </c>
      <c r="Q704" s="304">
        <f t="shared" ca="1" si="309"/>
        <v>0</v>
      </c>
      <c r="R704" s="306">
        <f t="shared" ca="1" si="310"/>
        <v>0</v>
      </c>
      <c r="S704" s="307">
        <f t="shared" ca="1" si="311"/>
        <v>4.341000000000002</v>
      </c>
      <c r="T704" s="304">
        <f t="shared" ca="1" si="291"/>
        <v>42.585210000000025</v>
      </c>
      <c r="U704" s="311">
        <f t="shared" ca="1" si="292"/>
        <v>0</v>
      </c>
      <c r="V704" s="306">
        <f t="shared" ca="1" si="293"/>
        <v>1.22574277880469</v>
      </c>
      <c r="W704" s="304">
        <f t="shared" ca="1" si="294"/>
        <v>38.786289241209253</v>
      </c>
      <c r="Y704" s="314" t="str">
        <f t="shared" ca="1" si="312"/>
        <v/>
      </c>
      <c r="Z704" s="315" t="str">
        <f t="shared" ca="1" si="313"/>
        <v/>
      </c>
      <c r="AA704" s="316" t="str">
        <f t="shared" ca="1" si="314"/>
        <v/>
      </c>
      <c r="AC704" s="310" t="e">
        <f t="shared" ca="1" si="315"/>
        <v>#N/A</v>
      </c>
      <c r="AD704" s="323" t="e">
        <f t="shared" ca="1" si="316"/>
        <v>#N/A</v>
      </c>
      <c r="AE704" s="324" t="e">
        <f t="shared" ca="1" si="295"/>
        <v>#N/A</v>
      </c>
      <c r="AG704" s="306">
        <f t="shared" ca="1" si="317"/>
        <v>0.848470332471706</v>
      </c>
      <c r="AH704" s="304">
        <f t="shared" ca="1" si="318"/>
        <v>-8.9348501255210024</v>
      </c>
    </row>
    <row r="705" spans="1:34" x14ac:dyDescent="0.2">
      <c r="A705" s="347">
        <f t="shared" ca="1" si="296"/>
        <v>1E-4</v>
      </c>
      <c r="B705" s="304">
        <f t="shared" ca="1" si="297"/>
        <v>28.632500000000064</v>
      </c>
      <c r="D705" s="306">
        <f t="shared" ca="1" si="298"/>
        <v>-0.65850388581761787</v>
      </c>
      <c r="E705" s="307">
        <f t="shared" ca="1" si="299"/>
        <v>-0.89942476617126665</v>
      </c>
      <c r="F705" s="304">
        <f t="shared" ca="1" si="300"/>
        <v>1.1147162318900448</v>
      </c>
      <c r="G705" s="306">
        <f t="shared" ca="1" si="301"/>
        <v>7.2783712100501869</v>
      </c>
      <c r="H705" s="307">
        <f t="shared" ca="1" si="302"/>
        <v>-98.488591542130678</v>
      </c>
      <c r="I705" s="304">
        <f t="shared" ca="1" si="303"/>
        <v>98.757163544848439</v>
      </c>
      <c r="J705" s="306">
        <f t="shared" ca="1" si="304"/>
        <v>678.53524446899166</v>
      </c>
      <c r="K705" s="307">
        <f t="shared" ca="1" si="305"/>
        <v>-6.0715115563782964</v>
      </c>
      <c r="L705" s="304">
        <f t="shared" ca="1" si="290"/>
        <v>678.56240777040807</v>
      </c>
      <c r="M705" s="306">
        <f t="shared" ca="1" si="306"/>
        <v>-1.4970297662309737</v>
      </c>
      <c r="N705" s="304">
        <f t="shared" ca="1" si="307"/>
        <v>-85.773487410491043</v>
      </c>
      <c r="P705" s="310">
        <f t="shared" ca="1" si="308"/>
        <v>23</v>
      </c>
      <c r="Q705" s="304">
        <f t="shared" ca="1" si="309"/>
        <v>0</v>
      </c>
      <c r="R705" s="306">
        <f t="shared" ca="1" si="310"/>
        <v>0</v>
      </c>
      <c r="S705" s="307">
        <f t="shared" ca="1" si="311"/>
        <v>4.341000000000002</v>
      </c>
      <c r="T705" s="304">
        <f t="shared" ca="1" si="291"/>
        <v>42.585210000000025</v>
      </c>
      <c r="U705" s="311">
        <f t="shared" ca="1" si="292"/>
        <v>0</v>
      </c>
      <c r="V705" s="306">
        <f t="shared" ca="1" si="293"/>
        <v>1.225743986021643</v>
      </c>
      <c r="W705" s="304">
        <f t="shared" ca="1" si="294"/>
        <v>38.786394085937275</v>
      </c>
      <c r="Y705" s="314" t="str">
        <f t="shared" ca="1" si="312"/>
        <v/>
      </c>
      <c r="Z705" s="315" t="str">
        <f t="shared" ca="1" si="313"/>
        <v/>
      </c>
      <c r="AA705" s="316" t="str">
        <f t="shared" ca="1" si="314"/>
        <v/>
      </c>
      <c r="AC705" s="310" t="e">
        <f t="shared" ca="1" si="315"/>
        <v>#N/A</v>
      </c>
      <c r="AD705" s="323" t="e">
        <f t="shared" ca="1" si="316"/>
        <v>#N/A</v>
      </c>
      <c r="AE705" s="324" t="e">
        <f t="shared" ca="1" si="295"/>
        <v>#N/A</v>
      </c>
      <c r="AG705" s="306">
        <f t="shared" ca="1" si="317"/>
        <v>0.84844670921519771</v>
      </c>
      <c r="AH705" s="304">
        <f t="shared" ca="1" si="318"/>
        <v>-8.9348742780947337</v>
      </c>
    </row>
    <row r="706" spans="1:34" x14ac:dyDescent="0.2">
      <c r="A706" s="347">
        <f t="shared" ca="1" si="296"/>
        <v>1E-4</v>
      </c>
      <c r="B706" s="304">
        <f t="shared" ca="1" si="297"/>
        <v>28.632600000000064</v>
      </c>
      <c r="D706" s="306">
        <f t="shared" ca="1" si="298"/>
        <v>-0.65849914239683205</v>
      </c>
      <c r="E706" s="307">
        <f t="shared" ca="1" si="299"/>
        <v>-0.8994001975590642</v>
      </c>
      <c r="F706" s="304">
        <f t="shared" ca="1" si="300"/>
        <v>1.1146936062912745</v>
      </c>
      <c r="G706" s="306">
        <f t="shared" ca="1" si="301"/>
        <v>7.2783053601359473</v>
      </c>
      <c r="H706" s="307">
        <f t="shared" ca="1" si="302"/>
        <v>-98.48868148215044</v>
      </c>
      <c r="I706" s="304">
        <f t="shared" ca="1" si="303"/>
        <v>98.757248387183537</v>
      </c>
      <c r="J706" s="306">
        <f t="shared" ca="1" si="304"/>
        <v>678.53524446899166</v>
      </c>
      <c r="K706" s="307">
        <f t="shared" ca="1" si="305"/>
        <v>-6.0813604200295108</v>
      </c>
      <c r="L706" s="304">
        <f t="shared" ca="1" si="290"/>
        <v>678.56249596566465</v>
      </c>
      <c r="M706" s="306">
        <f t="shared" ca="1" si="306"/>
        <v>-1.4970304983229048</v>
      </c>
      <c r="N706" s="304">
        <f t="shared" ca="1" si="307"/>
        <v>-85.773529356268909</v>
      </c>
      <c r="P706" s="310">
        <f t="shared" ca="1" si="308"/>
        <v>23</v>
      </c>
      <c r="Q706" s="304">
        <f t="shared" ca="1" si="309"/>
        <v>0</v>
      </c>
      <c r="R706" s="306">
        <f t="shared" ca="1" si="310"/>
        <v>0</v>
      </c>
      <c r="S706" s="307">
        <f t="shared" ca="1" si="311"/>
        <v>4.341000000000002</v>
      </c>
      <c r="T706" s="304">
        <f t="shared" ca="1" si="291"/>
        <v>42.585210000000025</v>
      </c>
      <c r="U706" s="311">
        <f t="shared" ca="1" si="292"/>
        <v>0</v>
      </c>
      <c r="V706" s="306">
        <f t="shared" ca="1" si="293"/>
        <v>1.2257451932408878</v>
      </c>
      <c r="W706" s="304">
        <f t="shared" ca="1" si="294"/>
        <v>38.786498929070781</v>
      </c>
      <c r="Y706" s="314" t="str">
        <f t="shared" ca="1" si="312"/>
        <v/>
      </c>
      <c r="Z706" s="315" t="str">
        <f t="shared" ca="1" si="313"/>
        <v/>
      </c>
      <c r="AA706" s="316" t="str">
        <f t="shared" ca="1" si="314"/>
        <v/>
      </c>
      <c r="AC706" s="310" t="e">
        <f t="shared" ca="1" si="315"/>
        <v>#N/A</v>
      </c>
      <c r="AD706" s="323" t="e">
        <f t="shared" ca="1" si="316"/>
        <v>#N/A</v>
      </c>
      <c r="AE706" s="324" t="e">
        <f t="shared" ca="1" si="295"/>
        <v>#N/A</v>
      </c>
      <c r="AG706" s="306">
        <f t="shared" ca="1" si="317"/>
        <v>0.84842308631507102</v>
      </c>
      <c r="AH706" s="304">
        <f t="shared" ca="1" si="318"/>
        <v>-8.9348984303011427</v>
      </c>
    </row>
    <row r="707" spans="1:34" x14ac:dyDescent="0.2">
      <c r="A707" s="347">
        <f t="shared" ca="1" si="296"/>
        <v>1E-4</v>
      </c>
      <c r="B707" s="304">
        <f t="shared" ca="1" si="297"/>
        <v>28.632700000000064</v>
      </c>
      <c r="D707" s="306">
        <f t="shared" ca="1" si="298"/>
        <v>-0.65849439898358397</v>
      </c>
      <c r="E707" s="307">
        <f t="shared" ca="1" si="299"/>
        <v>-0.89937562932053794</v>
      </c>
      <c r="F707" s="304">
        <f t="shared" ca="1" si="300"/>
        <v>1.1146709811009099</v>
      </c>
      <c r="G707" s="306">
        <f t="shared" ca="1" si="301"/>
        <v>7.2782395106960491</v>
      </c>
      <c r="H707" s="307">
        <f t="shared" ca="1" si="302"/>
        <v>-98.488771419713373</v>
      </c>
      <c r="I707" s="304">
        <f t="shared" ca="1" si="303"/>
        <v>98.757333227156394</v>
      </c>
      <c r="J707" s="306">
        <f t="shared" ca="1" si="304"/>
        <v>678.53524446899166</v>
      </c>
      <c r="K707" s="307">
        <f t="shared" ca="1" si="305"/>
        <v>-6.0912092926746038</v>
      </c>
      <c r="L707" s="304">
        <f t="shared" ca="1" si="290"/>
        <v>678.56258430393984</v>
      </c>
      <c r="M707" s="306">
        <f t="shared" ca="1" si="306"/>
        <v>-1.4970312304069544</v>
      </c>
      <c r="N707" s="304">
        <f t="shared" ca="1" si="307"/>
        <v>-85.773571301595197</v>
      </c>
      <c r="P707" s="310">
        <f t="shared" ca="1" si="308"/>
        <v>23</v>
      </c>
      <c r="Q707" s="304">
        <f t="shared" ca="1" si="309"/>
        <v>0</v>
      </c>
      <c r="R707" s="306">
        <f t="shared" ca="1" si="310"/>
        <v>0</v>
      </c>
      <c r="S707" s="307">
        <f t="shared" ca="1" si="311"/>
        <v>4.341000000000002</v>
      </c>
      <c r="T707" s="304">
        <f t="shared" ca="1" si="291"/>
        <v>42.585210000000025</v>
      </c>
      <c r="U707" s="311">
        <f t="shared" ca="1" si="292"/>
        <v>0</v>
      </c>
      <c r="V707" s="306">
        <f t="shared" ca="1" si="293"/>
        <v>1.2257464004624241</v>
      </c>
      <c r="W707" s="304">
        <f t="shared" ca="1" si="294"/>
        <v>38.786603770609794</v>
      </c>
      <c r="Y707" s="314" t="str">
        <f t="shared" ca="1" si="312"/>
        <v/>
      </c>
      <c r="Z707" s="315" t="str">
        <f t="shared" ca="1" si="313"/>
        <v/>
      </c>
      <c r="AA707" s="316" t="str">
        <f t="shared" ca="1" si="314"/>
        <v/>
      </c>
      <c r="AC707" s="310" t="e">
        <f t="shared" ca="1" si="315"/>
        <v>#N/A</v>
      </c>
      <c r="AD707" s="323" t="e">
        <f t="shared" ca="1" si="316"/>
        <v>#N/A</v>
      </c>
      <c r="AE707" s="324" t="e">
        <f t="shared" ca="1" si="295"/>
        <v>#N/A</v>
      </c>
      <c r="AG707" s="306">
        <f t="shared" ca="1" si="317"/>
        <v>0.84839946377131881</v>
      </c>
      <c r="AH707" s="304">
        <f t="shared" ca="1" si="318"/>
        <v>-8.9349225821402349</v>
      </c>
    </row>
    <row r="708" spans="1:34" x14ac:dyDescent="0.2">
      <c r="A708" s="347">
        <f t="shared" ca="1" si="296"/>
        <v>1E-4</v>
      </c>
      <c r="B708" s="304">
        <f t="shared" ca="1" si="297"/>
        <v>28.632800000000064</v>
      </c>
      <c r="D708" s="306">
        <f t="shared" ca="1" si="298"/>
        <v>-0.65848965557787542</v>
      </c>
      <c r="E708" s="307">
        <f t="shared" ca="1" si="299"/>
        <v>-0.89935106145568078</v>
      </c>
      <c r="F708" s="304">
        <f t="shared" ca="1" si="300"/>
        <v>1.1146483563189464</v>
      </c>
      <c r="G708" s="306">
        <f t="shared" ca="1" si="301"/>
        <v>7.2781736617304915</v>
      </c>
      <c r="H708" s="307">
        <f t="shared" ca="1" si="302"/>
        <v>-98.48886135481952</v>
      </c>
      <c r="I708" s="304">
        <f t="shared" ca="1" si="303"/>
        <v>98.757418064767009</v>
      </c>
      <c r="J708" s="306">
        <f t="shared" ca="1" si="304"/>
        <v>678.53524446899166</v>
      </c>
      <c r="K708" s="307">
        <f t="shared" ca="1" si="305"/>
        <v>-6.1010581743133301</v>
      </c>
      <c r="L708" s="304">
        <f t="shared" ref="L708:L771" ca="1" si="319">SQRT(pos_x^2+pos_z^2)</f>
        <v>678.5626727852341</v>
      </c>
      <c r="M708" s="306">
        <f t="shared" ca="1" si="306"/>
        <v>-1.497031962483123</v>
      </c>
      <c r="N708" s="304">
        <f t="shared" ca="1" si="307"/>
        <v>-85.773613246469935</v>
      </c>
      <c r="P708" s="310">
        <f t="shared" ca="1" si="308"/>
        <v>23</v>
      </c>
      <c r="Q708" s="304">
        <f t="shared" ca="1" si="309"/>
        <v>0</v>
      </c>
      <c r="R708" s="306">
        <f t="shared" ca="1" si="310"/>
        <v>0</v>
      </c>
      <c r="S708" s="307">
        <f t="shared" ca="1" si="311"/>
        <v>4.341000000000002</v>
      </c>
      <c r="T708" s="304">
        <f t="shared" ref="T708:T771" ca="1" si="320">m*g</f>
        <v>42.585210000000025</v>
      </c>
      <c r="U708" s="311">
        <f t="shared" ref="U708:U771" ca="1" si="321">IF(pos_xz&lt;L_rampe,Poids*COS(Beta),0)</f>
        <v>0</v>
      </c>
      <c r="V708" s="306">
        <f t="shared" ref="V708:V771" ca="1" si="322">Rho_moyen*(20000-Alt_rampe-pos_z)/(20000+Alt_rampe+pos_z)</f>
        <v>1.2257476076862528</v>
      </c>
      <c r="W708" s="304">
        <f t="shared" ref="W708:W771" ca="1" si="323">1/2*Rho*Sref*Cx*vit_xz^2</f>
        <v>38.786708610554342</v>
      </c>
      <c r="Y708" s="314" t="str">
        <f t="shared" ca="1" si="312"/>
        <v/>
      </c>
      <c r="Z708" s="315" t="str">
        <f t="shared" ca="1" si="313"/>
        <v/>
      </c>
      <c r="AA708" s="316" t="str">
        <f t="shared" ca="1" si="314"/>
        <v/>
      </c>
      <c r="AC708" s="310" t="e">
        <f t="shared" ca="1" si="315"/>
        <v>#N/A</v>
      </c>
      <c r="AD708" s="323" t="e">
        <f t="shared" ca="1" si="316"/>
        <v>#N/A</v>
      </c>
      <c r="AE708" s="324" t="e">
        <f t="shared" ref="AE708:AE771" ca="1" si="324">IF(t&lt;T_para, pos_z, NA())</f>
        <v>#N/A</v>
      </c>
      <c r="AG708" s="306">
        <f t="shared" ca="1" si="317"/>
        <v>0.8483758415839322</v>
      </c>
      <c r="AH708" s="304">
        <f t="shared" ca="1" si="318"/>
        <v>-8.9349467336120192</v>
      </c>
    </row>
    <row r="709" spans="1:34" x14ac:dyDescent="0.2">
      <c r="A709" s="347">
        <f t="shared" ref="A709:A772" ca="1" si="325">IF(B708+0.01&lt;=T_ini+ROUNDUP(Temps_fin_propu,0), 0.01, IF(K708&gt;0, 0.1, 0.0001))</f>
        <v>1E-4</v>
      </c>
      <c r="B709" s="304">
        <f t="shared" ref="B709:B772" ca="1" si="326">B708+pas</f>
        <v>28.632900000000063</v>
      </c>
      <c r="D709" s="306">
        <f t="shared" ref="D709:D772" ca="1" si="327">IF(AND(L708&lt;L_rampe,Poussee&lt;Poids*SIN(M708)),0,(-W708+Poussee)/m*COS(M708)-U708/m*SIN(M708))</f>
        <v>-0.65848491217970428</v>
      </c>
      <c r="E709" s="307">
        <f t="shared" ref="E709:E772" ca="1" si="328">IF(AND(L708&lt;L_rampe,Poussee&lt;Poids*SIN(M708)),0,(-W708+Poussee)/m*SIN(M708)+U708/m*COS(M708)-Poids/m)</f>
        <v>-0.89932649396448738</v>
      </c>
      <c r="F709" s="304">
        <f t="shared" ref="F709:F772" ca="1" si="329">SQRT(acc_x^2+acc_z^2)</f>
        <v>1.1146257319453781</v>
      </c>
      <c r="G709" s="306">
        <f t="shared" ref="G709:G772" ca="1" si="330">G708+acc_x*pas</f>
        <v>7.2781078132392736</v>
      </c>
      <c r="H709" s="307">
        <f t="shared" ref="H709:H772" ca="1" si="331">H708+acc_z*pas</f>
        <v>-98.488951287468922</v>
      </c>
      <c r="I709" s="304">
        <f t="shared" ref="I709:I772" ca="1" si="332">SQRT(vit_x^2+vit_z^2)</f>
        <v>98.757502900015453</v>
      </c>
      <c r="J709" s="306">
        <f t="shared" ref="J709:J772" ca="1" si="333">J708+0.5*(vit_x+G708)*pas*(K708&gt;=0)</f>
        <v>678.53524446899166</v>
      </c>
      <c r="K709" s="307">
        <f t="shared" ref="K709:K772" ca="1" si="334">K708+0.5*(vit_z+H708)*pas</f>
        <v>-6.1109070649454447</v>
      </c>
      <c r="L709" s="304">
        <f t="shared" ca="1" si="319"/>
        <v>678.56276140954765</v>
      </c>
      <c r="M709" s="306">
        <f t="shared" ref="M709:M772" ca="1" si="335">IF(AND(L708&gt;L_rampe,G709&gt;0),ATAN2(G709,H709),$M$4)</f>
        <v>-1.4970326945514105</v>
      </c>
      <c r="N709" s="304">
        <f t="shared" ref="N709:N772" ca="1" si="336">DEGREES(Beta)</f>
        <v>-85.773655190893138</v>
      </c>
      <c r="P709" s="310">
        <f t="shared" ref="P709:P772" ca="1" si="337">MATCH(t-pas/2-T_ini,CdP_t)</f>
        <v>23</v>
      </c>
      <c r="Q709" s="304">
        <f t="shared" ref="Q709:Q772" ca="1" si="338">(INDEX(CdP,2,i_P+1)-INDEX(CdP,2,i_P+0))/(INDEX(CdP,1,i_P+1)-INDEX(CdP,1,i_P+0))*(t-pas/2-T_ini-INDEX(CdP,1,i_P+0))+INDEX(CdP,2,i_P+0)</f>
        <v>0</v>
      </c>
      <c r="R709" s="306">
        <f t="shared" ref="R709:R772" ca="1" si="339">Poussee/(g*ISP)</f>
        <v>0</v>
      </c>
      <c r="S709" s="307">
        <f t="shared" ref="S709:S772" ca="1" si="340">S708-Débit*pas</f>
        <v>4.341000000000002</v>
      </c>
      <c r="T709" s="304">
        <f t="shared" ca="1" si="320"/>
        <v>42.585210000000025</v>
      </c>
      <c r="U709" s="311">
        <f t="shared" ca="1" si="321"/>
        <v>0</v>
      </c>
      <c r="V709" s="306">
        <f t="shared" ca="1" si="322"/>
        <v>1.225748814912373</v>
      </c>
      <c r="W709" s="304">
        <f t="shared" ca="1" si="323"/>
        <v>38.786813448904439</v>
      </c>
      <c r="Y709" s="314" t="str">
        <f t="shared" ref="Y709:Y772" ca="1" si="341">IF(AND(pos_z&lt;=0,K708&gt;0),"Impact balistique","") &amp; IF(AND(H710&lt;0,vit_z&gt;=0),"Apogée","") &amp; IF(AND(Poussee=0,Q708&gt;0),"Fin de propulsion","") &amp; IF(AND(L710&gt;L_rampe,pos_xz&lt;=L_rampe),"Sortie de rampe","")</f>
        <v/>
      </c>
      <c r="Z709" s="315" t="str">
        <f t="shared" ref="Z709:Z772" ca="1" si="342">IF(ABS(t-T_para)&lt;pas/2,"Para","")</f>
        <v/>
      </c>
      <c r="AA709" s="316" t="str">
        <f t="shared" ref="AA709:AA772" ca="1" si="343">IF(ABS(t-T_satellite)&lt;pas/2,"Satellite","")</f>
        <v/>
      </c>
      <c r="AC709" s="310" t="e">
        <f t="shared" ref="AC709:AC772" ca="1" si="344">IF(ABS(t-ROUND(t,0))&lt;0.001,t,NA())</f>
        <v>#N/A</v>
      </c>
      <c r="AD709" s="323" t="e">
        <f t="shared" ref="AD709:AD772" ca="1" si="345">IF(ABS(t-ROUND(t,0))&lt;0.001,pos_x,NA())</f>
        <v>#N/A</v>
      </c>
      <c r="AE709" s="324" t="e">
        <f t="shared" ca="1" si="324"/>
        <v>#N/A</v>
      </c>
      <c r="AG709" s="306">
        <f t="shared" ref="AG709:AG772" ca="1" si="346">IF(AND(L708&lt;L_rampe,Poussee&lt;Poids*SIN(M708)),0,(-W708+Poussee)/m-Poids*SIN(M708)/m)</f>
        <v>0.84835221975290942</v>
      </c>
      <c r="AH709" s="304">
        <f t="shared" ref="AH709:AH772" ca="1" si="347">IF(AND(L708&lt;L_rampe,Poussee&lt;Poids*SIN(M708)), g*SIN(M708), (-W708+Poussee)/m)</f>
        <v>-8.934970884716499</v>
      </c>
    </row>
    <row r="710" spans="1:34" x14ac:dyDescent="0.2">
      <c r="A710" s="347">
        <f t="shared" ca="1" si="325"/>
        <v>1E-4</v>
      </c>
      <c r="B710" s="304">
        <f t="shared" ca="1" si="326"/>
        <v>28.633000000000063</v>
      </c>
      <c r="D710" s="306">
        <f t="shared" ca="1" si="327"/>
        <v>-0.65848016878907212</v>
      </c>
      <c r="E710" s="307">
        <f t="shared" ca="1" si="328"/>
        <v>-0.8993019268469542</v>
      </c>
      <c r="F710" s="304">
        <f t="shared" ca="1" si="329"/>
        <v>1.1146031079802037</v>
      </c>
      <c r="G710" s="306">
        <f t="shared" ca="1" si="330"/>
        <v>7.2780419652223944</v>
      </c>
      <c r="H710" s="307">
        <f t="shared" ca="1" si="331"/>
        <v>-98.489041217661608</v>
      </c>
      <c r="I710" s="304">
        <f t="shared" ca="1" si="332"/>
        <v>98.75758773290174</v>
      </c>
      <c r="J710" s="306">
        <f t="shared" ca="1" si="333"/>
        <v>678.53524446899166</v>
      </c>
      <c r="K710" s="307">
        <f t="shared" ca="1" si="334"/>
        <v>-6.1207559645707015</v>
      </c>
      <c r="L710" s="304">
        <f t="shared" ca="1" si="319"/>
        <v>678.56285017688094</v>
      </c>
      <c r="M710" s="306">
        <f t="shared" ca="1" si="335"/>
        <v>-1.4970334266118168</v>
      </c>
      <c r="N710" s="304">
        <f t="shared" ca="1" si="336"/>
        <v>-85.773697134864761</v>
      </c>
      <c r="P710" s="310">
        <f t="shared" ca="1" si="337"/>
        <v>23</v>
      </c>
      <c r="Q710" s="304">
        <f t="shared" ca="1" si="338"/>
        <v>0</v>
      </c>
      <c r="R710" s="306">
        <f t="shared" ca="1" si="339"/>
        <v>0</v>
      </c>
      <c r="S710" s="307">
        <f t="shared" ca="1" si="340"/>
        <v>4.341000000000002</v>
      </c>
      <c r="T710" s="304">
        <f t="shared" ca="1" si="320"/>
        <v>42.585210000000025</v>
      </c>
      <c r="U710" s="311">
        <f t="shared" ca="1" si="321"/>
        <v>0</v>
      </c>
      <c r="V710" s="306">
        <f t="shared" ca="1" si="322"/>
        <v>1.2257500221407844</v>
      </c>
      <c r="W710" s="304">
        <f t="shared" ca="1" si="323"/>
        <v>38.786918285660079</v>
      </c>
      <c r="Y710" s="314" t="str">
        <f t="shared" ca="1" si="341"/>
        <v/>
      </c>
      <c r="Z710" s="315" t="str">
        <f t="shared" ca="1" si="342"/>
        <v/>
      </c>
      <c r="AA710" s="316" t="str">
        <f t="shared" ca="1" si="343"/>
        <v/>
      </c>
      <c r="AC710" s="310" t="e">
        <f t="shared" ca="1" si="344"/>
        <v>#N/A</v>
      </c>
      <c r="AD710" s="323" t="e">
        <f t="shared" ca="1" si="345"/>
        <v>#N/A</v>
      </c>
      <c r="AE710" s="324" t="e">
        <f t="shared" ca="1" si="324"/>
        <v>#N/A</v>
      </c>
      <c r="AG710" s="306">
        <f t="shared" ca="1" si="346"/>
        <v>0.84832859827824514</v>
      </c>
      <c r="AH710" s="304">
        <f t="shared" ca="1" si="347"/>
        <v>-8.9349950354536798</v>
      </c>
    </row>
    <row r="711" spans="1:34" x14ac:dyDescent="0.2">
      <c r="A711" s="347">
        <f t="shared" ca="1" si="325"/>
        <v>1E-4</v>
      </c>
      <c r="B711" s="304">
        <f t="shared" ca="1" si="326"/>
        <v>28.633100000000063</v>
      </c>
      <c r="D711" s="306">
        <f t="shared" ca="1" si="327"/>
        <v>-0.65847542540598214</v>
      </c>
      <c r="E711" s="307">
        <f t="shared" ca="1" si="328"/>
        <v>-0.89927736010308301</v>
      </c>
      <c r="F711" s="304">
        <f t="shared" ca="1" si="329"/>
        <v>1.1145804844234262</v>
      </c>
      <c r="G711" s="306">
        <f t="shared" ca="1" si="330"/>
        <v>7.2779761176798541</v>
      </c>
      <c r="H711" s="307">
        <f t="shared" ca="1" si="331"/>
        <v>-98.489131145397621</v>
      </c>
      <c r="I711" s="304">
        <f t="shared" ca="1" si="332"/>
        <v>98.757672563425928</v>
      </c>
      <c r="J711" s="306">
        <f t="shared" ca="1" si="333"/>
        <v>678.53524446899166</v>
      </c>
      <c r="K711" s="307">
        <f t="shared" ca="1" si="334"/>
        <v>-6.1306048731888545</v>
      </c>
      <c r="L711" s="304">
        <f t="shared" ca="1" si="319"/>
        <v>678.56293908723421</v>
      </c>
      <c r="M711" s="306">
        <f t="shared" ca="1" si="335"/>
        <v>-1.4970341586643423</v>
      </c>
      <c r="N711" s="304">
        <f t="shared" ca="1" si="336"/>
        <v>-85.77373907838485</v>
      </c>
      <c r="P711" s="310">
        <f t="shared" ca="1" si="337"/>
        <v>23</v>
      </c>
      <c r="Q711" s="304">
        <f t="shared" ca="1" si="338"/>
        <v>0</v>
      </c>
      <c r="R711" s="306">
        <f t="shared" ca="1" si="339"/>
        <v>0</v>
      </c>
      <c r="S711" s="307">
        <f t="shared" ca="1" si="340"/>
        <v>4.341000000000002</v>
      </c>
      <c r="T711" s="304">
        <f t="shared" ca="1" si="320"/>
        <v>42.585210000000025</v>
      </c>
      <c r="U711" s="311">
        <f t="shared" ca="1" si="321"/>
        <v>0</v>
      </c>
      <c r="V711" s="306">
        <f t="shared" ca="1" si="322"/>
        <v>1.2257512293714881</v>
      </c>
      <c r="W711" s="304">
        <f t="shared" ca="1" si="323"/>
        <v>38.787023120821317</v>
      </c>
      <c r="Y711" s="314" t="str">
        <f t="shared" ca="1" si="341"/>
        <v/>
      </c>
      <c r="Z711" s="315" t="str">
        <f t="shared" ca="1" si="342"/>
        <v/>
      </c>
      <c r="AA711" s="316" t="str">
        <f t="shared" ca="1" si="343"/>
        <v/>
      </c>
      <c r="AC711" s="310" t="e">
        <f t="shared" ca="1" si="344"/>
        <v>#N/A</v>
      </c>
      <c r="AD711" s="323" t="e">
        <f t="shared" ca="1" si="345"/>
        <v>#N/A</v>
      </c>
      <c r="AE711" s="324" t="e">
        <f t="shared" ca="1" si="324"/>
        <v>#N/A</v>
      </c>
      <c r="AG711" s="306">
        <f t="shared" ca="1" si="346"/>
        <v>0.84830497715994291</v>
      </c>
      <c r="AH711" s="304">
        <f t="shared" ca="1" si="347"/>
        <v>-8.9350191858235579</v>
      </c>
    </row>
    <row r="712" spans="1:34" x14ac:dyDescent="0.2">
      <c r="A712" s="347">
        <f t="shared" ca="1" si="325"/>
        <v>1E-4</v>
      </c>
      <c r="B712" s="304">
        <f t="shared" ca="1" si="326"/>
        <v>28.633200000000063</v>
      </c>
      <c r="D712" s="306">
        <f t="shared" ca="1" si="327"/>
        <v>-0.65847068203043269</v>
      </c>
      <c r="E712" s="307">
        <f t="shared" ca="1" si="328"/>
        <v>-0.89925279373286315</v>
      </c>
      <c r="F712" s="304">
        <f t="shared" ca="1" si="329"/>
        <v>1.114557861275036</v>
      </c>
      <c r="G712" s="306">
        <f t="shared" ca="1" si="330"/>
        <v>7.2779102706116507</v>
      </c>
      <c r="H712" s="307">
        <f t="shared" ca="1" si="331"/>
        <v>-98.48922107067699</v>
      </c>
      <c r="I712" s="304">
        <f t="shared" ca="1" si="332"/>
        <v>98.757757391588029</v>
      </c>
      <c r="J712" s="306">
        <f t="shared" ca="1" si="333"/>
        <v>678.53524446899166</v>
      </c>
      <c r="K712" s="307">
        <f t="shared" ca="1" si="334"/>
        <v>-6.1404537907996586</v>
      </c>
      <c r="L712" s="304">
        <f t="shared" ca="1" si="319"/>
        <v>678.56302814060768</v>
      </c>
      <c r="M712" s="306">
        <f t="shared" ca="1" si="335"/>
        <v>-1.497034890708987</v>
      </c>
      <c r="N712" s="304">
        <f t="shared" ca="1" si="336"/>
        <v>-85.773781021453416</v>
      </c>
      <c r="P712" s="310">
        <f t="shared" ca="1" si="337"/>
        <v>23</v>
      </c>
      <c r="Q712" s="304">
        <f t="shared" ca="1" si="338"/>
        <v>0</v>
      </c>
      <c r="R712" s="306">
        <f t="shared" ca="1" si="339"/>
        <v>0</v>
      </c>
      <c r="S712" s="307">
        <f t="shared" ca="1" si="340"/>
        <v>4.341000000000002</v>
      </c>
      <c r="T712" s="304">
        <f t="shared" ca="1" si="320"/>
        <v>42.585210000000025</v>
      </c>
      <c r="U712" s="311">
        <f t="shared" ca="1" si="321"/>
        <v>0</v>
      </c>
      <c r="V712" s="306">
        <f t="shared" ca="1" si="322"/>
        <v>1.225752436604483</v>
      </c>
      <c r="W712" s="304">
        <f t="shared" ca="1" si="323"/>
        <v>38.78712795438814</v>
      </c>
      <c r="Y712" s="314" t="str">
        <f t="shared" ca="1" si="341"/>
        <v/>
      </c>
      <c r="Z712" s="315" t="str">
        <f t="shared" ca="1" si="342"/>
        <v/>
      </c>
      <c r="AA712" s="316" t="str">
        <f t="shared" ca="1" si="343"/>
        <v/>
      </c>
      <c r="AC712" s="310" t="e">
        <f t="shared" ca="1" si="344"/>
        <v>#N/A</v>
      </c>
      <c r="AD712" s="323" t="e">
        <f t="shared" ca="1" si="345"/>
        <v>#N/A</v>
      </c>
      <c r="AE712" s="324" t="e">
        <f t="shared" ca="1" si="324"/>
        <v>#N/A</v>
      </c>
      <c r="AG712" s="306">
        <f t="shared" ca="1" si="346"/>
        <v>0.84828135639798674</v>
      </c>
      <c r="AH712" s="304">
        <f t="shared" ca="1" si="347"/>
        <v>-8.9350433358261458</v>
      </c>
    </row>
    <row r="713" spans="1:34" x14ac:dyDescent="0.2">
      <c r="A713" s="347">
        <f t="shared" ca="1" si="325"/>
        <v>1E-4</v>
      </c>
      <c r="B713" s="304">
        <f t="shared" ca="1" si="326"/>
        <v>28.633300000000062</v>
      </c>
      <c r="D713" s="306">
        <f t="shared" ca="1" si="327"/>
        <v>-0.65846593866242509</v>
      </c>
      <c r="E713" s="307">
        <f t="shared" ca="1" si="328"/>
        <v>-0.89922822773629463</v>
      </c>
      <c r="F713" s="304">
        <f t="shared" ca="1" si="329"/>
        <v>1.1145352385350344</v>
      </c>
      <c r="G713" s="306">
        <f t="shared" ca="1" si="330"/>
        <v>7.2778444240177844</v>
      </c>
      <c r="H713" s="307">
        <f t="shared" ca="1" si="331"/>
        <v>-98.489310993499757</v>
      </c>
      <c r="I713" s="304">
        <f t="shared" ca="1" si="332"/>
        <v>98.757842217388074</v>
      </c>
      <c r="J713" s="306">
        <f t="shared" ca="1" si="333"/>
        <v>678.53524446899166</v>
      </c>
      <c r="K713" s="307">
        <f t="shared" ca="1" si="334"/>
        <v>-6.1503027174028677</v>
      </c>
      <c r="L713" s="304">
        <f t="shared" ca="1" si="319"/>
        <v>678.56311733700204</v>
      </c>
      <c r="M713" s="306">
        <f t="shared" ca="1" si="335"/>
        <v>-1.4970356227457511</v>
      </c>
      <c r="N713" s="304">
        <f t="shared" ca="1" si="336"/>
        <v>-85.773822964070447</v>
      </c>
      <c r="P713" s="310">
        <f t="shared" ca="1" si="337"/>
        <v>23</v>
      </c>
      <c r="Q713" s="304">
        <f t="shared" ca="1" si="338"/>
        <v>0</v>
      </c>
      <c r="R713" s="306">
        <f t="shared" ca="1" si="339"/>
        <v>0</v>
      </c>
      <c r="S713" s="307">
        <f t="shared" ca="1" si="340"/>
        <v>4.341000000000002</v>
      </c>
      <c r="T713" s="304">
        <f t="shared" ca="1" si="320"/>
        <v>42.585210000000025</v>
      </c>
      <c r="U713" s="311">
        <f t="shared" ca="1" si="321"/>
        <v>0</v>
      </c>
      <c r="V713" s="306">
        <f t="shared" ca="1" si="322"/>
        <v>1.2257536438397698</v>
      </c>
      <c r="W713" s="304">
        <f t="shared" ca="1" si="323"/>
        <v>38.787232786360562</v>
      </c>
      <c r="Y713" s="314" t="str">
        <f t="shared" ca="1" si="341"/>
        <v/>
      </c>
      <c r="Z713" s="315" t="str">
        <f t="shared" ca="1" si="342"/>
        <v/>
      </c>
      <c r="AA713" s="316" t="str">
        <f t="shared" ca="1" si="343"/>
        <v/>
      </c>
      <c r="AC713" s="310" t="e">
        <f t="shared" ca="1" si="344"/>
        <v>#N/A</v>
      </c>
      <c r="AD713" s="323" t="e">
        <f t="shared" ca="1" si="345"/>
        <v>#N/A</v>
      </c>
      <c r="AE713" s="324" t="e">
        <f t="shared" ca="1" si="324"/>
        <v>#N/A</v>
      </c>
      <c r="AG713" s="306">
        <f t="shared" ca="1" si="346"/>
        <v>0.84825773599238552</v>
      </c>
      <c r="AH713" s="304">
        <f t="shared" ca="1" si="347"/>
        <v>-8.9350674854614418</v>
      </c>
    </row>
    <row r="714" spans="1:34" x14ac:dyDescent="0.2">
      <c r="A714" s="347">
        <f t="shared" ca="1" si="325"/>
        <v>1E-4</v>
      </c>
      <c r="B714" s="304">
        <f t="shared" ca="1" si="326"/>
        <v>28.633400000000062</v>
      </c>
      <c r="D714" s="306">
        <f t="shared" ca="1" si="327"/>
        <v>-0.6584611953019589</v>
      </c>
      <c r="E714" s="307">
        <f t="shared" ca="1" si="328"/>
        <v>-0.8992036621133721</v>
      </c>
      <c r="F714" s="304">
        <f t="shared" ca="1" si="329"/>
        <v>1.1145126162034165</v>
      </c>
      <c r="G714" s="306">
        <f t="shared" ca="1" si="330"/>
        <v>7.2777785778982542</v>
      </c>
      <c r="H714" s="307">
        <f t="shared" ca="1" si="331"/>
        <v>-98.489400913865964</v>
      </c>
      <c r="I714" s="304">
        <f t="shared" ca="1" si="332"/>
        <v>98.757927040826118</v>
      </c>
      <c r="J714" s="306">
        <f t="shared" ca="1" si="333"/>
        <v>678.53524446899166</v>
      </c>
      <c r="K714" s="307">
        <f t="shared" ca="1" si="334"/>
        <v>-6.1601516529982359</v>
      </c>
      <c r="L714" s="304">
        <f t="shared" ca="1" si="319"/>
        <v>678.56320667641728</v>
      </c>
      <c r="M714" s="306">
        <f t="shared" ca="1" si="335"/>
        <v>-1.4970363547746344</v>
      </c>
      <c r="N714" s="304">
        <f t="shared" ca="1" si="336"/>
        <v>-85.773864906235943</v>
      </c>
      <c r="P714" s="310">
        <f t="shared" ca="1" si="337"/>
        <v>23</v>
      </c>
      <c r="Q714" s="304">
        <f t="shared" ca="1" si="338"/>
        <v>0</v>
      </c>
      <c r="R714" s="306">
        <f t="shared" ca="1" si="339"/>
        <v>0</v>
      </c>
      <c r="S714" s="307">
        <f t="shared" ca="1" si="340"/>
        <v>4.341000000000002</v>
      </c>
      <c r="T714" s="304">
        <f t="shared" ca="1" si="320"/>
        <v>42.585210000000025</v>
      </c>
      <c r="U714" s="311">
        <f t="shared" ca="1" si="321"/>
        <v>0</v>
      </c>
      <c r="V714" s="306">
        <f t="shared" ca="1" si="322"/>
        <v>1.2257548510773479</v>
      </c>
      <c r="W714" s="304">
        <f t="shared" ca="1" si="323"/>
        <v>38.787337616738611</v>
      </c>
      <c r="Y714" s="314" t="str">
        <f t="shared" ca="1" si="341"/>
        <v/>
      </c>
      <c r="Z714" s="315" t="str">
        <f t="shared" ca="1" si="342"/>
        <v/>
      </c>
      <c r="AA714" s="316" t="str">
        <f t="shared" ca="1" si="343"/>
        <v/>
      </c>
      <c r="AC714" s="310" t="e">
        <f t="shared" ca="1" si="344"/>
        <v>#N/A</v>
      </c>
      <c r="AD714" s="323" t="e">
        <f t="shared" ca="1" si="345"/>
        <v>#N/A</v>
      </c>
      <c r="AE714" s="324" t="e">
        <f t="shared" ca="1" si="324"/>
        <v>#N/A</v>
      </c>
      <c r="AG714" s="306">
        <f t="shared" ca="1" si="346"/>
        <v>0.84823411594313214</v>
      </c>
      <c r="AH714" s="304">
        <f t="shared" ca="1" si="347"/>
        <v>-8.9350916347294511</v>
      </c>
    </row>
    <row r="715" spans="1:34" x14ac:dyDescent="0.2">
      <c r="A715" s="347">
        <f t="shared" ca="1" si="325"/>
        <v>1E-4</v>
      </c>
      <c r="B715" s="304">
        <f t="shared" ca="1" si="326"/>
        <v>28.633500000000062</v>
      </c>
      <c r="D715" s="306">
        <f t="shared" ca="1" si="327"/>
        <v>-0.65845645194903801</v>
      </c>
      <c r="E715" s="307">
        <f t="shared" ca="1" si="328"/>
        <v>-0.89917909686409736</v>
      </c>
      <c r="F715" s="304">
        <f t="shared" ca="1" si="329"/>
        <v>1.1144899942801862</v>
      </c>
      <c r="G715" s="306">
        <f t="shared" ca="1" si="330"/>
        <v>7.2777127322530593</v>
      </c>
      <c r="H715" s="307">
        <f t="shared" ca="1" si="331"/>
        <v>-98.489490831775655</v>
      </c>
      <c r="I715" s="304">
        <f t="shared" ca="1" si="332"/>
        <v>98.758011861902219</v>
      </c>
      <c r="J715" s="306">
        <f t="shared" ca="1" si="333"/>
        <v>678.53524446899166</v>
      </c>
      <c r="K715" s="307">
        <f t="shared" ca="1" si="334"/>
        <v>-6.1700005975855179</v>
      </c>
      <c r="L715" s="304">
        <f t="shared" ca="1" si="319"/>
        <v>678.56329615885397</v>
      </c>
      <c r="M715" s="306">
        <f t="shared" ca="1" si="335"/>
        <v>-1.4970370867956375</v>
      </c>
      <c r="N715" s="304">
        <f t="shared" ca="1" si="336"/>
        <v>-85.773906847949931</v>
      </c>
      <c r="P715" s="310">
        <f t="shared" ca="1" si="337"/>
        <v>23</v>
      </c>
      <c r="Q715" s="304">
        <f t="shared" ca="1" si="338"/>
        <v>0</v>
      </c>
      <c r="R715" s="306">
        <f t="shared" ca="1" si="339"/>
        <v>0</v>
      </c>
      <c r="S715" s="307">
        <f t="shared" ca="1" si="340"/>
        <v>4.341000000000002</v>
      </c>
      <c r="T715" s="304">
        <f t="shared" ca="1" si="320"/>
        <v>42.585210000000025</v>
      </c>
      <c r="U715" s="311">
        <f t="shared" ca="1" si="321"/>
        <v>0</v>
      </c>
      <c r="V715" s="306">
        <f t="shared" ca="1" si="322"/>
        <v>1.225756058317218</v>
      </c>
      <c r="W715" s="304">
        <f t="shared" ca="1" si="323"/>
        <v>38.787442445522345</v>
      </c>
      <c r="Y715" s="314" t="str">
        <f t="shared" ca="1" si="341"/>
        <v/>
      </c>
      <c r="Z715" s="315" t="str">
        <f t="shared" ca="1" si="342"/>
        <v/>
      </c>
      <c r="AA715" s="316" t="str">
        <f t="shared" ca="1" si="343"/>
        <v/>
      </c>
      <c r="AC715" s="310" t="e">
        <f t="shared" ca="1" si="344"/>
        <v>#N/A</v>
      </c>
      <c r="AD715" s="323" t="e">
        <f t="shared" ca="1" si="345"/>
        <v>#N/A</v>
      </c>
      <c r="AE715" s="324" t="e">
        <f t="shared" ca="1" si="324"/>
        <v>#N/A</v>
      </c>
      <c r="AG715" s="306">
        <f t="shared" ca="1" si="346"/>
        <v>0.84821049625022127</v>
      </c>
      <c r="AH715" s="304">
        <f t="shared" ca="1" si="347"/>
        <v>-8.9351157836301756</v>
      </c>
    </row>
    <row r="716" spans="1:34" x14ac:dyDescent="0.2">
      <c r="A716" s="347">
        <f t="shared" ca="1" si="325"/>
        <v>1E-4</v>
      </c>
      <c r="B716" s="304">
        <f t="shared" ca="1" si="326"/>
        <v>28.633600000000062</v>
      </c>
      <c r="D716" s="306">
        <f t="shared" ca="1" si="327"/>
        <v>-0.65845170860365876</v>
      </c>
      <c r="E716" s="307">
        <f t="shared" ca="1" si="328"/>
        <v>-0.89915453198844553</v>
      </c>
      <c r="F716" s="304">
        <f t="shared" ca="1" si="329"/>
        <v>1.1144673727653216</v>
      </c>
      <c r="G716" s="306">
        <f t="shared" ca="1" si="330"/>
        <v>7.2776468870821986</v>
      </c>
      <c r="H716" s="307">
        <f t="shared" ca="1" si="331"/>
        <v>-98.489580747228857</v>
      </c>
      <c r="I716" s="304">
        <f t="shared" ca="1" si="332"/>
        <v>98.758096680616376</v>
      </c>
      <c r="J716" s="306">
        <f t="shared" ca="1" si="333"/>
        <v>678.53524446899166</v>
      </c>
      <c r="K716" s="307">
        <f t="shared" ca="1" si="334"/>
        <v>-6.1798495511644678</v>
      </c>
      <c r="L716" s="304">
        <f t="shared" ca="1" si="319"/>
        <v>678.56338578431223</v>
      </c>
      <c r="M716" s="306">
        <f t="shared" ca="1" si="335"/>
        <v>-1.4970378188087601</v>
      </c>
      <c r="N716" s="304">
        <f t="shared" ca="1" si="336"/>
        <v>-85.773948789212398</v>
      </c>
      <c r="P716" s="310">
        <f t="shared" ca="1" si="337"/>
        <v>23</v>
      </c>
      <c r="Q716" s="304">
        <f t="shared" ca="1" si="338"/>
        <v>0</v>
      </c>
      <c r="R716" s="306">
        <f t="shared" ca="1" si="339"/>
        <v>0</v>
      </c>
      <c r="S716" s="307">
        <f t="shared" ca="1" si="340"/>
        <v>4.341000000000002</v>
      </c>
      <c r="T716" s="304">
        <f t="shared" ca="1" si="320"/>
        <v>42.585210000000025</v>
      </c>
      <c r="U716" s="311">
        <f t="shared" ca="1" si="321"/>
        <v>0</v>
      </c>
      <c r="V716" s="306">
        <f t="shared" ca="1" si="322"/>
        <v>1.2257572655593791</v>
      </c>
      <c r="W716" s="304">
        <f t="shared" ca="1" si="323"/>
        <v>38.78754727271172</v>
      </c>
      <c r="Y716" s="314" t="str">
        <f t="shared" ca="1" si="341"/>
        <v/>
      </c>
      <c r="Z716" s="315" t="str">
        <f t="shared" ca="1" si="342"/>
        <v/>
      </c>
      <c r="AA716" s="316" t="str">
        <f t="shared" ca="1" si="343"/>
        <v/>
      </c>
      <c r="AC716" s="310" t="e">
        <f t="shared" ca="1" si="344"/>
        <v>#N/A</v>
      </c>
      <c r="AD716" s="323" t="e">
        <f t="shared" ca="1" si="345"/>
        <v>#N/A</v>
      </c>
      <c r="AE716" s="324" t="e">
        <f t="shared" ca="1" si="324"/>
        <v>#N/A</v>
      </c>
      <c r="AG716" s="306">
        <f t="shared" ca="1" si="346"/>
        <v>0.84818687691364048</v>
      </c>
      <c r="AH716" s="304">
        <f t="shared" ca="1" si="347"/>
        <v>-8.9351399321636329</v>
      </c>
    </row>
    <row r="717" spans="1:34" x14ac:dyDescent="0.2">
      <c r="A717" s="347">
        <f t="shared" ca="1" si="325"/>
        <v>1E-4</v>
      </c>
      <c r="B717" s="304">
        <f t="shared" ca="1" si="326"/>
        <v>28.633700000000061</v>
      </c>
      <c r="D717" s="306">
        <f t="shared" ca="1" si="327"/>
        <v>-0.6584469652658258</v>
      </c>
      <c r="E717" s="307">
        <f t="shared" ca="1" si="328"/>
        <v>-0.89912996748643792</v>
      </c>
      <c r="F717" s="304">
        <f t="shared" ca="1" si="329"/>
        <v>1.1144447516588423</v>
      </c>
      <c r="G717" s="306">
        <f t="shared" ca="1" si="330"/>
        <v>7.2775810423856724</v>
      </c>
      <c r="H717" s="307">
        <f t="shared" ca="1" si="331"/>
        <v>-98.489670660225599</v>
      </c>
      <c r="I717" s="304">
        <f t="shared" ca="1" si="332"/>
        <v>98.758181496968618</v>
      </c>
      <c r="J717" s="306">
        <f t="shared" ca="1" si="333"/>
        <v>678.53524446899166</v>
      </c>
      <c r="K717" s="307">
        <f t="shared" ca="1" si="334"/>
        <v>-6.1896985137348404</v>
      </c>
      <c r="L717" s="304">
        <f t="shared" ca="1" si="319"/>
        <v>678.56347555279251</v>
      </c>
      <c r="M717" s="306">
        <f t="shared" ca="1" si="335"/>
        <v>-1.4970385508140025</v>
      </c>
      <c r="N717" s="304">
        <f t="shared" ca="1" si="336"/>
        <v>-85.773990730023371</v>
      </c>
      <c r="P717" s="310">
        <f t="shared" ca="1" si="337"/>
        <v>23</v>
      </c>
      <c r="Q717" s="304">
        <f t="shared" ca="1" si="338"/>
        <v>0</v>
      </c>
      <c r="R717" s="306">
        <f t="shared" ca="1" si="339"/>
        <v>0</v>
      </c>
      <c r="S717" s="307">
        <f t="shared" ca="1" si="340"/>
        <v>4.341000000000002</v>
      </c>
      <c r="T717" s="304">
        <f t="shared" ca="1" si="320"/>
        <v>42.585210000000025</v>
      </c>
      <c r="U717" s="311">
        <f t="shared" ca="1" si="321"/>
        <v>0</v>
      </c>
      <c r="V717" s="306">
        <f t="shared" ca="1" si="322"/>
        <v>1.225758472803832</v>
      </c>
      <c r="W717" s="304">
        <f t="shared" ca="1" si="323"/>
        <v>38.787652098306772</v>
      </c>
      <c r="Y717" s="314" t="str">
        <f t="shared" ca="1" si="341"/>
        <v/>
      </c>
      <c r="Z717" s="315" t="str">
        <f t="shared" ca="1" si="342"/>
        <v/>
      </c>
      <c r="AA717" s="316" t="str">
        <f t="shared" ca="1" si="343"/>
        <v/>
      </c>
      <c r="AC717" s="310" t="e">
        <f t="shared" ca="1" si="344"/>
        <v>#N/A</v>
      </c>
      <c r="AD717" s="323" t="e">
        <f t="shared" ca="1" si="345"/>
        <v>#N/A</v>
      </c>
      <c r="AE717" s="324" t="e">
        <f t="shared" ca="1" si="324"/>
        <v>#N/A</v>
      </c>
      <c r="AG717" s="306">
        <f t="shared" ca="1" si="346"/>
        <v>0.84816325793340042</v>
      </c>
      <c r="AH717" s="304">
        <f t="shared" ca="1" si="347"/>
        <v>-8.9351640803298089</v>
      </c>
    </row>
    <row r="718" spans="1:34" x14ac:dyDescent="0.2">
      <c r="A718" s="347">
        <f t="shared" ca="1" si="325"/>
        <v>1E-4</v>
      </c>
      <c r="B718" s="304">
        <f t="shared" ca="1" si="326"/>
        <v>28.633800000000061</v>
      </c>
      <c r="D718" s="306">
        <f t="shared" ca="1" si="327"/>
        <v>-0.65844222193553725</v>
      </c>
      <c r="E718" s="307">
        <f t="shared" ca="1" si="328"/>
        <v>-0.89910540335805678</v>
      </c>
      <c r="F718" s="304">
        <f t="shared" ca="1" si="329"/>
        <v>1.1144221309607329</v>
      </c>
      <c r="G718" s="306">
        <f t="shared" ca="1" si="330"/>
        <v>7.2775151981634787</v>
      </c>
      <c r="H718" s="307">
        <f t="shared" ca="1" si="331"/>
        <v>-98.489760570765938</v>
      </c>
      <c r="I718" s="304">
        <f t="shared" ca="1" si="332"/>
        <v>98.758266310959016</v>
      </c>
      <c r="J718" s="306">
        <f t="shared" ca="1" si="333"/>
        <v>678.53524446899166</v>
      </c>
      <c r="K718" s="307">
        <f t="shared" ca="1" si="334"/>
        <v>-6.1995474852963897</v>
      </c>
      <c r="L718" s="304">
        <f t="shared" ca="1" si="319"/>
        <v>678.56356546429515</v>
      </c>
      <c r="M718" s="306">
        <f t="shared" ca="1" si="335"/>
        <v>-1.4970392828113646</v>
      </c>
      <c r="N718" s="304">
        <f t="shared" ca="1" si="336"/>
        <v>-85.774032670382837</v>
      </c>
      <c r="P718" s="310">
        <f t="shared" ca="1" si="337"/>
        <v>23</v>
      </c>
      <c r="Q718" s="304">
        <f t="shared" ca="1" si="338"/>
        <v>0</v>
      </c>
      <c r="R718" s="306">
        <f t="shared" ca="1" si="339"/>
        <v>0</v>
      </c>
      <c r="S718" s="307">
        <f t="shared" ca="1" si="340"/>
        <v>4.341000000000002</v>
      </c>
      <c r="T718" s="304">
        <f t="shared" ca="1" si="320"/>
        <v>42.585210000000025</v>
      </c>
      <c r="U718" s="311">
        <f t="shared" ca="1" si="321"/>
        <v>0</v>
      </c>
      <c r="V718" s="306">
        <f t="shared" ca="1" si="322"/>
        <v>1.2257596800505761</v>
      </c>
      <c r="W718" s="304">
        <f t="shared" ca="1" si="323"/>
        <v>38.78775692230753</v>
      </c>
      <c r="Y718" s="314" t="str">
        <f t="shared" ca="1" si="341"/>
        <v/>
      </c>
      <c r="Z718" s="315" t="str">
        <f t="shared" ca="1" si="342"/>
        <v/>
      </c>
      <c r="AA718" s="316" t="str">
        <f t="shared" ca="1" si="343"/>
        <v/>
      </c>
      <c r="AC718" s="310" t="e">
        <f t="shared" ca="1" si="344"/>
        <v>#N/A</v>
      </c>
      <c r="AD718" s="323" t="e">
        <f t="shared" ca="1" si="345"/>
        <v>#N/A</v>
      </c>
      <c r="AE718" s="324" t="e">
        <f t="shared" ca="1" si="324"/>
        <v>#N/A</v>
      </c>
      <c r="AG718" s="306">
        <f t="shared" ca="1" si="346"/>
        <v>0.84813963930949043</v>
      </c>
      <c r="AH718" s="304">
        <f t="shared" ca="1" si="347"/>
        <v>-8.935188228128716</v>
      </c>
    </row>
    <row r="719" spans="1:34" x14ac:dyDescent="0.2">
      <c r="A719" s="347">
        <f t="shared" ca="1" si="325"/>
        <v>1E-4</v>
      </c>
      <c r="B719" s="304">
        <f t="shared" ca="1" si="326"/>
        <v>28.633900000000061</v>
      </c>
      <c r="D719" s="306">
        <f t="shared" ca="1" si="327"/>
        <v>-0.65843747861279678</v>
      </c>
      <c r="E719" s="307">
        <f t="shared" ca="1" si="328"/>
        <v>-0.8990808396033021</v>
      </c>
      <c r="F719" s="304">
        <f t="shared" ca="1" si="329"/>
        <v>1.1143995106709963</v>
      </c>
      <c r="G719" s="306">
        <f t="shared" ca="1" si="330"/>
        <v>7.2774493544156176</v>
      </c>
      <c r="H719" s="307">
        <f t="shared" ca="1" si="331"/>
        <v>-98.489850478849903</v>
      </c>
      <c r="I719" s="304">
        <f t="shared" ca="1" si="332"/>
        <v>98.758351122587584</v>
      </c>
      <c r="J719" s="306">
        <f t="shared" ca="1" si="333"/>
        <v>678.53524446899166</v>
      </c>
      <c r="K719" s="307">
        <f t="shared" ca="1" si="334"/>
        <v>-6.2093964658488705</v>
      </c>
      <c r="L719" s="304">
        <f t="shared" ca="1" si="319"/>
        <v>678.56365551882038</v>
      </c>
      <c r="M719" s="306">
        <f t="shared" ca="1" si="335"/>
        <v>-1.4970400148008469</v>
      </c>
      <c r="N719" s="304">
        <f t="shared" ca="1" si="336"/>
        <v>-85.774074610290825</v>
      </c>
      <c r="P719" s="310">
        <f t="shared" ca="1" si="337"/>
        <v>23</v>
      </c>
      <c r="Q719" s="304">
        <f t="shared" ca="1" si="338"/>
        <v>0</v>
      </c>
      <c r="R719" s="306">
        <f t="shared" ca="1" si="339"/>
        <v>0</v>
      </c>
      <c r="S719" s="307">
        <f t="shared" ca="1" si="340"/>
        <v>4.341000000000002</v>
      </c>
      <c r="T719" s="304">
        <f t="shared" ca="1" si="320"/>
        <v>42.585210000000025</v>
      </c>
      <c r="U719" s="311">
        <f t="shared" ca="1" si="321"/>
        <v>0</v>
      </c>
      <c r="V719" s="306">
        <f t="shared" ca="1" si="322"/>
        <v>1.225760887299612</v>
      </c>
      <c r="W719" s="304">
        <f t="shared" ca="1" si="323"/>
        <v>38.787861744714021</v>
      </c>
      <c r="Y719" s="314" t="str">
        <f t="shared" ca="1" si="341"/>
        <v/>
      </c>
      <c r="Z719" s="315" t="str">
        <f t="shared" ca="1" si="342"/>
        <v/>
      </c>
      <c r="AA719" s="316" t="str">
        <f t="shared" ca="1" si="343"/>
        <v/>
      </c>
      <c r="AC719" s="310" t="e">
        <f t="shared" ca="1" si="344"/>
        <v>#N/A</v>
      </c>
      <c r="AD719" s="323" t="e">
        <f t="shared" ca="1" si="345"/>
        <v>#N/A</v>
      </c>
      <c r="AE719" s="324" t="e">
        <f t="shared" ca="1" si="324"/>
        <v>#N/A</v>
      </c>
      <c r="AG719" s="306">
        <f t="shared" ca="1" si="346"/>
        <v>0.8481160210419052</v>
      </c>
      <c r="AH719" s="304">
        <f t="shared" ca="1" si="347"/>
        <v>-8.9352123755603579</v>
      </c>
    </row>
    <row r="720" spans="1:34" x14ac:dyDescent="0.2">
      <c r="A720" s="347">
        <f t="shared" ca="1" si="325"/>
        <v>1E-4</v>
      </c>
      <c r="B720" s="304">
        <f t="shared" ca="1" si="326"/>
        <v>28.634000000000061</v>
      </c>
      <c r="D720" s="306">
        <f t="shared" ca="1" si="327"/>
        <v>-0.65843273529760038</v>
      </c>
      <c r="E720" s="307">
        <f t="shared" ca="1" si="328"/>
        <v>-0.899056276222165</v>
      </c>
      <c r="F720" s="304">
        <f t="shared" ca="1" si="329"/>
        <v>1.1143768907896223</v>
      </c>
      <c r="G720" s="306">
        <f t="shared" ca="1" si="330"/>
        <v>7.2773835111420881</v>
      </c>
      <c r="H720" s="307">
        <f t="shared" ca="1" si="331"/>
        <v>-98.489940384477521</v>
      </c>
      <c r="I720" s="304">
        <f t="shared" ca="1" si="332"/>
        <v>98.758435931854351</v>
      </c>
      <c r="J720" s="306">
        <f t="shared" ca="1" si="333"/>
        <v>678.53524446899166</v>
      </c>
      <c r="K720" s="307">
        <f t="shared" ca="1" si="334"/>
        <v>-6.2192454553920369</v>
      </c>
      <c r="L720" s="304">
        <f t="shared" ca="1" si="319"/>
        <v>678.56374571636866</v>
      </c>
      <c r="M720" s="306">
        <f t="shared" ca="1" si="335"/>
        <v>-1.4970407467824491</v>
      </c>
      <c r="N720" s="304">
        <f t="shared" ca="1" si="336"/>
        <v>-85.774116549747305</v>
      </c>
      <c r="P720" s="310">
        <f t="shared" ca="1" si="337"/>
        <v>23</v>
      </c>
      <c r="Q720" s="304">
        <f t="shared" ca="1" si="338"/>
        <v>0</v>
      </c>
      <c r="R720" s="306">
        <f t="shared" ca="1" si="339"/>
        <v>0</v>
      </c>
      <c r="S720" s="307">
        <f t="shared" ca="1" si="340"/>
        <v>4.341000000000002</v>
      </c>
      <c r="T720" s="304">
        <f t="shared" ca="1" si="320"/>
        <v>42.585210000000025</v>
      </c>
      <c r="U720" s="311">
        <f t="shared" ca="1" si="321"/>
        <v>0</v>
      </c>
      <c r="V720" s="306">
        <f t="shared" ca="1" si="322"/>
        <v>1.2257620945509391</v>
      </c>
      <c r="W720" s="304">
        <f t="shared" ca="1" si="323"/>
        <v>38.787966565526226</v>
      </c>
      <c r="Y720" s="314" t="str">
        <f t="shared" ca="1" si="341"/>
        <v/>
      </c>
      <c r="Z720" s="315" t="str">
        <f t="shared" ca="1" si="342"/>
        <v/>
      </c>
      <c r="AA720" s="316" t="str">
        <f t="shared" ca="1" si="343"/>
        <v/>
      </c>
      <c r="AC720" s="310" t="e">
        <f t="shared" ca="1" si="344"/>
        <v>#N/A</v>
      </c>
      <c r="AD720" s="323" t="e">
        <f t="shared" ca="1" si="345"/>
        <v>#N/A</v>
      </c>
      <c r="AE720" s="324" t="e">
        <f t="shared" ca="1" si="324"/>
        <v>#N/A</v>
      </c>
      <c r="AG720" s="306">
        <f t="shared" ca="1" si="346"/>
        <v>0.84809240313064294</v>
      </c>
      <c r="AH720" s="304">
        <f t="shared" ca="1" si="347"/>
        <v>-8.9352365226247414</v>
      </c>
    </row>
    <row r="721" spans="1:34" x14ac:dyDescent="0.2">
      <c r="A721" s="347">
        <f t="shared" ca="1" si="325"/>
        <v>1E-4</v>
      </c>
      <c r="B721" s="304">
        <f t="shared" ca="1" si="326"/>
        <v>28.634100000000061</v>
      </c>
      <c r="D721" s="306">
        <f t="shared" ca="1" si="327"/>
        <v>-0.65842799198995317</v>
      </c>
      <c r="E721" s="307">
        <f t="shared" ca="1" si="328"/>
        <v>-0.89903171321464903</v>
      </c>
      <c r="F721" s="304">
        <f t="shared" ca="1" si="329"/>
        <v>1.1143542713166172</v>
      </c>
      <c r="G721" s="306">
        <f t="shared" ca="1" si="330"/>
        <v>7.2773176683428895</v>
      </c>
      <c r="H721" s="307">
        <f t="shared" ca="1" si="331"/>
        <v>-98.490030287648835</v>
      </c>
      <c r="I721" s="304">
        <f t="shared" ca="1" si="332"/>
        <v>98.758520738759344</v>
      </c>
      <c r="J721" s="306">
        <f t="shared" ca="1" si="333"/>
        <v>678.53524446899166</v>
      </c>
      <c r="K721" s="307">
        <f t="shared" ca="1" si="334"/>
        <v>-6.2290944539256428</v>
      </c>
      <c r="L721" s="304">
        <f t="shared" ca="1" si="319"/>
        <v>678.56383605694032</v>
      </c>
      <c r="M721" s="306">
        <f t="shared" ca="1" si="335"/>
        <v>-1.4970414787561714</v>
      </c>
      <c r="N721" s="304">
        <f t="shared" ca="1" si="336"/>
        <v>-85.774158488752306</v>
      </c>
      <c r="P721" s="310">
        <f t="shared" ca="1" si="337"/>
        <v>23</v>
      </c>
      <c r="Q721" s="304">
        <f t="shared" ca="1" si="338"/>
        <v>0</v>
      </c>
      <c r="R721" s="306">
        <f t="shared" ca="1" si="339"/>
        <v>0</v>
      </c>
      <c r="S721" s="307">
        <f t="shared" ca="1" si="340"/>
        <v>4.341000000000002</v>
      </c>
      <c r="T721" s="304">
        <f t="shared" ca="1" si="320"/>
        <v>42.585210000000025</v>
      </c>
      <c r="U721" s="311">
        <f t="shared" ca="1" si="321"/>
        <v>0</v>
      </c>
      <c r="V721" s="306">
        <f t="shared" ca="1" si="322"/>
        <v>1.2257633018045579</v>
      </c>
      <c r="W721" s="304">
        <f t="shared" ca="1" si="323"/>
        <v>38.788071384744178</v>
      </c>
      <c r="Y721" s="314" t="str">
        <f t="shared" ca="1" si="341"/>
        <v/>
      </c>
      <c r="Z721" s="315" t="str">
        <f t="shared" ca="1" si="342"/>
        <v/>
      </c>
      <c r="AA721" s="316" t="str">
        <f t="shared" ca="1" si="343"/>
        <v/>
      </c>
      <c r="AC721" s="310" t="e">
        <f t="shared" ca="1" si="344"/>
        <v>#N/A</v>
      </c>
      <c r="AD721" s="323" t="e">
        <f t="shared" ca="1" si="345"/>
        <v>#N/A</v>
      </c>
      <c r="AE721" s="324" t="e">
        <f t="shared" ca="1" si="324"/>
        <v>#N/A</v>
      </c>
      <c r="AG721" s="306">
        <f t="shared" ca="1" si="346"/>
        <v>0.84806878557570187</v>
      </c>
      <c r="AH721" s="304">
        <f t="shared" ca="1" si="347"/>
        <v>-8.9352606693218632</v>
      </c>
    </row>
    <row r="722" spans="1:34" x14ac:dyDescent="0.2">
      <c r="A722" s="347">
        <f t="shared" ca="1" si="325"/>
        <v>1E-4</v>
      </c>
      <c r="B722" s="304">
        <f t="shared" ca="1" si="326"/>
        <v>28.63420000000006</v>
      </c>
      <c r="D722" s="306">
        <f t="shared" ca="1" si="327"/>
        <v>-0.65842324868985502</v>
      </c>
      <c r="E722" s="307">
        <f t="shared" ca="1" si="328"/>
        <v>-0.89900715058074709</v>
      </c>
      <c r="F722" s="304">
        <f t="shared" ca="1" si="329"/>
        <v>1.1143316522519751</v>
      </c>
      <c r="G722" s="306">
        <f t="shared" ca="1" si="330"/>
        <v>7.2772518260180208</v>
      </c>
      <c r="H722" s="307">
        <f t="shared" ca="1" si="331"/>
        <v>-98.490120188363889</v>
      </c>
      <c r="I722" s="304">
        <f t="shared" ca="1" si="332"/>
        <v>98.758605543302636</v>
      </c>
      <c r="J722" s="306">
        <f t="shared" ca="1" si="333"/>
        <v>678.53524446899166</v>
      </c>
      <c r="K722" s="307">
        <f t="shared" ca="1" si="334"/>
        <v>-6.238943461449443</v>
      </c>
      <c r="L722" s="304">
        <f t="shared" ca="1" si="319"/>
        <v>678.56392654053559</v>
      </c>
      <c r="M722" s="306">
        <f t="shared" ca="1" si="335"/>
        <v>-1.4970422107220143</v>
      </c>
      <c r="N722" s="304">
        <f t="shared" ca="1" si="336"/>
        <v>-85.774200427305857</v>
      </c>
      <c r="P722" s="310">
        <f t="shared" ca="1" si="337"/>
        <v>23</v>
      </c>
      <c r="Q722" s="304">
        <f t="shared" ca="1" si="338"/>
        <v>0</v>
      </c>
      <c r="R722" s="306">
        <f t="shared" ca="1" si="339"/>
        <v>0</v>
      </c>
      <c r="S722" s="307">
        <f t="shared" ca="1" si="340"/>
        <v>4.341000000000002</v>
      </c>
      <c r="T722" s="304">
        <f t="shared" ca="1" si="320"/>
        <v>42.585210000000025</v>
      </c>
      <c r="U722" s="311">
        <f t="shared" ca="1" si="321"/>
        <v>0</v>
      </c>
      <c r="V722" s="306">
        <f t="shared" ca="1" si="322"/>
        <v>1.2257645090604679</v>
      </c>
      <c r="W722" s="304">
        <f t="shared" ca="1" si="323"/>
        <v>38.788176202367914</v>
      </c>
      <c r="Y722" s="314" t="str">
        <f t="shared" ca="1" si="341"/>
        <v/>
      </c>
      <c r="Z722" s="315" t="str">
        <f t="shared" ca="1" si="342"/>
        <v/>
      </c>
      <c r="AA722" s="316" t="str">
        <f t="shared" ca="1" si="343"/>
        <v/>
      </c>
      <c r="AC722" s="310" t="e">
        <f t="shared" ca="1" si="344"/>
        <v>#N/A</v>
      </c>
      <c r="AD722" s="323" t="e">
        <f t="shared" ca="1" si="345"/>
        <v>#N/A</v>
      </c>
      <c r="AE722" s="324" t="e">
        <f t="shared" ca="1" si="324"/>
        <v>#N/A</v>
      </c>
      <c r="AG722" s="306">
        <f t="shared" ca="1" si="346"/>
        <v>0.84804516837707844</v>
      </c>
      <c r="AH722" s="304">
        <f t="shared" ca="1" si="347"/>
        <v>-8.9352848156517304</v>
      </c>
    </row>
    <row r="723" spans="1:34" x14ac:dyDescent="0.2">
      <c r="A723" s="347">
        <f t="shared" ca="1" si="325"/>
        <v>1E-4</v>
      </c>
      <c r="B723" s="304">
        <f t="shared" ca="1" si="326"/>
        <v>28.63430000000006</v>
      </c>
      <c r="D723" s="306">
        <f t="shared" ca="1" si="327"/>
        <v>-0.65841850539730395</v>
      </c>
      <c r="E723" s="307">
        <f t="shared" ca="1" si="328"/>
        <v>-0.89898258832045208</v>
      </c>
      <c r="F723" s="304">
        <f t="shared" ca="1" si="329"/>
        <v>1.1143090335956893</v>
      </c>
      <c r="G723" s="306">
        <f t="shared" ca="1" si="330"/>
        <v>7.2771859841674811</v>
      </c>
      <c r="H723" s="307">
        <f t="shared" ca="1" si="331"/>
        <v>-98.490210086622724</v>
      </c>
      <c r="I723" s="304">
        <f t="shared" ca="1" si="332"/>
        <v>98.758690345484254</v>
      </c>
      <c r="J723" s="306">
        <f t="shared" ca="1" si="333"/>
        <v>678.53524446899166</v>
      </c>
      <c r="K723" s="307">
        <f t="shared" ca="1" si="334"/>
        <v>-6.2487924779631925</v>
      </c>
      <c r="L723" s="304">
        <f t="shared" ca="1" si="319"/>
        <v>678.56401716715493</v>
      </c>
      <c r="M723" s="306">
        <f t="shared" ca="1" si="335"/>
        <v>-1.4970429426799774</v>
      </c>
      <c r="N723" s="304">
        <f t="shared" ca="1" si="336"/>
        <v>-85.774242365407929</v>
      </c>
      <c r="P723" s="310">
        <f t="shared" ca="1" si="337"/>
        <v>23</v>
      </c>
      <c r="Q723" s="304">
        <f t="shared" ca="1" si="338"/>
        <v>0</v>
      </c>
      <c r="R723" s="306">
        <f t="shared" ca="1" si="339"/>
        <v>0</v>
      </c>
      <c r="S723" s="307">
        <f t="shared" ca="1" si="340"/>
        <v>4.341000000000002</v>
      </c>
      <c r="T723" s="304">
        <f t="shared" ca="1" si="320"/>
        <v>42.585210000000025</v>
      </c>
      <c r="U723" s="311">
        <f t="shared" ca="1" si="321"/>
        <v>0</v>
      </c>
      <c r="V723" s="306">
        <f t="shared" ca="1" si="322"/>
        <v>1.2257657163186693</v>
      </c>
      <c r="W723" s="304">
        <f t="shared" ca="1" si="323"/>
        <v>38.788281018397448</v>
      </c>
      <c r="Y723" s="314" t="str">
        <f t="shared" ca="1" si="341"/>
        <v/>
      </c>
      <c r="Z723" s="315" t="str">
        <f t="shared" ca="1" si="342"/>
        <v/>
      </c>
      <c r="AA723" s="316" t="str">
        <f t="shared" ca="1" si="343"/>
        <v/>
      </c>
      <c r="AC723" s="310" t="e">
        <f t="shared" ca="1" si="344"/>
        <v>#N/A</v>
      </c>
      <c r="AD723" s="323" t="e">
        <f t="shared" ca="1" si="345"/>
        <v>#N/A</v>
      </c>
      <c r="AE723" s="324" t="e">
        <f t="shared" ca="1" si="324"/>
        <v>#N/A</v>
      </c>
      <c r="AG723" s="306">
        <f t="shared" ca="1" si="346"/>
        <v>0.848021551534762</v>
      </c>
      <c r="AH723" s="304">
        <f t="shared" ca="1" si="347"/>
        <v>-8.93530896161435</v>
      </c>
    </row>
    <row r="724" spans="1:34" x14ac:dyDescent="0.2">
      <c r="A724" s="347">
        <f t="shared" ca="1" si="325"/>
        <v>1E-4</v>
      </c>
      <c r="B724" s="304">
        <f t="shared" ca="1" si="326"/>
        <v>28.63440000000006</v>
      </c>
      <c r="D724" s="306">
        <f t="shared" ca="1" si="327"/>
        <v>-0.65841376211230374</v>
      </c>
      <c r="E724" s="307">
        <f t="shared" ca="1" si="328"/>
        <v>-0.89895802643375511</v>
      </c>
      <c r="F724" s="304">
        <f t="shared" ca="1" si="329"/>
        <v>1.1142864153477547</v>
      </c>
      <c r="G724" s="306">
        <f t="shared" ca="1" si="330"/>
        <v>7.2771201427912695</v>
      </c>
      <c r="H724" s="307">
        <f t="shared" ca="1" si="331"/>
        <v>-98.49029998242537</v>
      </c>
      <c r="I724" s="304">
        <f t="shared" ca="1" si="332"/>
        <v>98.758775145304213</v>
      </c>
      <c r="J724" s="306">
        <f t="shared" ca="1" si="333"/>
        <v>678.53524446899166</v>
      </c>
      <c r="K724" s="307">
        <f t="shared" ca="1" si="334"/>
        <v>-6.2586415034666452</v>
      </c>
      <c r="L724" s="304">
        <f t="shared" ca="1" si="319"/>
        <v>678.56410793679856</v>
      </c>
      <c r="M724" s="306">
        <f t="shared" ca="1" si="335"/>
        <v>-1.497043674630061</v>
      </c>
      <c r="N724" s="304">
        <f t="shared" ca="1" si="336"/>
        <v>-85.774284303058536</v>
      </c>
      <c r="P724" s="310">
        <f t="shared" ca="1" si="337"/>
        <v>23</v>
      </c>
      <c r="Q724" s="304">
        <f t="shared" ca="1" si="338"/>
        <v>0</v>
      </c>
      <c r="R724" s="306">
        <f t="shared" ca="1" si="339"/>
        <v>0</v>
      </c>
      <c r="S724" s="307">
        <f t="shared" ca="1" si="340"/>
        <v>4.341000000000002</v>
      </c>
      <c r="T724" s="304">
        <f t="shared" ca="1" si="320"/>
        <v>42.585210000000025</v>
      </c>
      <c r="U724" s="311">
        <f t="shared" ca="1" si="321"/>
        <v>0</v>
      </c>
      <c r="V724" s="306">
        <f t="shared" ca="1" si="322"/>
        <v>1.2257669235791619</v>
      </c>
      <c r="W724" s="304">
        <f t="shared" ca="1" si="323"/>
        <v>38.78838583283278</v>
      </c>
      <c r="Y724" s="314" t="str">
        <f t="shared" ca="1" si="341"/>
        <v/>
      </c>
      <c r="Z724" s="315" t="str">
        <f t="shared" ca="1" si="342"/>
        <v/>
      </c>
      <c r="AA724" s="316" t="str">
        <f t="shared" ca="1" si="343"/>
        <v/>
      </c>
      <c r="AC724" s="310" t="e">
        <f t="shared" ca="1" si="344"/>
        <v>#N/A</v>
      </c>
      <c r="AD724" s="323" t="e">
        <f t="shared" ca="1" si="345"/>
        <v>#N/A</v>
      </c>
      <c r="AE724" s="324" t="e">
        <f t="shared" ca="1" si="324"/>
        <v>#N/A</v>
      </c>
      <c r="AG724" s="306">
        <f t="shared" ca="1" si="346"/>
        <v>0.84799793504875254</v>
      </c>
      <c r="AH724" s="304">
        <f t="shared" ca="1" si="347"/>
        <v>-8.9353331072097291</v>
      </c>
    </row>
    <row r="725" spans="1:34" x14ac:dyDescent="0.2">
      <c r="A725" s="347">
        <f t="shared" ca="1" si="325"/>
        <v>1E-4</v>
      </c>
      <c r="B725" s="304">
        <f t="shared" ca="1" si="326"/>
        <v>28.63450000000006</v>
      </c>
      <c r="D725" s="306">
        <f t="shared" ca="1" si="327"/>
        <v>-0.65840901883485348</v>
      </c>
      <c r="E725" s="307">
        <f t="shared" ca="1" si="328"/>
        <v>-0.89893346492066506</v>
      </c>
      <c r="F725" s="304">
        <f t="shared" ca="1" si="329"/>
        <v>1.1142637975081784</v>
      </c>
      <c r="G725" s="306">
        <f t="shared" ca="1" si="330"/>
        <v>7.2770543018893861</v>
      </c>
      <c r="H725" s="307">
        <f t="shared" ca="1" si="331"/>
        <v>-98.490389875771868</v>
      </c>
      <c r="I725" s="304">
        <f t="shared" ca="1" si="332"/>
        <v>98.75885994276257</v>
      </c>
      <c r="J725" s="306">
        <f t="shared" ca="1" si="333"/>
        <v>678.53524446899166</v>
      </c>
      <c r="K725" s="307">
        <f t="shared" ca="1" si="334"/>
        <v>-6.268490537959555</v>
      </c>
      <c r="L725" s="304">
        <f t="shared" ca="1" si="319"/>
        <v>678.56419884946683</v>
      </c>
      <c r="M725" s="306">
        <f t="shared" ca="1" si="335"/>
        <v>-1.4970444065722655</v>
      </c>
      <c r="N725" s="304">
        <f t="shared" ca="1" si="336"/>
        <v>-85.774326240257693</v>
      </c>
      <c r="P725" s="310">
        <f t="shared" ca="1" si="337"/>
        <v>23</v>
      </c>
      <c r="Q725" s="304">
        <f t="shared" ca="1" si="338"/>
        <v>0</v>
      </c>
      <c r="R725" s="306">
        <f t="shared" ca="1" si="339"/>
        <v>0</v>
      </c>
      <c r="S725" s="307">
        <f t="shared" ca="1" si="340"/>
        <v>4.341000000000002</v>
      </c>
      <c r="T725" s="304">
        <f t="shared" ca="1" si="320"/>
        <v>42.585210000000025</v>
      </c>
      <c r="U725" s="311">
        <f t="shared" ca="1" si="321"/>
        <v>0</v>
      </c>
      <c r="V725" s="306">
        <f t="shared" ca="1" si="322"/>
        <v>1.2257681308419459</v>
      </c>
      <c r="W725" s="304">
        <f t="shared" ca="1" si="323"/>
        <v>38.788490645673932</v>
      </c>
      <c r="Y725" s="314" t="str">
        <f t="shared" ca="1" si="341"/>
        <v/>
      </c>
      <c r="Z725" s="315" t="str">
        <f t="shared" ca="1" si="342"/>
        <v/>
      </c>
      <c r="AA725" s="316" t="str">
        <f t="shared" ca="1" si="343"/>
        <v/>
      </c>
      <c r="AC725" s="310" t="e">
        <f t="shared" ca="1" si="344"/>
        <v>#N/A</v>
      </c>
      <c r="AD725" s="323" t="e">
        <f t="shared" ca="1" si="345"/>
        <v>#N/A</v>
      </c>
      <c r="AE725" s="324" t="e">
        <f t="shared" ca="1" si="324"/>
        <v>#N/A</v>
      </c>
      <c r="AG725" s="306">
        <f t="shared" ca="1" si="346"/>
        <v>0.84797431891905006</v>
      </c>
      <c r="AH725" s="304">
        <f t="shared" ca="1" si="347"/>
        <v>-8.9353572524378624</v>
      </c>
    </row>
    <row r="726" spans="1:34" x14ac:dyDescent="0.2">
      <c r="A726" s="347">
        <f t="shared" ca="1" si="325"/>
        <v>1E-4</v>
      </c>
      <c r="B726" s="304">
        <f t="shared" ca="1" si="326"/>
        <v>28.634600000000059</v>
      </c>
      <c r="D726" s="306">
        <f t="shared" ca="1" si="327"/>
        <v>-0.65840427556495329</v>
      </c>
      <c r="E726" s="307">
        <f t="shared" ca="1" si="328"/>
        <v>-0.89890890378117128</v>
      </c>
      <c r="F726" s="304">
        <f t="shared" ca="1" si="329"/>
        <v>1.1142411800769516</v>
      </c>
      <c r="G726" s="306">
        <f t="shared" ca="1" si="330"/>
        <v>7.2769884614618299</v>
      </c>
      <c r="H726" s="307">
        <f t="shared" ca="1" si="331"/>
        <v>-98.490479766662247</v>
      </c>
      <c r="I726" s="304">
        <f t="shared" ca="1" si="332"/>
        <v>98.758944737859338</v>
      </c>
      <c r="J726" s="306">
        <f t="shared" ca="1" si="333"/>
        <v>678.53524446899166</v>
      </c>
      <c r="K726" s="307">
        <f t="shared" ca="1" si="334"/>
        <v>-6.2783395814416769</v>
      </c>
      <c r="L726" s="304">
        <f t="shared" ca="1" si="319"/>
        <v>678.56428990516008</v>
      </c>
      <c r="M726" s="306">
        <f t="shared" ca="1" si="335"/>
        <v>-1.4970451385065904</v>
      </c>
      <c r="N726" s="304">
        <f t="shared" ca="1" si="336"/>
        <v>-85.774368177005385</v>
      </c>
      <c r="P726" s="310">
        <f t="shared" ca="1" si="337"/>
        <v>23</v>
      </c>
      <c r="Q726" s="304">
        <f t="shared" ca="1" si="338"/>
        <v>0</v>
      </c>
      <c r="R726" s="306">
        <f t="shared" ca="1" si="339"/>
        <v>0</v>
      </c>
      <c r="S726" s="307">
        <f t="shared" ca="1" si="340"/>
        <v>4.341000000000002</v>
      </c>
      <c r="T726" s="304">
        <f t="shared" ca="1" si="320"/>
        <v>42.585210000000025</v>
      </c>
      <c r="U726" s="311">
        <f t="shared" ca="1" si="321"/>
        <v>0</v>
      </c>
      <c r="V726" s="306">
        <f t="shared" ca="1" si="322"/>
        <v>1.2257693381070209</v>
      </c>
      <c r="W726" s="304">
        <f t="shared" ca="1" si="323"/>
        <v>38.788595456920916</v>
      </c>
      <c r="Y726" s="314" t="str">
        <f t="shared" ca="1" si="341"/>
        <v/>
      </c>
      <c r="Z726" s="315" t="str">
        <f t="shared" ca="1" si="342"/>
        <v/>
      </c>
      <c r="AA726" s="316" t="str">
        <f t="shared" ca="1" si="343"/>
        <v/>
      </c>
      <c r="AC726" s="310" t="e">
        <f t="shared" ca="1" si="344"/>
        <v>#N/A</v>
      </c>
      <c r="AD726" s="323" t="e">
        <f t="shared" ca="1" si="345"/>
        <v>#N/A</v>
      </c>
      <c r="AE726" s="324" t="e">
        <f t="shared" ca="1" si="324"/>
        <v>#N/A</v>
      </c>
      <c r="AG726" s="306">
        <f t="shared" ca="1" si="346"/>
        <v>0.84795070314564569</v>
      </c>
      <c r="AH726" s="304">
        <f t="shared" ca="1" si="347"/>
        <v>-8.9353813972987588</v>
      </c>
    </row>
    <row r="727" spans="1:34" x14ac:dyDescent="0.2">
      <c r="A727" s="347">
        <f t="shared" ca="1" si="325"/>
        <v>1E-4</v>
      </c>
      <c r="B727" s="304">
        <f t="shared" ca="1" si="326"/>
        <v>28.634700000000059</v>
      </c>
      <c r="D727" s="306">
        <f t="shared" ca="1" si="327"/>
        <v>-0.6583995323026065</v>
      </c>
      <c r="E727" s="307">
        <f t="shared" ca="1" si="328"/>
        <v>-0.8988843430152702</v>
      </c>
      <c r="F727" s="304">
        <f t="shared" ca="1" si="329"/>
        <v>1.1142185630540737</v>
      </c>
      <c r="G727" s="306">
        <f t="shared" ca="1" si="330"/>
        <v>7.2769226215086</v>
      </c>
      <c r="H727" s="307">
        <f t="shared" ca="1" si="331"/>
        <v>-98.49056965509655</v>
      </c>
      <c r="I727" s="304">
        <f t="shared" ca="1" si="332"/>
        <v>98.75902953059456</v>
      </c>
      <c r="J727" s="306">
        <f t="shared" ca="1" si="333"/>
        <v>678.53524446899166</v>
      </c>
      <c r="K727" s="307">
        <f t="shared" ca="1" si="334"/>
        <v>-6.2881886339127648</v>
      </c>
      <c r="L727" s="304">
        <f t="shared" ca="1" si="319"/>
        <v>678.56438110387876</v>
      </c>
      <c r="M727" s="306">
        <f t="shared" ca="1" si="335"/>
        <v>-1.4970458704330363</v>
      </c>
      <c r="N727" s="304">
        <f t="shared" ca="1" si="336"/>
        <v>-85.774410113301656</v>
      </c>
      <c r="P727" s="310">
        <f t="shared" ca="1" si="337"/>
        <v>23</v>
      </c>
      <c r="Q727" s="304">
        <f t="shared" ca="1" si="338"/>
        <v>0</v>
      </c>
      <c r="R727" s="306">
        <f t="shared" ca="1" si="339"/>
        <v>0</v>
      </c>
      <c r="S727" s="307">
        <f t="shared" ca="1" si="340"/>
        <v>4.341000000000002</v>
      </c>
      <c r="T727" s="304">
        <f t="shared" ca="1" si="320"/>
        <v>42.585210000000025</v>
      </c>
      <c r="U727" s="311">
        <f t="shared" ca="1" si="321"/>
        <v>0</v>
      </c>
      <c r="V727" s="306">
        <f t="shared" ca="1" si="322"/>
        <v>1.2257705453743877</v>
      </c>
      <c r="W727" s="304">
        <f t="shared" ca="1" si="323"/>
        <v>38.788700266573777</v>
      </c>
      <c r="Y727" s="314" t="str">
        <f t="shared" ca="1" si="341"/>
        <v/>
      </c>
      <c r="Z727" s="315" t="str">
        <f t="shared" ca="1" si="342"/>
        <v/>
      </c>
      <c r="AA727" s="316" t="str">
        <f t="shared" ca="1" si="343"/>
        <v/>
      </c>
      <c r="AC727" s="310" t="e">
        <f t="shared" ca="1" si="344"/>
        <v>#N/A</v>
      </c>
      <c r="AD727" s="323" t="e">
        <f t="shared" ca="1" si="345"/>
        <v>#N/A</v>
      </c>
      <c r="AE727" s="324" t="e">
        <f t="shared" ca="1" si="324"/>
        <v>#N/A</v>
      </c>
      <c r="AG727" s="306">
        <f t="shared" ca="1" si="346"/>
        <v>0.8479270877285412</v>
      </c>
      <c r="AH727" s="304">
        <f t="shared" ca="1" si="347"/>
        <v>-8.9354055417924201</v>
      </c>
    </row>
    <row r="728" spans="1:34" x14ac:dyDescent="0.2">
      <c r="A728" s="347">
        <f t="shared" ca="1" si="325"/>
        <v>1E-4</v>
      </c>
      <c r="B728" s="304">
        <f t="shared" ca="1" si="326"/>
        <v>28.634800000000059</v>
      </c>
      <c r="D728" s="306">
        <f t="shared" ca="1" si="327"/>
        <v>-0.65839478904781146</v>
      </c>
      <c r="E728" s="307">
        <f t="shared" ca="1" si="328"/>
        <v>-0.89885978262295296</v>
      </c>
      <c r="F728" s="304">
        <f t="shared" ca="1" si="329"/>
        <v>1.1141959464395363</v>
      </c>
      <c r="G728" s="306">
        <f t="shared" ca="1" si="330"/>
        <v>7.2768567820296957</v>
      </c>
      <c r="H728" s="307">
        <f t="shared" ca="1" si="331"/>
        <v>-98.490659541074805</v>
      </c>
      <c r="I728" s="304">
        <f t="shared" ca="1" si="332"/>
        <v>98.75911432096828</v>
      </c>
      <c r="J728" s="306">
        <f t="shared" ca="1" si="333"/>
        <v>678.53524446899166</v>
      </c>
      <c r="K728" s="307">
        <f t="shared" ca="1" si="334"/>
        <v>-6.2980376953725736</v>
      </c>
      <c r="L728" s="304">
        <f t="shared" ca="1" si="319"/>
        <v>678.56447244562298</v>
      </c>
      <c r="M728" s="306">
        <f t="shared" ca="1" si="335"/>
        <v>-1.4970466023516031</v>
      </c>
      <c r="N728" s="304">
        <f t="shared" ca="1" si="336"/>
        <v>-85.774452049146475</v>
      </c>
      <c r="P728" s="310">
        <f t="shared" ca="1" si="337"/>
        <v>23</v>
      </c>
      <c r="Q728" s="304">
        <f t="shared" ca="1" si="338"/>
        <v>0</v>
      </c>
      <c r="R728" s="306">
        <f t="shared" ca="1" si="339"/>
        <v>0</v>
      </c>
      <c r="S728" s="307">
        <f t="shared" ca="1" si="340"/>
        <v>4.341000000000002</v>
      </c>
      <c r="T728" s="304">
        <f t="shared" ca="1" si="320"/>
        <v>42.585210000000025</v>
      </c>
      <c r="U728" s="311">
        <f t="shared" ca="1" si="321"/>
        <v>0</v>
      </c>
      <c r="V728" s="306">
        <f t="shared" ca="1" si="322"/>
        <v>1.2257717526440453</v>
      </c>
      <c r="W728" s="304">
        <f t="shared" ca="1" si="323"/>
        <v>38.788805074632492</v>
      </c>
      <c r="Y728" s="314" t="str">
        <f t="shared" ca="1" si="341"/>
        <v/>
      </c>
      <c r="Z728" s="315" t="str">
        <f t="shared" ca="1" si="342"/>
        <v/>
      </c>
      <c r="AA728" s="316" t="str">
        <f t="shared" ca="1" si="343"/>
        <v/>
      </c>
      <c r="AC728" s="310" t="e">
        <f t="shared" ca="1" si="344"/>
        <v>#N/A</v>
      </c>
      <c r="AD728" s="323" t="e">
        <f t="shared" ca="1" si="345"/>
        <v>#N/A</v>
      </c>
      <c r="AE728" s="324" t="e">
        <f t="shared" ca="1" si="324"/>
        <v>#N/A</v>
      </c>
      <c r="AG728" s="306">
        <f t="shared" ca="1" si="346"/>
        <v>0.84790347266772415</v>
      </c>
      <c r="AH728" s="304">
        <f t="shared" ca="1" si="347"/>
        <v>-8.9354296859188569</v>
      </c>
    </row>
    <row r="729" spans="1:34" x14ac:dyDescent="0.2">
      <c r="A729" s="347">
        <f t="shared" ca="1" si="325"/>
        <v>1E-4</v>
      </c>
      <c r="B729" s="304">
        <f t="shared" ca="1" si="326"/>
        <v>28.634900000000059</v>
      </c>
      <c r="D729" s="306">
        <f t="shared" ca="1" si="327"/>
        <v>-0.65839004580056915</v>
      </c>
      <c r="E729" s="307">
        <f t="shared" ca="1" si="328"/>
        <v>-0.89883522260422488</v>
      </c>
      <c r="F729" s="304">
        <f t="shared" ca="1" si="329"/>
        <v>1.1141733302333447</v>
      </c>
      <c r="G729" s="306">
        <f t="shared" ca="1" si="330"/>
        <v>7.2767909430251159</v>
      </c>
      <c r="H729" s="307">
        <f t="shared" ca="1" si="331"/>
        <v>-98.49074942459707</v>
      </c>
      <c r="I729" s="304">
        <f t="shared" ca="1" si="332"/>
        <v>98.759199108980525</v>
      </c>
      <c r="J729" s="306">
        <f t="shared" ca="1" si="333"/>
        <v>678.53524446899166</v>
      </c>
      <c r="K729" s="307">
        <f t="shared" ca="1" si="334"/>
        <v>-6.3078867658208573</v>
      </c>
      <c r="L729" s="304">
        <f t="shared" ca="1" si="319"/>
        <v>678.56456393039321</v>
      </c>
      <c r="M729" s="306">
        <f t="shared" ca="1" si="335"/>
        <v>-1.497047334262291</v>
      </c>
      <c r="N729" s="304">
        <f t="shared" ca="1" si="336"/>
        <v>-85.774493984539873</v>
      </c>
      <c r="P729" s="310">
        <f t="shared" ca="1" si="337"/>
        <v>23</v>
      </c>
      <c r="Q729" s="304">
        <f t="shared" ca="1" si="338"/>
        <v>0</v>
      </c>
      <c r="R729" s="306">
        <f t="shared" ca="1" si="339"/>
        <v>0</v>
      </c>
      <c r="S729" s="307">
        <f t="shared" ca="1" si="340"/>
        <v>4.341000000000002</v>
      </c>
      <c r="T729" s="304">
        <f t="shared" ca="1" si="320"/>
        <v>42.585210000000025</v>
      </c>
      <c r="U729" s="311">
        <f t="shared" ca="1" si="321"/>
        <v>0</v>
      </c>
      <c r="V729" s="306">
        <f t="shared" ca="1" si="322"/>
        <v>1.2257729599159946</v>
      </c>
      <c r="W729" s="304">
        <f t="shared" ca="1" si="323"/>
        <v>38.788909881097112</v>
      </c>
      <c r="Y729" s="314" t="str">
        <f t="shared" ca="1" si="341"/>
        <v/>
      </c>
      <c r="Z729" s="315" t="str">
        <f t="shared" ca="1" si="342"/>
        <v/>
      </c>
      <c r="AA729" s="316" t="str">
        <f t="shared" ca="1" si="343"/>
        <v/>
      </c>
      <c r="AC729" s="310" t="e">
        <f t="shared" ca="1" si="344"/>
        <v>#N/A</v>
      </c>
      <c r="AD729" s="323" t="e">
        <f t="shared" ca="1" si="345"/>
        <v>#N/A</v>
      </c>
      <c r="AE729" s="324" t="e">
        <f t="shared" ca="1" si="324"/>
        <v>#N/A</v>
      </c>
      <c r="AG729" s="306">
        <f t="shared" ca="1" si="346"/>
        <v>0.84787985796320164</v>
      </c>
      <c r="AH729" s="304">
        <f t="shared" ca="1" si="347"/>
        <v>-8.9354538296780639</v>
      </c>
    </row>
    <row r="730" spans="1:34" x14ac:dyDescent="0.2">
      <c r="A730" s="347">
        <f t="shared" ca="1" si="325"/>
        <v>1E-4</v>
      </c>
      <c r="B730" s="304">
        <f t="shared" ca="1" si="326"/>
        <v>28.635000000000058</v>
      </c>
      <c r="D730" s="306">
        <f t="shared" ca="1" si="327"/>
        <v>-0.65838530256088168</v>
      </c>
      <c r="E730" s="307">
        <f t="shared" ca="1" si="328"/>
        <v>-0.8988106629590753</v>
      </c>
      <c r="F730" s="304">
        <f t="shared" ca="1" si="329"/>
        <v>1.1141507144354914</v>
      </c>
      <c r="G730" s="306">
        <f t="shared" ca="1" si="330"/>
        <v>7.2767251044948598</v>
      </c>
      <c r="H730" s="307">
        <f t="shared" ca="1" si="331"/>
        <v>-98.490839305663371</v>
      </c>
      <c r="I730" s="304">
        <f t="shared" ca="1" si="332"/>
        <v>98.759283894631352</v>
      </c>
      <c r="J730" s="306">
        <f t="shared" ca="1" si="333"/>
        <v>678.53524446899166</v>
      </c>
      <c r="K730" s="307">
        <f t="shared" ca="1" si="334"/>
        <v>-6.3177358452573706</v>
      </c>
      <c r="L730" s="304">
        <f t="shared" ca="1" si="319"/>
        <v>678.56465555818977</v>
      </c>
      <c r="M730" s="306">
        <f t="shared" ca="1" si="335"/>
        <v>-1.4970480661651</v>
      </c>
      <c r="N730" s="304">
        <f t="shared" ca="1" si="336"/>
        <v>-85.774535919481849</v>
      </c>
      <c r="P730" s="310">
        <f t="shared" ca="1" si="337"/>
        <v>23</v>
      </c>
      <c r="Q730" s="304">
        <f t="shared" ca="1" si="338"/>
        <v>0</v>
      </c>
      <c r="R730" s="306">
        <f t="shared" ca="1" si="339"/>
        <v>0</v>
      </c>
      <c r="S730" s="307">
        <f t="shared" ca="1" si="340"/>
        <v>4.341000000000002</v>
      </c>
      <c r="T730" s="304">
        <f t="shared" ca="1" si="320"/>
        <v>42.585210000000025</v>
      </c>
      <c r="U730" s="311">
        <f t="shared" ca="1" si="321"/>
        <v>0</v>
      </c>
      <c r="V730" s="306">
        <f t="shared" ca="1" si="322"/>
        <v>1.2257741671902345</v>
      </c>
      <c r="W730" s="304">
        <f t="shared" ca="1" si="323"/>
        <v>38.789014685967636</v>
      </c>
      <c r="Y730" s="314" t="str">
        <f t="shared" ca="1" si="341"/>
        <v/>
      </c>
      <c r="Z730" s="315" t="str">
        <f t="shared" ca="1" si="342"/>
        <v/>
      </c>
      <c r="AA730" s="316" t="str">
        <f t="shared" ca="1" si="343"/>
        <v/>
      </c>
      <c r="AC730" s="310" t="e">
        <f t="shared" ca="1" si="344"/>
        <v>#N/A</v>
      </c>
      <c r="AD730" s="323" t="e">
        <f t="shared" ca="1" si="345"/>
        <v>#N/A</v>
      </c>
      <c r="AE730" s="324" t="e">
        <f t="shared" ca="1" si="324"/>
        <v>#N/A</v>
      </c>
      <c r="AG730" s="306">
        <f t="shared" ca="1" si="346"/>
        <v>0.84785624361496303</v>
      </c>
      <c r="AH730" s="304">
        <f t="shared" ca="1" si="347"/>
        <v>-8.9354779730700518</v>
      </c>
    </row>
    <row r="731" spans="1:34" x14ac:dyDescent="0.2">
      <c r="A731" s="347">
        <f t="shared" ca="1" si="325"/>
        <v>1E-4</v>
      </c>
      <c r="B731" s="304">
        <f t="shared" ca="1" si="326"/>
        <v>28.635100000000058</v>
      </c>
      <c r="D731" s="306">
        <f t="shared" ca="1" si="327"/>
        <v>-0.6583805593287485</v>
      </c>
      <c r="E731" s="307">
        <f t="shared" ca="1" si="328"/>
        <v>-0.89878610368750245</v>
      </c>
      <c r="F731" s="304">
        <f t="shared" ca="1" si="329"/>
        <v>1.114128099045975</v>
      </c>
      <c r="G731" s="306">
        <f t="shared" ca="1" si="330"/>
        <v>7.2766592664389265</v>
      </c>
      <c r="H731" s="307">
        <f t="shared" ca="1" si="331"/>
        <v>-98.490929184273739</v>
      </c>
      <c r="I731" s="304">
        <f t="shared" ca="1" si="332"/>
        <v>98.759368677920762</v>
      </c>
      <c r="J731" s="306">
        <f t="shared" ca="1" si="333"/>
        <v>678.53524446899166</v>
      </c>
      <c r="K731" s="307">
        <f t="shared" ca="1" si="334"/>
        <v>-6.3275849336818677</v>
      </c>
      <c r="L731" s="304">
        <f t="shared" ca="1" si="319"/>
        <v>678.56474732901302</v>
      </c>
      <c r="M731" s="306">
        <f t="shared" ca="1" si="335"/>
        <v>-1.4970487980600302</v>
      </c>
      <c r="N731" s="304">
        <f t="shared" ca="1" si="336"/>
        <v>-85.774577853972389</v>
      </c>
      <c r="P731" s="310">
        <f t="shared" ca="1" si="337"/>
        <v>23</v>
      </c>
      <c r="Q731" s="304">
        <f t="shared" ca="1" si="338"/>
        <v>0</v>
      </c>
      <c r="R731" s="306">
        <f t="shared" ca="1" si="339"/>
        <v>0</v>
      </c>
      <c r="S731" s="307">
        <f t="shared" ca="1" si="340"/>
        <v>4.341000000000002</v>
      </c>
      <c r="T731" s="304">
        <f t="shared" ca="1" si="320"/>
        <v>42.585210000000025</v>
      </c>
      <c r="U731" s="311">
        <f t="shared" ca="1" si="321"/>
        <v>0</v>
      </c>
      <c r="V731" s="306">
        <f t="shared" ca="1" si="322"/>
        <v>1.2257753744667659</v>
      </c>
      <c r="W731" s="304">
        <f t="shared" ca="1" si="323"/>
        <v>38.789119489244101</v>
      </c>
      <c r="Y731" s="314" t="str">
        <f t="shared" ca="1" si="341"/>
        <v/>
      </c>
      <c r="Z731" s="315" t="str">
        <f t="shared" ca="1" si="342"/>
        <v/>
      </c>
      <c r="AA731" s="316" t="str">
        <f t="shared" ca="1" si="343"/>
        <v/>
      </c>
      <c r="AC731" s="310" t="e">
        <f t="shared" ca="1" si="344"/>
        <v>#N/A</v>
      </c>
      <c r="AD731" s="323" t="e">
        <f t="shared" ca="1" si="345"/>
        <v>#N/A</v>
      </c>
      <c r="AE731" s="324" t="e">
        <f t="shared" ca="1" si="324"/>
        <v>#N/A</v>
      </c>
      <c r="AG731" s="306">
        <f t="shared" ca="1" si="346"/>
        <v>0.84783262962300654</v>
      </c>
      <c r="AH731" s="304">
        <f t="shared" ca="1" si="347"/>
        <v>-8.9355021160948205</v>
      </c>
    </row>
    <row r="732" spans="1:34" x14ac:dyDescent="0.2">
      <c r="A732" s="347">
        <f t="shared" ca="1" si="325"/>
        <v>1E-4</v>
      </c>
      <c r="B732" s="304">
        <f t="shared" ca="1" si="326"/>
        <v>28.635200000000058</v>
      </c>
      <c r="D732" s="306">
        <f t="shared" ca="1" si="327"/>
        <v>-0.65837581610417173</v>
      </c>
      <c r="E732" s="307">
        <f t="shared" ca="1" si="328"/>
        <v>-0.89876154478949566</v>
      </c>
      <c r="F732" s="304">
        <f t="shared" ca="1" si="329"/>
        <v>1.1141054840647877</v>
      </c>
      <c r="G732" s="306">
        <f t="shared" ca="1" si="330"/>
        <v>7.276593428857316</v>
      </c>
      <c r="H732" s="307">
        <f t="shared" ca="1" si="331"/>
        <v>-98.491019060428215</v>
      </c>
      <c r="I732" s="304">
        <f t="shared" ca="1" si="332"/>
        <v>98.759453458848796</v>
      </c>
      <c r="J732" s="306">
        <f t="shared" ca="1" si="333"/>
        <v>678.53524446899166</v>
      </c>
      <c r="K732" s="307">
        <f t="shared" ca="1" si="334"/>
        <v>-6.3374340310941024</v>
      </c>
      <c r="L732" s="304">
        <f t="shared" ca="1" si="319"/>
        <v>678.56483924286317</v>
      </c>
      <c r="M732" s="306">
        <f t="shared" ca="1" si="335"/>
        <v>-1.4970495299470818</v>
      </c>
      <c r="N732" s="304">
        <f t="shared" ca="1" si="336"/>
        <v>-85.774619788011535</v>
      </c>
      <c r="P732" s="310">
        <f t="shared" ca="1" si="337"/>
        <v>23</v>
      </c>
      <c r="Q732" s="304">
        <f t="shared" ca="1" si="338"/>
        <v>0</v>
      </c>
      <c r="R732" s="306">
        <f t="shared" ca="1" si="339"/>
        <v>0</v>
      </c>
      <c r="S732" s="307">
        <f t="shared" ca="1" si="340"/>
        <v>4.341000000000002</v>
      </c>
      <c r="T732" s="304">
        <f t="shared" ca="1" si="320"/>
        <v>42.585210000000025</v>
      </c>
      <c r="U732" s="311">
        <f t="shared" ca="1" si="321"/>
        <v>0</v>
      </c>
      <c r="V732" s="306">
        <f t="shared" ca="1" si="322"/>
        <v>1.2257765817455883</v>
      </c>
      <c r="W732" s="304">
        <f t="shared" ca="1" si="323"/>
        <v>38.789224290926484</v>
      </c>
      <c r="Y732" s="314" t="str">
        <f t="shared" ca="1" si="341"/>
        <v/>
      </c>
      <c r="Z732" s="315" t="str">
        <f t="shared" ca="1" si="342"/>
        <v/>
      </c>
      <c r="AA732" s="316" t="str">
        <f t="shared" ca="1" si="343"/>
        <v/>
      </c>
      <c r="AC732" s="310" t="e">
        <f t="shared" ca="1" si="344"/>
        <v>#N/A</v>
      </c>
      <c r="AD732" s="323" t="e">
        <f t="shared" ca="1" si="345"/>
        <v>#N/A</v>
      </c>
      <c r="AE732" s="324" t="e">
        <f t="shared" ca="1" si="324"/>
        <v>#N/A</v>
      </c>
      <c r="AG732" s="306">
        <f t="shared" ca="1" si="346"/>
        <v>0.84780901598732328</v>
      </c>
      <c r="AH732" s="304">
        <f t="shared" ca="1" si="347"/>
        <v>-8.9355262587523807</v>
      </c>
    </row>
    <row r="733" spans="1:34" x14ac:dyDescent="0.2">
      <c r="A733" s="347">
        <f t="shared" ca="1" si="325"/>
        <v>1E-4</v>
      </c>
      <c r="B733" s="304">
        <f t="shared" ca="1" si="326"/>
        <v>28.635300000000058</v>
      </c>
      <c r="D733" s="306">
        <f t="shared" ca="1" si="327"/>
        <v>-0.65837107288715024</v>
      </c>
      <c r="E733" s="307">
        <f t="shared" ca="1" si="328"/>
        <v>-0.89873698626506737</v>
      </c>
      <c r="F733" s="304">
        <f t="shared" ca="1" si="329"/>
        <v>1.1140828694919391</v>
      </c>
      <c r="G733" s="306">
        <f t="shared" ca="1" si="330"/>
        <v>7.2765275917500274</v>
      </c>
      <c r="H733" s="307">
        <f t="shared" ca="1" si="331"/>
        <v>-98.491108934126842</v>
      </c>
      <c r="I733" s="304">
        <f t="shared" ca="1" si="332"/>
        <v>98.759538237415526</v>
      </c>
      <c r="J733" s="306">
        <f t="shared" ca="1" si="333"/>
        <v>678.53524446899166</v>
      </c>
      <c r="K733" s="307">
        <f t="shared" ca="1" si="334"/>
        <v>-6.3472831374938306</v>
      </c>
      <c r="L733" s="304">
        <f t="shared" ca="1" si="319"/>
        <v>678.56493129974069</v>
      </c>
      <c r="M733" s="306">
        <f t="shared" ca="1" si="335"/>
        <v>-1.4970502618262551</v>
      </c>
      <c r="N733" s="304">
        <f t="shared" ca="1" si="336"/>
        <v>-85.774661721599273</v>
      </c>
      <c r="P733" s="310">
        <f t="shared" ca="1" si="337"/>
        <v>23</v>
      </c>
      <c r="Q733" s="304">
        <f t="shared" ca="1" si="338"/>
        <v>0</v>
      </c>
      <c r="R733" s="306">
        <f t="shared" ca="1" si="339"/>
        <v>0</v>
      </c>
      <c r="S733" s="307">
        <f t="shared" ca="1" si="340"/>
        <v>4.341000000000002</v>
      </c>
      <c r="T733" s="304">
        <f t="shared" ca="1" si="320"/>
        <v>42.585210000000025</v>
      </c>
      <c r="U733" s="311">
        <f t="shared" ca="1" si="321"/>
        <v>0</v>
      </c>
      <c r="V733" s="306">
        <f t="shared" ca="1" si="322"/>
        <v>1.2257777890267016</v>
      </c>
      <c r="W733" s="304">
        <f t="shared" ca="1" si="323"/>
        <v>38.789329091014842</v>
      </c>
      <c r="Y733" s="314" t="str">
        <f t="shared" ca="1" si="341"/>
        <v/>
      </c>
      <c r="Z733" s="315" t="str">
        <f t="shared" ca="1" si="342"/>
        <v/>
      </c>
      <c r="AA733" s="316" t="str">
        <f t="shared" ca="1" si="343"/>
        <v/>
      </c>
      <c r="AC733" s="310" t="e">
        <f t="shared" ca="1" si="344"/>
        <v>#N/A</v>
      </c>
      <c r="AD733" s="323" t="e">
        <f t="shared" ca="1" si="345"/>
        <v>#N/A</v>
      </c>
      <c r="AE733" s="324" t="e">
        <f t="shared" ca="1" si="324"/>
        <v>#N/A</v>
      </c>
      <c r="AG733" s="306">
        <f t="shared" ca="1" si="346"/>
        <v>0.84778540270792035</v>
      </c>
      <c r="AH733" s="304">
        <f t="shared" ca="1" si="347"/>
        <v>-8.9355504010427236</v>
      </c>
    </row>
    <row r="734" spans="1:34" x14ac:dyDescent="0.2">
      <c r="A734" s="347">
        <f t="shared" ca="1" si="325"/>
        <v>1E-4</v>
      </c>
      <c r="B734" s="304">
        <f t="shared" ca="1" si="326"/>
        <v>28.635400000000057</v>
      </c>
      <c r="D734" s="306">
        <f t="shared" ca="1" si="327"/>
        <v>-0.6583663296776846</v>
      </c>
      <c r="E734" s="307">
        <f t="shared" ca="1" si="328"/>
        <v>-0.89871242811419627</v>
      </c>
      <c r="F734" s="304">
        <f t="shared" ca="1" si="329"/>
        <v>1.1140602553274128</v>
      </c>
      <c r="G734" s="306">
        <f t="shared" ca="1" si="330"/>
        <v>7.2764617551170598</v>
      </c>
      <c r="H734" s="307">
        <f t="shared" ca="1" si="331"/>
        <v>-98.491198805369649</v>
      </c>
      <c r="I734" s="304">
        <f t="shared" ca="1" si="332"/>
        <v>98.759623013620953</v>
      </c>
      <c r="J734" s="306">
        <f t="shared" ca="1" si="333"/>
        <v>678.53524446899166</v>
      </c>
      <c r="K734" s="307">
        <f t="shared" ca="1" si="334"/>
        <v>-6.3571322528808052</v>
      </c>
      <c r="L734" s="304">
        <f t="shared" ca="1" si="319"/>
        <v>678.5650234996458</v>
      </c>
      <c r="M734" s="306">
        <f t="shared" ca="1" si="335"/>
        <v>-1.4970509936975498</v>
      </c>
      <c r="N734" s="304">
        <f t="shared" ca="1" si="336"/>
        <v>-85.774703654735603</v>
      </c>
      <c r="P734" s="310">
        <f t="shared" ca="1" si="337"/>
        <v>23</v>
      </c>
      <c r="Q734" s="304">
        <f t="shared" ca="1" si="338"/>
        <v>0</v>
      </c>
      <c r="R734" s="306">
        <f t="shared" ca="1" si="339"/>
        <v>0</v>
      </c>
      <c r="S734" s="307">
        <f t="shared" ca="1" si="340"/>
        <v>4.341000000000002</v>
      </c>
      <c r="T734" s="304">
        <f t="shared" ca="1" si="320"/>
        <v>42.585210000000025</v>
      </c>
      <c r="U734" s="311">
        <f t="shared" ca="1" si="321"/>
        <v>0</v>
      </c>
      <c r="V734" s="306">
        <f t="shared" ca="1" si="322"/>
        <v>1.2257789963101065</v>
      </c>
      <c r="W734" s="304">
        <f t="shared" ca="1" si="323"/>
        <v>38.789433889509183</v>
      </c>
      <c r="Y734" s="314" t="str">
        <f t="shared" ca="1" si="341"/>
        <v/>
      </c>
      <c r="Z734" s="315" t="str">
        <f t="shared" ca="1" si="342"/>
        <v/>
      </c>
      <c r="AA734" s="316" t="str">
        <f t="shared" ca="1" si="343"/>
        <v/>
      </c>
      <c r="AC734" s="310" t="e">
        <f t="shared" ca="1" si="344"/>
        <v>#N/A</v>
      </c>
      <c r="AD734" s="323" t="e">
        <f t="shared" ca="1" si="345"/>
        <v>#N/A</v>
      </c>
      <c r="AE734" s="324" t="e">
        <f t="shared" ca="1" si="324"/>
        <v>#N/A</v>
      </c>
      <c r="AG734" s="306">
        <f t="shared" ca="1" si="346"/>
        <v>0.84776178978478356</v>
      </c>
      <c r="AH734" s="304">
        <f t="shared" ca="1" si="347"/>
        <v>-8.9355745429658668</v>
      </c>
    </row>
    <row r="735" spans="1:34" x14ac:dyDescent="0.2">
      <c r="A735" s="347">
        <f t="shared" ca="1" si="325"/>
        <v>1E-4</v>
      </c>
      <c r="B735" s="304">
        <f t="shared" ca="1" si="326"/>
        <v>28.635500000000057</v>
      </c>
      <c r="D735" s="306">
        <f t="shared" ca="1" si="327"/>
        <v>-0.65836158647577814</v>
      </c>
      <c r="E735" s="307">
        <f t="shared" ca="1" si="328"/>
        <v>-0.89868787033688591</v>
      </c>
      <c r="F735" s="304">
        <f t="shared" ca="1" si="329"/>
        <v>1.1140376415712132</v>
      </c>
      <c r="G735" s="306">
        <f t="shared" ca="1" si="330"/>
        <v>7.2763959189584124</v>
      </c>
      <c r="H735" s="307">
        <f t="shared" ca="1" si="331"/>
        <v>-98.491288674156678</v>
      </c>
      <c r="I735" s="304">
        <f t="shared" ca="1" si="332"/>
        <v>98.759707787465118</v>
      </c>
      <c r="J735" s="306">
        <f t="shared" ca="1" si="333"/>
        <v>678.53524446899166</v>
      </c>
      <c r="K735" s="307">
        <f t="shared" ca="1" si="334"/>
        <v>-6.3669813772547812</v>
      </c>
      <c r="L735" s="304">
        <f t="shared" ca="1" si="319"/>
        <v>678.56511584257896</v>
      </c>
      <c r="M735" s="306">
        <f t="shared" ca="1" si="335"/>
        <v>-1.4970517255609663</v>
      </c>
      <c r="N735" s="304">
        <f t="shared" ca="1" si="336"/>
        <v>-85.774745587420554</v>
      </c>
      <c r="P735" s="310">
        <f t="shared" ca="1" si="337"/>
        <v>23</v>
      </c>
      <c r="Q735" s="304">
        <f t="shared" ca="1" si="338"/>
        <v>0</v>
      </c>
      <c r="R735" s="306">
        <f t="shared" ca="1" si="339"/>
        <v>0</v>
      </c>
      <c r="S735" s="307">
        <f t="shared" ca="1" si="340"/>
        <v>4.341000000000002</v>
      </c>
      <c r="T735" s="304">
        <f t="shared" ca="1" si="320"/>
        <v>42.585210000000025</v>
      </c>
      <c r="U735" s="311">
        <f t="shared" ca="1" si="321"/>
        <v>0</v>
      </c>
      <c r="V735" s="306">
        <f t="shared" ca="1" si="322"/>
        <v>1.2257802035958019</v>
      </c>
      <c r="W735" s="304">
        <f t="shared" ca="1" si="323"/>
        <v>38.789538686409514</v>
      </c>
      <c r="Y735" s="314" t="str">
        <f t="shared" ca="1" si="341"/>
        <v/>
      </c>
      <c r="Z735" s="315" t="str">
        <f t="shared" ca="1" si="342"/>
        <v/>
      </c>
      <c r="AA735" s="316" t="str">
        <f t="shared" ca="1" si="343"/>
        <v/>
      </c>
      <c r="AC735" s="310" t="e">
        <f t="shared" ca="1" si="344"/>
        <v>#N/A</v>
      </c>
      <c r="AD735" s="323" t="e">
        <f t="shared" ca="1" si="345"/>
        <v>#N/A</v>
      </c>
      <c r="AE735" s="324" t="e">
        <f t="shared" ca="1" si="324"/>
        <v>#N/A</v>
      </c>
      <c r="AG735" s="306">
        <f t="shared" ca="1" si="346"/>
        <v>0.84773817721791644</v>
      </c>
      <c r="AH735" s="304">
        <f t="shared" ca="1" si="347"/>
        <v>-8.9355986845218069</v>
      </c>
    </row>
    <row r="736" spans="1:34" x14ac:dyDescent="0.2">
      <c r="A736" s="347">
        <f t="shared" ca="1" si="325"/>
        <v>1E-4</v>
      </c>
      <c r="B736" s="304">
        <f t="shared" ca="1" si="326"/>
        <v>28.635600000000057</v>
      </c>
      <c r="D736" s="306">
        <f t="shared" ca="1" si="327"/>
        <v>-0.65835684328142818</v>
      </c>
      <c r="E736" s="307">
        <f t="shared" ca="1" si="328"/>
        <v>-0.89866331293313273</v>
      </c>
      <c r="F736" s="304">
        <f t="shared" ca="1" si="329"/>
        <v>1.1140150282233363</v>
      </c>
      <c r="G736" s="306">
        <f t="shared" ca="1" si="330"/>
        <v>7.2763300832740843</v>
      </c>
      <c r="H736" s="307">
        <f t="shared" ca="1" si="331"/>
        <v>-98.491378540487972</v>
      </c>
      <c r="I736" s="304">
        <f t="shared" ca="1" si="332"/>
        <v>98.759792558948064</v>
      </c>
      <c r="J736" s="306">
        <f t="shared" ca="1" si="333"/>
        <v>678.53524446899166</v>
      </c>
      <c r="K736" s="307">
        <f t="shared" ca="1" si="334"/>
        <v>-6.3768305106155134</v>
      </c>
      <c r="L736" s="304">
        <f t="shared" ca="1" si="319"/>
        <v>678.56520832854039</v>
      </c>
      <c r="M736" s="306">
        <f t="shared" ca="1" si="335"/>
        <v>-1.4970524574165045</v>
      </c>
      <c r="N736" s="304">
        <f t="shared" ca="1" si="336"/>
        <v>-85.774787519654112</v>
      </c>
      <c r="P736" s="310">
        <f t="shared" ca="1" si="337"/>
        <v>23</v>
      </c>
      <c r="Q736" s="304">
        <f t="shared" ca="1" si="338"/>
        <v>0</v>
      </c>
      <c r="R736" s="306">
        <f t="shared" ca="1" si="339"/>
        <v>0</v>
      </c>
      <c r="S736" s="307">
        <f t="shared" ca="1" si="340"/>
        <v>4.341000000000002</v>
      </c>
      <c r="T736" s="304">
        <f t="shared" ca="1" si="320"/>
        <v>42.585210000000025</v>
      </c>
      <c r="U736" s="311">
        <f t="shared" ca="1" si="321"/>
        <v>0</v>
      </c>
      <c r="V736" s="306">
        <f t="shared" ca="1" si="322"/>
        <v>1.225781410883789</v>
      </c>
      <c r="W736" s="304">
        <f t="shared" ca="1" si="323"/>
        <v>38.789643481715878</v>
      </c>
      <c r="Y736" s="314" t="str">
        <f t="shared" ca="1" si="341"/>
        <v/>
      </c>
      <c r="Z736" s="315" t="str">
        <f t="shared" ca="1" si="342"/>
        <v/>
      </c>
      <c r="AA736" s="316" t="str">
        <f t="shared" ca="1" si="343"/>
        <v/>
      </c>
      <c r="AC736" s="310" t="e">
        <f t="shared" ca="1" si="344"/>
        <v>#N/A</v>
      </c>
      <c r="AD736" s="323" t="e">
        <f t="shared" ca="1" si="345"/>
        <v>#N/A</v>
      </c>
      <c r="AE736" s="324" t="e">
        <f t="shared" ca="1" si="324"/>
        <v>#N/A</v>
      </c>
      <c r="AG736" s="306">
        <f t="shared" ca="1" si="346"/>
        <v>0.84771456500730835</v>
      </c>
      <c r="AH736" s="304">
        <f t="shared" ca="1" si="347"/>
        <v>-8.9356228257105492</v>
      </c>
    </row>
    <row r="737" spans="1:34" x14ac:dyDescent="0.2">
      <c r="A737" s="347">
        <f t="shared" ca="1" si="325"/>
        <v>1E-4</v>
      </c>
      <c r="B737" s="304">
        <f t="shared" ca="1" si="326"/>
        <v>28.635700000000057</v>
      </c>
      <c r="D737" s="306">
        <f t="shared" ca="1" si="327"/>
        <v>-0.6583521000946394</v>
      </c>
      <c r="E737" s="307">
        <f t="shared" ca="1" si="328"/>
        <v>-0.89863875590292608</v>
      </c>
      <c r="F737" s="304">
        <f t="shared" ca="1" si="329"/>
        <v>1.1139924152837759</v>
      </c>
      <c r="G737" s="306">
        <f t="shared" ca="1" si="330"/>
        <v>7.2762642480640745</v>
      </c>
      <c r="H737" s="307">
        <f t="shared" ca="1" si="331"/>
        <v>-98.491468404363559</v>
      </c>
      <c r="I737" s="304">
        <f t="shared" ca="1" si="332"/>
        <v>98.75987732806982</v>
      </c>
      <c r="J737" s="306">
        <f t="shared" ca="1" si="333"/>
        <v>678.53524446899166</v>
      </c>
      <c r="K737" s="307">
        <f t="shared" ca="1" si="334"/>
        <v>-6.3866796529627559</v>
      </c>
      <c r="L737" s="304">
        <f t="shared" ca="1" si="319"/>
        <v>678.56530095753044</v>
      </c>
      <c r="M737" s="306">
        <f t="shared" ca="1" si="335"/>
        <v>-1.4970531892641648</v>
      </c>
      <c r="N737" s="304">
        <f t="shared" ca="1" si="336"/>
        <v>-85.77482945143629</v>
      </c>
      <c r="P737" s="310">
        <f t="shared" ca="1" si="337"/>
        <v>23</v>
      </c>
      <c r="Q737" s="304">
        <f t="shared" ca="1" si="338"/>
        <v>0</v>
      </c>
      <c r="R737" s="306">
        <f t="shared" ca="1" si="339"/>
        <v>0</v>
      </c>
      <c r="S737" s="307">
        <f t="shared" ca="1" si="340"/>
        <v>4.341000000000002</v>
      </c>
      <c r="T737" s="304">
        <f t="shared" ca="1" si="320"/>
        <v>42.585210000000025</v>
      </c>
      <c r="U737" s="311">
        <f t="shared" ca="1" si="321"/>
        <v>0</v>
      </c>
      <c r="V737" s="306">
        <f t="shared" ca="1" si="322"/>
        <v>1.2257826181740663</v>
      </c>
      <c r="W737" s="304">
        <f t="shared" ca="1" si="323"/>
        <v>38.789748275428245</v>
      </c>
      <c r="Y737" s="314" t="str">
        <f t="shared" ca="1" si="341"/>
        <v/>
      </c>
      <c r="Z737" s="315" t="str">
        <f t="shared" ca="1" si="342"/>
        <v/>
      </c>
      <c r="AA737" s="316" t="str">
        <f t="shared" ca="1" si="343"/>
        <v/>
      </c>
      <c r="AC737" s="310" t="e">
        <f t="shared" ca="1" si="344"/>
        <v>#N/A</v>
      </c>
      <c r="AD737" s="323" t="e">
        <f t="shared" ca="1" si="345"/>
        <v>#N/A</v>
      </c>
      <c r="AE737" s="324" t="e">
        <f t="shared" ca="1" si="324"/>
        <v>#N/A</v>
      </c>
      <c r="AG737" s="306">
        <f t="shared" ca="1" si="346"/>
        <v>0.8476909531529575</v>
      </c>
      <c r="AH737" s="304">
        <f t="shared" ca="1" si="347"/>
        <v>-8.9356469665321026</v>
      </c>
    </row>
    <row r="738" spans="1:34" x14ac:dyDescent="0.2">
      <c r="A738" s="347">
        <f t="shared" ca="1" si="325"/>
        <v>1E-4</v>
      </c>
      <c r="B738" s="304">
        <f t="shared" ca="1" si="326"/>
        <v>28.635800000000057</v>
      </c>
      <c r="D738" s="306">
        <f t="shared" ca="1" si="327"/>
        <v>-0.65834735691540847</v>
      </c>
      <c r="E738" s="307">
        <f t="shared" ca="1" si="328"/>
        <v>-0.89861419924627306</v>
      </c>
      <c r="F738" s="304">
        <f t="shared" ca="1" si="329"/>
        <v>1.1139698027525364</v>
      </c>
      <c r="G738" s="306">
        <f t="shared" ca="1" si="330"/>
        <v>7.276198413328383</v>
      </c>
      <c r="H738" s="307">
        <f t="shared" ca="1" si="331"/>
        <v>-98.491558265783482</v>
      </c>
      <c r="I738" s="304">
        <f t="shared" ca="1" si="332"/>
        <v>98.759962094830442</v>
      </c>
      <c r="J738" s="306">
        <f t="shared" ca="1" si="333"/>
        <v>678.53524446899166</v>
      </c>
      <c r="K738" s="307">
        <f t="shared" ca="1" si="334"/>
        <v>-6.3965288042962634</v>
      </c>
      <c r="L738" s="304">
        <f t="shared" ca="1" si="319"/>
        <v>678.56539372954944</v>
      </c>
      <c r="M738" s="306">
        <f t="shared" ca="1" si="335"/>
        <v>-1.4970539211039471</v>
      </c>
      <c r="N738" s="304">
        <f t="shared" ca="1" si="336"/>
        <v>-85.774871382767088</v>
      </c>
      <c r="P738" s="310">
        <f t="shared" ca="1" si="337"/>
        <v>23</v>
      </c>
      <c r="Q738" s="304">
        <f t="shared" ca="1" si="338"/>
        <v>0</v>
      </c>
      <c r="R738" s="306">
        <f t="shared" ca="1" si="339"/>
        <v>0</v>
      </c>
      <c r="S738" s="307">
        <f t="shared" ca="1" si="340"/>
        <v>4.341000000000002</v>
      </c>
      <c r="T738" s="304">
        <f t="shared" ca="1" si="320"/>
        <v>42.585210000000025</v>
      </c>
      <c r="U738" s="311">
        <f t="shared" ca="1" si="321"/>
        <v>0</v>
      </c>
      <c r="V738" s="306">
        <f t="shared" ca="1" si="322"/>
        <v>1.2257838254666351</v>
      </c>
      <c r="W738" s="304">
        <f t="shared" ca="1" si="323"/>
        <v>38.789853067546687</v>
      </c>
      <c r="Y738" s="314" t="str">
        <f t="shared" ca="1" si="341"/>
        <v/>
      </c>
      <c r="Z738" s="315" t="str">
        <f t="shared" ca="1" si="342"/>
        <v/>
      </c>
      <c r="AA738" s="316" t="str">
        <f t="shared" ca="1" si="343"/>
        <v/>
      </c>
      <c r="AC738" s="310" t="e">
        <f t="shared" ca="1" si="344"/>
        <v>#N/A</v>
      </c>
      <c r="AD738" s="323" t="e">
        <f t="shared" ca="1" si="345"/>
        <v>#N/A</v>
      </c>
      <c r="AE738" s="324" t="e">
        <f t="shared" ca="1" si="324"/>
        <v>#N/A</v>
      </c>
      <c r="AG738" s="306">
        <f t="shared" ca="1" si="346"/>
        <v>0.84766734165486746</v>
      </c>
      <c r="AH738" s="304">
        <f t="shared" ca="1" si="347"/>
        <v>-8.9356711069864616</v>
      </c>
    </row>
    <row r="739" spans="1:34" x14ac:dyDescent="0.2">
      <c r="A739" s="347">
        <f t="shared" ca="1" si="325"/>
        <v>1E-4</v>
      </c>
      <c r="B739" s="304">
        <f t="shared" ca="1" si="326"/>
        <v>28.635900000000056</v>
      </c>
      <c r="D739" s="306">
        <f t="shared" ca="1" si="327"/>
        <v>-0.65834261374373759</v>
      </c>
      <c r="E739" s="307">
        <f t="shared" ca="1" si="328"/>
        <v>-0.89858964296315946</v>
      </c>
      <c r="F739" s="304">
        <f t="shared" ca="1" si="329"/>
        <v>1.1139471906296072</v>
      </c>
      <c r="G739" s="306">
        <f t="shared" ca="1" si="330"/>
        <v>7.2761325790670091</v>
      </c>
      <c r="H739" s="307">
        <f t="shared" ca="1" si="331"/>
        <v>-98.491648124747783</v>
      </c>
      <c r="I739" s="304">
        <f t="shared" ca="1" si="332"/>
        <v>98.760046859229945</v>
      </c>
      <c r="J739" s="306">
        <f t="shared" ca="1" si="333"/>
        <v>678.53524446899166</v>
      </c>
      <c r="K739" s="307">
        <f t="shared" ca="1" si="334"/>
        <v>-6.4063779646157899</v>
      </c>
      <c r="L739" s="304">
        <f t="shared" ca="1" si="319"/>
        <v>678.56548664459774</v>
      </c>
      <c r="M739" s="306">
        <f t="shared" ca="1" si="335"/>
        <v>-1.4970546529358515</v>
      </c>
      <c r="N739" s="304">
        <f t="shared" ca="1" si="336"/>
        <v>-85.774913313646522</v>
      </c>
      <c r="P739" s="310">
        <f t="shared" ca="1" si="337"/>
        <v>23</v>
      </c>
      <c r="Q739" s="304">
        <f t="shared" ca="1" si="338"/>
        <v>0</v>
      </c>
      <c r="R739" s="306">
        <f t="shared" ca="1" si="339"/>
        <v>0</v>
      </c>
      <c r="S739" s="307">
        <f t="shared" ca="1" si="340"/>
        <v>4.341000000000002</v>
      </c>
      <c r="T739" s="304">
        <f t="shared" ca="1" si="320"/>
        <v>42.585210000000025</v>
      </c>
      <c r="U739" s="311">
        <f t="shared" ca="1" si="321"/>
        <v>0</v>
      </c>
      <c r="V739" s="306">
        <f t="shared" ca="1" si="322"/>
        <v>1.225785032761495</v>
      </c>
      <c r="W739" s="304">
        <f t="shared" ca="1" si="323"/>
        <v>38.789957858071205</v>
      </c>
      <c r="Y739" s="314" t="str">
        <f t="shared" ca="1" si="341"/>
        <v/>
      </c>
      <c r="Z739" s="315" t="str">
        <f t="shared" ca="1" si="342"/>
        <v/>
      </c>
      <c r="AA739" s="316" t="str">
        <f t="shared" ca="1" si="343"/>
        <v/>
      </c>
      <c r="AC739" s="310" t="e">
        <f t="shared" ca="1" si="344"/>
        <v>#N/A</v>
      </c>
      <c r="AD739" s="323" t="e">
        <f t="shared" ca="1" si="345"/>
        <v>#N/A</v>
      </c>
      <c r="AE739" s="324" t="e">
        <f t="shared" ca="1" si="324"/>
        <v>#N/A</v>
      </c>
      <c r="AG739" s="306">
        <f t="shared" ca="1" si="346"/>
        <v>0.84764373051302577</v>
      </c>
      <c r="AH739" s="304">
        <f t="shared" ca="1" si="347"/>
        <v>-8.9356952470736388</v>
      </c>
    </row>
    <row r="740" spans="1:34" x14ac:dyDescent="0.2">
      <c r="A740" s="347">
        <f t="shared" ca="1" si="325"/>
        <v>1E-4</v>
      </c>
      <c r="B740" s="304">
        <f t="shared" ca="1" si="326"/>
        <v>28.636000000000056</v>
      </c>
      <c r="D740" s="306">
        <f t="shared" ca="1" si="327"/>
        <v>-0.65833787057962867</v>
      </c>
      <c r="E740" s="307">
        <f t="shared" ca="1" si="328"/>
        <v>-0.89856508705357996</v>
      </c>
      <c r="F740" s="304">
        <f t="shared" ca="1" si="329"/>
        <v>1.1139245789149854</v>
      </c>
      <c r="G740" s="306">
        <f t="shared" ca="1" si="330"/>
        <v>7.2760667452799508</v>
      </c>
      <c r="H740" s="307">
        <f t="shared" ca="1" si="331"/>
        <v>-98.491737981256492</v>
      </c>
      <c r="I740" s="304">
        <f t="shared" ca="1" si="332"/>
        <v>98.760131621268357</v>
      </c>
      <c r="J740" s="306">
        <f t="shared" ca="1" si="333"/>
        <v>678.53524446899166</v>
      </c>
      <c r="K740" s="307">
        <f t="shared" ca="1" si="334"/>
        <v>-6.4162271339210903</v>
      </c>
      <c r="L740" s="304">
        <f t="shared" ca="1" si="319"/>
        <v>678.56557970267568</v>
      </c>
      <c r="M740" s="306">
        <f t="shared" ca="1" si="335"/>
        <v>-1.497055384759878</v>
      </c>
      <c r="N740" s="304">
        <f t="shared" ca="1" si="336"/>
        <v>-85.77495524407459</v>
      </c>
      <c r="P740" s="310">
        <f t="shared" ca="1" si="337"/>
        <v>23</v>
      </c>
      <c r="Q740" s="304">
        <f t="shared" ca="1" si="338"/>
        <v>0</v>
      </c>
      <c r="R740" s="306">
        <f t="shared" ca="1" si="339"/>
        <v>0</v>
      </c>
      <c r="S740" s="307">
        <f t="shared" ca="1" si="340"/>
        <v>4.341000000000002</v>
      </c>
      <c r="T740" s="304">
        <f t="shared" ca="1" si="320"/>
        <v>42.585210000000025</v>
      </c>
      <c r="U740" s="311">
        <f t="shared" ca="1" si="321"/>
        <v>0</v>
      </c>
      <c r="V740" s="306">
        <f t="shared" ca="1" si="322"/>
        <v>1.2257862400586457</v>
      </c>
      <c r="W740" s="304">
        <f t="shared" ca="1" si="323"/>
        <v>38.79006264700179</v>
      </c>
      <c r="Y740" s="314" t="str">
        <f t="shared" ca="1" si="341"/>
        <v/>
      </c>
      <c r="Z740" s="315" t="str">
        <f t="shared" ca="1" si="342"/>
        <v/>
      </c>
      <c r="AA740" s="316" t="str">
        <f t="shared" ca="1" si="343"/>
        <v/>
      </c>
      <c r="AC740" s="310" t="e">
        <f t="shared" ca="1" si="344"/>
        <v>#N/A</v>
      </c>
      <c r="AD740" s="323" t="e">
        <f t="shared" ca="1" si="345"/>
        <v>#N/A</v>
      </c>
      <c r="AE740" s="324" t="e">
        <f t="shared" ca="1" si="324"/>
        <v>#N/A</v>
      </c>
      <c r="AG740" s="306">
        <f t="shared" ca="1" si="346"/>
        <v>0.84762011972742357</v>
      </c>
      <c r="AH740" s="304">
        <f t="shared" ca="1" si="347"/>
        <v>-8.9357193867936395</v>
      </c>
    </row>
    <row r="741" spans="1:34" x14ac:dyDescent="0.2">
      <c r="A741" s="347">
        <f t="shared" ca="1" si="325"/>
        <v>1E-4</v>
      </c>
      <c r="B741" s="304">
        <f t="shared" ca="1" si="326"/>
        <v>28.636100000000056</v>
      </c>
      <c r="D741" s="306">
        <f t="shared" ca="1" si="327"/>
        <v>-0.65833312742308292</v>
      </c>
      <c r="E741" s="307">
        <f t="shared" ca="1" si="328"/>
        <v>-0.89854053151753988</v>
      </c>
      <c r="F741" s="304">
        <f t="shared" ca="1" si="329"/>
        <v>1.1139019676086761</v>
      </c>
      <c r="G741" s="306">
        <f t="shared" ca="1" si="330"/>
        <v>7.2760009119672082</v>
      </c>
      <c r="H741" s="307">
        <f t="shared" ca="1" si="331"/>
        <v>-98.49182783530965</v>
      </c>
      <c r="I741" s="304">
        <f t="shared" ca="1" si="332"/>
        <v>98.760216380945749</v>
      </c>
      <c r="J741" s="306">
        <f t="shared" ca="1" si="333"/>
        <v>678.53524446899166</v>
      </c>
      <c r="K741" s="307">
        <f t="shared" ca="1" si="334"/>
        <v>-6.4260763122119187</v>
      </c>
      <c r="L741" s="304">
        <f t="shared" ca="1" si="319"/>
        <v>678.56567290378359</v>
      </c>
      <c r="M741" s="306">
        <f t="shared" ca="1" si="335"/>
        <v>-1.497056116576027</v>
      </c>
      <c r="N741" s="304">
        <f t="shared" ca="1" si="336"/>
        <v>-85.774997174051308</v>
      </c>
      <c r="P741" s="310">
        <f t="shared" ca="1" si="337"/>
        <v>23</v>
      </c>
      <c r="Q741" s="304">
        <f t="shared" ca="1" si="338"/>
        <v>0</v>
      </c>
      <c r="R741" s="306">
        <f t="shared" ca="1" si="339"/>
        <v>0</v>
      </c>
      <c r="S741" s="307">
        <f t="shared" ca="1" si="340"/>
        <v>4.341000000000002</v>
      </c>
      <c r="T741" s="304">
        <f t="shared" ca="1" si="320"/>
        <v>42.585210000000025</v>
      </c>
      <c r="U741" s="311">
        <f t="shared" ca="1" si="321"/>
        <v>0</v>
      </c>
      <c r="V741" s="306">
        <f t="shared" ca="1" si="322"/>
        <v>1.2257874473580868</v>
      </c>
      <c r="W741" s="304">
        <f t="shared" ca="1" si="323"/>
        <v>38.790167434338485</v>
      </c>
      <c r="Y741" s="314" t="str">
        <f t="shared" ca="1" si="341"/>
        <v/>
      </c>
      <c r="Z741" s="315" t="str">
        <f t="shared" ca="1" si="342"/>
        <v/>
      </c>
      <c r="AA741" s="316" t="str">
        <f t="shared" ca="1" si="343"/>
        <v/>
      </c>
      <c r="AC741" s="310" t="e">
        <f t="shared" ca="1" si="344"/>
        <v>#N/A</v>
      </c>
      <c r="AD741" s="323" t="e">
        <f t="shared" ca="1" si="345"/>
        <v>#N/A</v>
      </c>
      <c r="AE741" s="324" t="e">
        <f t="shared" ca="1" si="324"/>
        <v>#N/A</v>
      </c>
      <c r="AG741" s="306">
        <f t="shared" ca="1" si="346"/>
        <v>0.84759650929807329</v>
      </c>
      <c r="AH741" s="304">
        <f t="shared" ca="1" si="347"/>
        <v>-8.9357435261464584</v>
      </c>
    </row>
    <row r="742" spans="1:34" x14ac:dyDescent="0.2">
      <c r="A742" s="347">
        <f t="shared" ca="1" si="325"/>
        <v>1E-4</v>
      </c>
      <c r="B742" s="304">
        <f t="shared" ca="1" si="326"/>
        <v>28.636200000000056</v>
      </c>
      <c r="D742" s="306">
        <f t="shared" ca="1" si="327"/>
        <v>-0.65832838427409801</v>
      </c>
      <c r="E742" s="307">
        <f t="shared" ca="1" si="328"/>
        <v>-0.89851597635503211</v>
      </c>
      <c r="F742" s="304">
        <f t="shared" ca="1" si="329"/>
        <v>1.1138793567106722</v>
      </c>
      <c r="G742" s="306">
        <f t="shared" ca="1" si="330"/>
        <v>7.2759350791287805</v>
      </c>
      <c r="H742" s="307">
        <f t="shared" ca="1" si="331"/>
        <v>-98.491917686907286</v>
      </c>
      <c r="I742" s="304">
        <f t="shared" ca="1" si="332"/>
        <v>98.760301138262122</v>
      </c>
      <c r="J742" s="306">
        <f t="shared" ca="1" si="333"/>
        <v>678.53524446899166</v>
      </c>
      <c r="K742" s="307">
        <f t="shared" ca="1" si="334"/>
        <v>-6.4359254994880297</v>
      </c>
      <c r="L742" s="304">
        <f t="shared" ca="1" si="319"/>
        <v>678.56576624792183</v>
      </c>
      <c r="M742" s="306">
        <f t="shared" ca="1" si="335"/>
        <v>-1.4970568483842985</v>
      </c>
      <c r="N742" s="304">
        <f t="shared" ca="1" si="336"/>
        <v>-85.775039103576688</v>
      </c>
      <c r="P742" s="310">
        <f t="shared" ca="1" si="337"/>
        <v>23</v>
      </c>
      <c r="Q742" s="304">
        <f t="shared" ca="1" si="338"/>
        <v>0</v>
      </c>
      <c r="R742" s="306">
        <f t="shared" ca="1" si="339"/>
        <v>0</v>
      </c>
      <c r="S742" s="307">
        <f t="shared" ca="1" si="340"/>
        <v>4.341000000000002</v>
      </c>
      <c r="T742" s="304">
        <f t="shared" ca="1" si="320"/>
        <v>42.585210000000025</v>
      </c>
      <c r="U742" s="311">
        <f t="shared" ca="1" si="321"/>
        <v>0</v>
      </c>
      <c r="V742" s="306">
        <f t="shared" ca="1" si="322"/>
        <v>1.2257886546598193</v>
      </c>
      <c r="W742" s="304">
        <f t="shared" ca="1" si="323"/>
        <v>38.790272220081306</v>
      </c>
      <c r="Y742" s="314" t="str">
        <f t="shared" ca="1" si="341"/>
        <v/>
      </c>
      <c r="Z742" s="315" t="str">
        <f t="shared" ca="1" si="342"/>
        <v/>
      </c>
      <c r="AA742" s="316" t="str">
        <f t="shared" ca="1" si="343"/>
        <v/>
      </c>
      <c r="AC742" s="310" t="e">
        <f t="shared" ca="1" si="344"/>
        <v>#N/A</v>
      </c>
      <c r="AD742" s="323" t="e">
        <f t="shared" ca="1" si="345"/>
        <v>#N/A</v>
      </c>
      <c r="AE742" s="324" t="e">
        <f t="shared" ca="1" si="324"/>
        <v>#N/A</v>
      </c>
      <c r="AG742" s="306">
        <f t="shared" ca="1" si="346"/>
        <v>0.84757289922496248</v>
      </c>
      <c r="AH742" s="304">
        <f t="shared" ca="1" si="347"/>
        <v>-8.9357676651321043</v>
      </c>
    </row>
    <row r="743" spans="1:34" x14ac:dyDescent="0.2">
      <c r="A743" s="347">
        <f t="shared" ca="1" si="325"/>
        <v>1E-4</v>
      </c>
      <c r="B743" s="304">
        <f t="shared" ca="1" si="326"/>
        <v>28.636300000000055</v>
      </c>
      <c r="D743" s="306">
        <f t="shared" ca="1" si="327"/>
        <v>-0.65832364113267616</v>
      </c>
      <c r="E743" s="307">
        <f t="shared" ca="1" si="328"/>
        <v>-0.89849142156604778</v>
      </c>
      <c r="F743" s="304">
        <f t="shared" ca="1" si="329"/>
        <v>1.1138567462209681</v>
      </c>
      <c r="G743" s="306">
        <f t="shared" ca="1" si="330"/>
        <v>7.2758692467646675</v>
      </c>
      <c r="H743" s="307">
        <f t="shared" ca="1" si="331"/>
        <v>-98.492007536049442</v>
      </c>
      <c r="I743" s="304">
        <f t="shared" ca="1" si="332"/>
        <v>98.760385893217517</v>
      </c>
      <c r="J743" s="306">
        <f t="shared" ca="1" si="333"/>
        <v>678.53524446899166</v>
      </c>
      <c r="K743" s="307">
        <f t="shared" ca="1" si="334"/>
        <v>-6.4457746957491775</v>
      </c>
      <c r="L743" s="304">
        <f t="shared" ca="1" si="319"/>
        <v>678.56585973509061</v>
      </c>
      <c r="M743" s="306">
        <f t="shared" ca="1" si="335"/>
        <v>-1.4970575801846926</v>
      </c>
      <c r="N743" s="304">
        <f t="shared" ca="1" si="336"/>
        <v>-85.775081032650704</v>
      </c>
      <c r="P743" s="310">
        <f t="shared" ca="1" si="337"/>
        <v>23</v>
      </c>
      <c r="Q743" s="304">
        <f t="shared" ca="1" si="338"/>
        <v>0</v>
      </c>
      <c r="R743" s="306">
        <f t="shared" ca="1" si="339"/>
        <v>0</v>
      </c>
      <c r="S743" s="307">
        <f t="shared" ca="1" si="340"/>
        <v>4.341000000000002</v>
      </c>
      <c r="T743" s="304">
        <f t="shared" ca="1" si="320"/>
        <v>42.585210000000025</v>
      </c>
      <c r="U743" s="311">
        <f t="shared" ca="1" si="321"/>
        <v>0</v>
      </c>
      <c r="V743" s="306">
        <f t="shared" ca="1" si="322"/>
        <v>1.2257898619638421</v>
      </c>
      <c r="W743" s="304">
        <f t="shared" ca="1" si="323"/>
        <v>38.790377004230223</v>
      </c>
      <c r="Y743" s="314" t="str">
        <f t="shared" ca="1" si="341"/>
        <v/>
      </c>
      <c r="Z743" s="315" t="str">
        <f t="shared" ca="1" si="342"/>
        <v/>
      </c>
      <c r="AA743" s="316" t="str">
        <f t="shared" ca="1" si="343"/>
        <v/>
      </c>
      <c r="AC743" s="310" t="e">
        <f t="shared" ca="1" si="344"/>
        <v>#N/A</v>
      </c>
      <c r="AD743" s="323" t="e">
        <f t="shared" ca="1" si="345"/>
        <v>#N/A</v>
      </c>
      <c r="AE743" s="324" t="e">
        <f t="shared" ca="1" si="324"/>
        <v>#N/A</v>
      </c>
      <c r="AG743" s="306">
        <f t="shared" ca="1" si="346"/>
        <v>0.84754928950808406</v>
      </c>
      <c r="AH743" s="304">
        <f t="shared" ca="1" si="347"/>
        <v>-8.9357918037505844</v>
      </c>
    </row>
    <row r="744" spans="1:34" x14ac:dyDescent="0.2">
      <c r="A744" s="347">
        <f t="shared" ca="1" si="325"/>
        <v>1E-4</v>
      </c>
      <c r="B744" s="304">
        <f t="shared" ca="1" si="326"/>
        <v>28.636400000000055</v>
      </c>
      <c r="D744" s="306">
        <f t="shared" ca="1" si="327"/>
        <v>-0.65831889799881804</v>
      </c>
      <c r="E744" s="307">
        <f t="shared" ca="1" si="328"/>
        <v>-0.89846686715059576</v>
      </c>
      <c r="F744" s="304">
        <f t="shared" ca="1" si="329"/>
        <v>1.1138341361395712</v>
      </c>
      <c r="G744" s="306">
        <f t="shared" ca="1" si="330"/>
        <v>7.2758034148748676</v>
      </c>
      <c r="H744" s="307">
        <f t="shared" ca="1" si="331"/>
        <v>-98.492097382736162</v>
      </c>
      <c r="I744" s="304">
        <f t="shared" ca="1" si="332"/>
        <v>98.760470645811978</v>
      </c>
      <c r="J744" s="306">
        <f t="shared" ca="1" si="333"/>
        <v>678.53524446899166</v>
      </c>
      <c r="K744" s="307">
        <f t="shared" ca="1" si="334"/>
        <v>-6.4556239009951168</v>
      </c>
      <c r="L744" s="304">
        <f t="shared" ca="1" si="319"/>
        <v>678.5659533652904</v>
      </c>
      <c r="M744" s="306">
        <f t="shared" ca="1" si="335"/>
        <v>-1.4970583119772092</v>
      </c>
      <c r="N744" s="304">
        <f t="shared" ca="1" si="336"/>
        <v>-85.775122961273382</v>
      </c>
      <c r="P744" s="310">
        <f t="shared" ca="1" si="337"/>
        <v>23</v>
      </c>
      <c r="Q744" s="304">
        <f t="shared" ca="1" si="338"/>
        <v>0</v>
      </c>
      <c r="R744" s="306">
        <f t="shared" ca="1" si="339"/>
        <v>0</v>
      </c>
      <c r="S744" s="307">
        <f t="shared" ca="1" si="340"/>
        <v>4.341000000000002</v>
      </c>
      <c r="T744" s="304">
        <f t="shared" ca="1" si="320"/>
        <v>42.585210000000025</v>
      </c>
      <c r="U744" s="311">
        <f t="shared" ca="1" si="321"/>
        <v>0</v>
      </c>
      <c r="V744" s="306">
        <f t="shared" ca="1" si="322"/>
        <v>1.2257910692701564</v>
      </c>
      <c r="W744" s="304">
        <f t="shared" ca="1" si="323"/>
        <v>38.790481786785342</v>
      </c>
      <c r="Y744" s="314" t="str">
        <f t="shared" ca="1" si="341"/>
        <v/>
      </c>
      <c r="Z744" s="315" t="str">
        <f t="shared" ca="1" si="342"/>
        <v/>
      </c>
      <c r="AA744" s="316" t="str">
        <f t="shared" ca="1" si="343"/>
        <v/>
      </c>
      <c r="AC744" s="310" t="e">
        <f t="shared" ca="1" si="344"/>
        <v>#N/A</v>
      </c>
      <c r="AD744" s="323" t="e">
        <f t="shared" ca="1" si="345"/>
        <v>#N/A</v>
      </c>
      <c r="AE744" s="324" t="e">
        <f t="shared" ca="1" si="324"/>
        <v>#N/A</v>
      </c>
      <c r="AG744" s="306">
        <f t="shared" ca="1" si="346"/>
        <v>0.84752568014744867</v>
      </c>
      <c r="AH744" s="304">
        <f t="shared" ca="1" si="347"/>
        <v>-8.9358159420018897</v>
      </c>
    </row>
    <row r="745" spans="1:34" x14ac:dyDescent="0.2">
      <c r="A745" s="347">
        <f t="shared" ca="1" si="325"/>
        <v>1E-4</v>
      </c>
      <c r="B745" s="304">
        <f t="shared" ca="1" si="326"/>
        <v>28.636500000000055</v>
      </c>
      <c r="D745" s="306">
        <f t="shared" ca="1" si="327"/>
        <v>-0.65831415487252665</v>
      </c>
      <c r="E745" s="307">
        <f t="shared" ca="1" si="328"/>
        <v>-0.89844231310865119</v>
      </c>
      <c r="F745" s="304">
        <f t="shared" ca="1" si="329"/>
        <v>1.113811526466463</v>
      </c>
      <c r="G745" s="306">
        <f t="shared" ca="1" si="330"/>
        <v>7.2757375834593807</v>
      </c>
      <c r="H745" s="307">
        <f t="shared" ca="1" si="331"/>
        <v>-98.492187226967474</v>
      </c>
      <c r="I745" s="304">
        <f t="shared" ca="1" si="332"/>
        <v>98.760555396045532</v>
      </c>
      <c r="J745" s="306">
        <f t="shared" ca="1" si="333"/>
        <v>678.53524446899166</v>
      </c>
      <c r="K745" s="307">
        <f t="shared" ca="1" si="334"/>
        <v>-6.4654731152256018</v>
      </c>
      <c r="L745" s="304">
        <f t="shared" ca="1" si="319"/>
        <v>678.5660471385213</v>
      </c>
      <c r="M745" s="306">
        <f t="shared" ca="1" si="335"/>
        <v>-1.4970590437618487</v>
      </c>
      <c r="N745" s="304">
        <f t="shared" ca="1" si="336"/>
        <v>-85.775164889444738</v>
      </c>
      <c r="P745" s="310">
        <f t="shared" ca="1" si="337"/>
        <v>23</v>
      </c>
      <c r="Q745" s="304">
        <f t="shared" ca="1" si="338"/>
        <v>0</v>
      </c>
      <c r="R745" s="306">
        <f t="shared" ca="1" si="339"/>
        <v>0</v>
      </c>
      <c r="S745" s="307">
        <f t="shared" ca="1" si="340"/>
        <v>4.341000000000002</v>
      </c>
      <c r="T745" s="304">
        <f t="shared" ca="1" si="320"/>
        <v>42.585210000000025</v>
      </c>
      <c r="U745" s="311">
        <f t="shared" ca="1" si="321"/>
        <v>0</v>
      </c>
      <c r="V745" s="306">
        <f t="shared" ca="1" si="322"/>
        <v>1.2257922765787612</v>
      </c>
      <c r="W745" s="304">
        <f t="shared" ca="1" si="323"/>
        <v>38.790586567746615</v>
      </c>
      <c r="Y745" s="314" t="str">
        <f t="shared" ca="1" si="341"/>
        <v/>
      </c>
      <c r="Z745" s="315" t="str">
        <f t="shared" ca="1" si="342"/>
        <v/>
      </c>
      <c r="AA745" s="316" t="str">
        <f t="shared" ca="1" si="343"/>
        <v/>
      </c>
      <c r="AC745" s="310" t="e">
        <f t="shared" ca="1" si="344"/>
        <v>#N/A</v>
      </c>
      <c r="AD745" s="323" t="e">
        <f t="shared" ca="1" si="345"/>
        <v>#N/A</v>
      </c>
      <c r="AE745" s="324" t="e">
        <f t="shared" ca="1" si="324"/>
        <v>#N/A</v>
      </c>
      <c r="AG745" s="306">
        <f t="shared" ca="1" si="346"/>
        <v>0.84750207114302967</v>
      </c>
      <c r="AH745" s="304">
        <f t="shared" ca="1" si="347"/>
        <v>-8.9358400798860451</v>
      </c>
    </row>
    <row r="746" spans="1:34" x14ac:dyDescent="0.2">
      <c r="A746" s="347">
        <f t="shared" ca="1" si="325"/>
        <v>1E-4</v>
      </c>
      <c r="B746" s="304">
        <f t="shared" ca="1" si="326"/>
        <v>28.636600000000055</v>
      </c>
      <c r="D746" s="306">
        <f t="shared" ca="1" si="327"/>
        <v>-0.65830941175379898</v>
      </c>
      <c r="E746" s="307">
        <f t="shared" ca="1" si="328"/>
        <v>-0.89841775944022295</v>
      </c>
      <c r="F746" s="304">
        <f t="shared" ca="1" si="329"/>
        <v>1.1137889172016497</v>
      </c>
      <c r="G746" s="306">
        <f t="shared" ca="1" si="330"/>
        <v>7.2756717525182051</v>
      </c>
      <c r="H746" s="307">
        <f t="shared" ca="1" si="331"/>
        <v>-98.492277068743419</v>
      </c>
      <c r="I746" s="304">
        <f t="shared" ca="1" si="332"/>
        <v>98.760640143918224</v>
      </c>
      <c r="J746" s="306">
        <f t="shared" ca="1" si="333"/>
        <v>678.53524446899166</v>
      </c>
      <c r="K746" s="307">
        <f t="shared" ca="1" si="334"/>
        <v>-6.4753223384403871</v>
      </c>
      <c r="L746" s="304">
        <f t="shared" ca="1" si="319"/>
        <v>678.566141054784</v>
      </c>
      <c r="M746" s="306">
        <f t="shared" ca="1" si="335"/>
        <v>-1.4970597755386112</v>
      </c>
      <c r="N746" s="304">
        <f t="shared" ca="1" si="336"/>
        <v>-85.775206817164786</v>
      </c>
      <c r="P746" s="310">
        <f t="shared" ca="1" si="337"/>
        <v>23</v>
      </c>
      <c r="Q746" s="304">
        <f t="shared" ca="1" si="338"/>
        <v>0</v>
      </c>
      <c r="R746" s="306">
        <f t="shared" ca="1" si="339"/>
        <v>0</v>
      </c>
      <c r="S746" s="307">
        <f t="shared" ca="1" si="340"/>
        <v>4.341000000000002</v>
      </c>
      <c r="T746" s="304">
        <f t="shared" ca="1" si="320"/>
        <v>42.585210000000025</v>
      </c>
      <c r="U746" s="311">
        <f t="shared" ca="1" si="321"/>
        <v>0</v>
      </c>
      <c r="V746" s="306">
        <f t="shared" ca="1" si="322"/>
        <v>1.2257934838896569</v>
      </c>
      <c r="W746" s="304">
        <f t="shared" ca="1" si="323"/>
        <v>38.790691347114077</v>
      </c>
      <c r="Y746" s="314" t="str">
        <f t="shared" ca="1" si="341"/>
        <v/>
      </c>
      <c r="Z746" s="315" t="str">
        <f t="shared" ca="1" si="342"/>
        <v/>
      </c>
      <c r="AA746" s="316" t="str">
        <f t="shared" ca="1" si="343"/>
        <v/>
      </c>
      <c r="AC746" s="310" t="e">
        <f t="shared" ca="1" si="344"/>
        <v>#N/A</v>
      </c>
      <c r="AD746" s="323" t="e">
        <f t="shared" ca="1" si="345"/>
        <v>#N/A</v>
      </c>
      <c r="AE746" s="324" t="e">
        <f t="shared" ca="1" si="324"/>
        <v>#N/A</v>
      </c>
      <c r="AG746" s="306">
        <f t="shared" ca="1" si="346"/>
        <v>0.84747846249483949</v>
      </c>
      <c r="AH746" s="304">
        <f t="shared" ca="1" si="347"/>
        <v>-8.93586421740304</v>
      </c>
    </row>
    <row r="747" spans="1:34" x14ac:dyDescent="0.2">
      <c r="A747" s="347">
        <f t="shared" ca="1" si="325"/>
        <v>1E-4</v>
      </c>
      <c r="B747" s="304">
        <f t="shared" ca="1" si="326"/>
        <v>28.636700000000054</v>
      </c>
      <c r="D747" s="306">
        <f t="shared" ca="1" si="327"/>
        <v>-0.65830466864263659</v>
      </c>
      <c r="E747" s="307">
        <f t="shared" ca="1" si="328"/>
        <v>-0.89839320614530749</v>
      </c>
      <c r="F747" s="304">
        <f t="shared" ca="1" si="329"/>
        <v>1.1137663083451288</v>
      </c>
      <c r="G747" s="306">
        <f t="shared" ca="1" si="330"/>
        <v>7.2756059220513407</v>
      </c>
      <c r="H747" s="307">
        <f t="shared" ca="1" si="331"/>
        <v>-98.492366908064028</v>
      </c>
      <c r="I747" s="304">
        <f t="shared" ca="1" si="332"/>
        <v>98.76072488943008</v>
      </c>
      <c r="J747" s="306">
        <f t="shared" ca="1" si="333"/>
        <v>678.53524446899166</v>
      </c>
      <c r="K747" s="307">
        <f t="shared" ca="1" si="334"/>
        <v>-6.4851715706392277</v>
      </c>
      <c r="L747" s="304">
        <f t="shared" ca="1" si="319"/>
        <v>678.56623511407849</v>
      </c>
      <c r="M747" s="306">
        <f t="shared" ca="1" si="335"/>
        <v>-1.4970605073074967</v>
      </c>
      <c r="N747" s="304">
        <f t="shared" ca="1" si="336"/>
        <v>-85.775248744433497</v>
      </c>
      <c r="P747" s="310">
        <f t="shared" ca="1" si="337"/>
        <v>23</v>
      </c>
      <c r="Q747" s="304">
        <f t="shared" ca="1" si="338"/>
        <v>0</v>
      </c>
      <c r="R747" s="306">
        <f t="shared" ca="1" si="339"/>
        <v>0</v>
      </c>
      <c r="S747" s="307">
        <f t="shared" ca="1" si="340"/>
        <v>4.341000000000002</v>
      </c>
      <c r="T747" s="304">
        <f t="shared" ca="1" si="320"/>
        <v>42.585210000000025</v>
      </c>
      <c r="U747" s="311">
        <f t="shared" ca="1" si="321"/>
        <v>0</v>
      </c>
      <c r="V747" s="306">
        <f t="shared" ca="1" si="322"/>
        <v>1.2257946912028432</v>
      </c>
      <c r="W747" s="304">
        <f t="shared" ca="1" si="323"/>
        <v>38.790796124887734</v>
      </c>
      <c r="Y747" s="314" t="str">
        <f t="shared" ca="1" si="341"/>
        <v/>
      </c>
      <c r="Z747" s="315" t="str">
        <f t="shared" ca="1" si="342"/>
        <v/>
      </c>
      <c r="AA747" s="316" t="str">
        <f t="shared" ca="1" si="343"/>
        <v/>
      </c>
      <c r="AC747" s="310" t="e">
        <f t="shared" ca="1" si="344"/>
        <v>#N/A</v>
      </c>
      <c r="AD747" s="323" t="e">
        <f t="shared" ca="1" si="345"/>
        <v>#N/A</v>
      </c>
      <c r="AE747" s="324" t="e">
        <f t="shared" ca="1" si="324"/>
        <v>#N/A</v>
      </c>
      <c r="AG747" s="306">
        <f t="shared" ca="1" si="346"/>
        <v>0.84745485420286926</v>
      </c>
      <c r="AH747" s="304">
        <f t="shared" ca="1" si="347"/>
        <v>-8.9358883545528816</v>
      </c>
    </row>
    <row r="748" spans="1:34" x14ac:dyDescent="0.2">
      <c r="A748" s="347">
        <f t="shared" ca="1" si="325"/>
        <v>1E-4</v>
      </c>
      <c r="B748" s="304">
        <f t="shared" ca="1" si="326"/>
        <v>28.636800000000054</v>
      </c>
      <c r="D748" s="306">
        <f t="shared" ca="1" si="327"/>
        <v>-0.65829992553904126</v>
      </c>
      <c r="E748" s="307">
        <f t="shared" ca="1" si="328"/>
        <v>-0.89836865322390125</v>
      </c>
      <c r="F748" s="304">
        <f t="shared" ca="1" si="329"/>
        <v>1.1137436998968988</v>
      </c>
      <c r="G748" s="306">
        <f t="shared" ca="1" si="330"/>
        <v>7.2755400920587867</v>
      </c>
      <c r="H748" s="307">
        <f t="shared" ca="1" si="331"/>
        <v>-98.492456744929356</v>
      </c>
      <c r="I748" s="304">
        <f t="shared" ca="1" si="332"/>
        <v>98.760809632581157</v>
      </c>
      <c r="J748" s="306">
        <f t="shared" ca="1" si="333"/>
        <v>678.53524446899166</v>
      </c>
      <c r="K748" s="307">
        <f t="shared" ca="1" si="334"/>
        <v>-6.4950208118218775</v>
      </c>
      <c r="L748" s="304">
        <f t="shared" ca="1" si="319"/>
        <v>678.56632931640536</v>
      </c>
      <c r="M748" s="306">
        <f t="shared" ca="1" si="335"/>
        <v>-1.4970612390685052</v>
      </c>
      <c r="N748" s="304">
        <f t="shared" ca="1" si="336"/>
        <v>-85.7752906712509</v>
      </c>
      <c r="P748" s="310">
        <f t="shared" ca="1" si="337"/>
        <v>23</v>
      </c>
      <c r="Q748" s="304">
        <f t="shared" ca="1" si="338"/>
        <v>0</v>
      </c>
      <c r="R748" s="306">
        <f t="shared" ca="1" si="339"/>
        <v>0</v>
      </c>
      <c r="S748" s="307">
        <f t="shared" ca="1" si="340"/>
        <v>4.341000000000002</v>
      </c>
      <c r="T748" s="304">
        <f t="shared" ca="1" si="320"/>
        <v>42.585210000000025</v>
      </c>
      <c r="U748" s="311">
        <f t="shared" ca="1" si="321"/>
        <v>0</v>
      </c>
      <c r="V748" s="306">
        <f t="shared" ca="1" si="322"/>
        <v>1.2257958985183202</v>
      </c>
      <c r="W748" s="304">
        <f t="shared" ca="1" si="323"/>
        <v>38.790900901067644</v>
      </c>
      <c r="Y748" s="314" t="str">
        <f t="shared" ca="1" si="341"/>
        <v/>
      </c>
      <c r="Z748" s="315" t="str">
        <f t="shared" ca="1" si="342"/>
        <v/>
      </c>
      <c r="AA748" s="316" t="str">
        <f t="shared" ca="1" si="343"/>
        <v/>
      </c>
      <c r="AC748" s="310" t="e">
        <f t="shared" ca="1" si="344"/>
        <v>#N/A</v>
      </c>
      <c r="AD748" s="323" t="e">
        <f t="shared" ca="1" si="345"/>
        <v>#N/A</v>
      </c>
      <c r="AE748" s="324" t="e">
        <f t="shared" ca="1" si="324"/>
        <v>#N/A</v>
      </c>
      <c r="AG748" s="306">
        <f t="shared" ca="1" si="346"/>
        <v>0.84743124626712252</v>
      </c>
      <c r="AH748" s="304">
        <f t="shared" ca="1" si="347"/>
        <v>-8.9359124913355714</v>
      </c>
    </row>
    <row r="749" spans="1:34" x14ac:dyDescent="0.2">
      <c r="A749" s="347">
        <f t="shared" ca="1" si="325"/>
        <v>1E-4</v>
      </c>
      <c r="B749" s="304">
        <f t="shared" ca="1" si="326"/>
        <v>28.636900000000054</v>
      </c>
      <c r="D749" s="306">
        <f t="shared" ca="1" si="327"/>
        <v>-0.65829518244301533</v>
      </c>
      <c r="E749" s="307">
        <f t="shared" ca="1" si="328"/>
        <v>-0.89834410067599002</v>
      </c>
      <c r="F749" s="304">
        <f t="shared" ca="1" si="329"/>
        <v>1.1137210918569498</v>
      </c>
      <c r="G749" s="306">
        <f t="shared" ca="1" si="330"/>
        <v>7.2754742625405422</v>
      </c>
      <c r="H749" s="307">
        <f t="shared" ca="1" si="331"/>
        <v>-98.492546579339418</v>
      </c>
      <c r="I749" s="304">
        <f t="shared" ca="1" si="332"/>
        <v>98.760894373371457</v>
      </c>
      <c r="J749" s="306">
        <f t="shared" ca="1" si="333"/>
        <v>678.53524446899166</v>
      </c>
      <c r="K749" s="307">
        <f t="shared" ca="1" si="334"/>
        <v>-6.5048700619880906</v>
      </c>
      <c r="L749" s="304">
        <f t="shared" ca="1" si="319"/>
        <v>678.56642366176482</v>
      </c>
      <c r="M749" s="306">
        <f t="shared" ca="1" si="335"/>
        <v>-1.4970619708216371</v>
      </c>
      <c r="N749" s="304">
        <f t="shared" ca="1" si="336"/>
        <v>-85.775332597616995</v>
      </c>
      <c r="P749" s="310">
        <f t="shared" ca="1" si="337"/>
        <v>23</v>
      </c>
      <c r="Q749" s="304">
        <f t="shared" ca="1" si="338"/>
        <v>0</v>
      </c>
      <c r="R749" s="306">
        <f t="shared" ca="1" si="339"/>
        <v>0</v>
      </c>
      <c r="S749" s="307">
        <f t="shared" ca="1" si="340"/>
        <v>4.341000000000002</v>
      </c>
      <c r="T749" s="304">
        <f t="shared" ca="1" si="320"/>
        <v>42.585210000000025</v>
      </c>
      <c r="U749" s="311">
        <f t="shared" ca="1" si="321"/>
        <v>0</v>
      </c>
      <c r="V749" s="306">
        <f t="shared" ca="1" si="322"/>
        <v>1.2257971058360881</v>
      </c>
      <c r="W749" s="304">
        <f t="shared" ca="1" si="323"/>
        <v>38.791005675653764</v>
      </c>
      <c r="Y749" s="314" t="str">
        <f t="shared" ca="1" si="341"/>
        <v/>
      </c>
      <c r="Z749" s="315" t="str">
        <f t="shared" ca="1" si="342"/>
        <v/>
      </c>
      <c r="AA749" s="316" t="str">
        <f t="shared" ca="1" si="343"/>
        <v/>
      </c>
      <c r="AC749" s="310" t="e">
        <f t="shared" ca="1" si="344"/>
        <v>#N/A</v>
      </c>
      <c r="AD749" s="323" t="e">
        <f t="shared" ca="1" si="345"/>
        <v>#N/A</v>
      </c>
      <c r="AE749" s="324" t="e">
        <f t="shared" ca="1" si="324"/>
        <v>#N/A</v>
      </c>
      <c r="AG749" s="306">
        <f t="shared" ca="1" si="346"/>
        <v>0.84740763868757796</v>
      </c>
      <c r="AH749" s="304">
        <f t="shared" ca="1" si="347"/>
        <v>-8.9359366277511239</v>
      </c>
    </row>
    <row r="750" spans="1:34" x14ac:dyDescent="0.2">
      <c r="A750" s="347">
        <f t="shared" ca="1" si="325"/>
        <v>1E-4</v>
      </c>
      <c r="B750" s="304">
        <f t="shared" ca="1" si="326"/>
        <v>28.637000000000054</v>
      </c>
      <c r="D750" s="306">
        <f t="shared" ca="1" si="327"/>
        <v>-0.65829043935455545</v>
      </c>
      <c r="E750" s="307">
        <f t="shared" ca="1" si="328"/>
        <v>-0.89831954850158446</v>
      </c>
      <c r="F750" s="304">
        <f t="shared" ca="1" si="329"/>
        <v>1.1136984842252882</v>
      </c>
      <c r="G750" s="306">
        <f t="shared" ca="1" si="330"/>
        <v>7.2754084334966072</v>
      </c>
      <c r="H750" s="307">
        <f t="shared" ca="1" si="331"/>
        <v>-98.492636411294271</v>
      </c>
      <c r="I750" s="304">
        <f t="shared" ca="1" si="332"/>
        <v>98.760979111801049</v>
      </c>
      <c r="J750" s="306">
        <f t="shared" ca="1" si="333"/>
        <v>678.53524446899166</v>
      </c>
      <c r="K750" s="307">
        <f t="shared" ca="1" si="334"/>
        <v>-6.5147193211376226</v>
      </c>
      <c r="L750" s="304">
        <f t="shared" ca="1" si="319"/>
        <v>678.56651815015709</v>
      </c>
      <c r="M750" s="306">
        <f t="shared" ca="1" si="335"/>
        <v>-1.4970627025668921</v>
      </c>
      <c r="N750" s="304">
        <f t="shared" ca="1" si="336"/>
        <v>-85.775374523531795</v>
      </c>
      <c r="P750" s="310">
        <f t="shared" ca="1" si="337"/>
        <v>23</v>
      </c>
      <c r="Q750" s="304">
        <f t="shared" ca="1" si="338"/>
        <v>0</v>
      </c>
      <c r="R750" s="306">
        <f t="shared" ca="1" si="339"/>
        <v>0</v>
      </c>
      <c r="S750" s="307">
        <f t="shared" ca="1" si="340"/>
        <v>4.341000000000002</v>
      </c>
      <c r="T750" s="304">
        <f t="shared" ca="1" si="320"/>
        <v>42.585210000000025</v>
      </c>
      <c r="U750" s="311">
        <f t="shared" ca="1" si="321"/>
        <v>0</v>
      </c>
      <c r="V750" s="306">
        <f t="shared" ca="1" si="322"/>
        <v>1.2257983131561465</v>
      </c>
      <c r="W750" s="304">
        <f t="shared" ca="1" si="323"/>
        <v>38.791110448646158</v>
      </c>
      <c r="Y750" s="314" t="str">
        <f t="shared" ca="1" si="341"/>
        <v/>
      </c>
      <c r="Z750" s="315" t="str">
        <f t="shared" ca="1" si="342"/>
        <v/>
      </c>
      <c r="AA750" s="316" t="str">
        <f t="shared" ca="1" si="343"/>
        <v/>
      </c>
      <c r="AC750" s="310" t="e">
        <f t="shared" ca="1" si="344"/>
        <v>#N/A</v>
      </c>
      <c r="AD750" s="323" t="e">
        <f t="shared" ca="1" si="345"/>
        <v>#N/A</v>
      </c>
      <c r="AE750" s="324" t="e">
        <f t="shared" ca="1" si="324"/>
        <v>#N/A</v>
      </c>
      <c r="AG750" s="306">
        <f t="shared" ca="1" si="346"/>
        <v>0.84738403146425512</v>
      </c>
      <c r="AH750" s="304">
        <f t="shared" ca="1" si="347"/>
        <v>-8.9359607637995264</v>
      </c>
    </row>
    <row r="751" spans="1:34" x14ac:dyDescent="0.2">
      <c r="A751" s="347">
        <f t="shared" ca="1" si="325"/>
        <v>1E-4</v>
      </c>
      <c r="B751" s="304">
        <f t="shared" ca="1" si="326"/>
        <v>28.637100000000054</v>
      </c>
      <c r="D751" s="306">
        <f t="shared" ca="1" si="327"/>
        <v>-0.65828569627366595</v>
      </c>
      <c r="E751" s="307">
        <f t="shared" ca="1" si="328"/>
        <v>-0.89829499670067037</v>
      </c>
      <c r="F751" s="304">
        <f t="shared" ca="1" si="329"/>
        <v>1.1136758770019051</v>
      </c>
      <c r="G751" s="306">
        <f t="shared" ca="1" si="330"/>
        <v>7.2753426049269798</v>
      </c>
      <c r="H751" s="307">
        <f t="shared" ca="1" si="331"/>
        <v>-98.492726240793942</v>
      </c>
      <c r="I751" s="304">
        <f t="shared" ca="1" si="332"/>
        <v>98.761063847869963</v>
      </c>
      <c r="J751" s="306">
        <f t="shared" ca="1" si="333"/>
        <v>678.53524446899166</v>
      </c>
      <c r="K751" s="307">
        <f t="shared" ca="1" si="334"/>
        <v>-6.5245685892702268</v>
      </c>
      <c r="L751" s="304">
        <f t="shared" ca="1" si="319"/>
        <v>678.56661278158265</v>
      </c>
      <c r="M751" s="306">
        <f t="shared" ca="1" si="335"/>
        <v>-1.4970634343042708</v>
      </c>
      <c r="N751" s="304">
        <f t="shared" ca="1" si="336"/>
        <v>-85.775416448995301</v>
      </c>
      <c r="P751" s="310">
        <f t="shared" ca="1" si="337"/>
        <v>23</v>
      </c>
      <c r="Q751" s="304">
        <f t="shared" ca="1" si="338"/>
        <v>0</v>
      </c>
      <c r="R751" s="306">
        <f t="shared" ca="1" si="339"/>
        <v>0</v>
      </c>
      <c r="S751" s="307">
        <f t="shared" ca="1" si="340"/>
        <v>4.341000000000002</v>
      </c>
      <c r="T751" s="304">
        <f t="shared" ca="1" si="320"/>
        <v>42.585210000000025</v>
      </c>
      <c r="U751" s="311">
        <f t="shared" ca="1" si="321"/>
        <v>0</v>
      </c>
      <c r="V751" s="306">
        <f t="shared" ca="1" si="322"/>
        <v>1.2257995204784957</v>
      </c>
      <c r="W751" s="304">
        <f t="shared" ca="1" si="323"/>
        <v>38.79121522004484</v>
      </c>
      <c r="Y751" s="314" t="str">
        <f t="shared" ca="1" si="341"/>
        <v/>
      </c>
      <c r="Z751" s="315" t="str">
        <f t="shared" ca="1" si="342"/>
        <v/>
      </c>
      <c r="AA751" s="316" t="str">
        <f t="shared" ca="1" si="343"/>
        <v/>
      </c>
      <c r="AC751" s="310" t="e">
        <f t="shared" ca="1" si="344"/>
        <v>#N/A</v>
      </c>
      <c r="AD751" s="323" t="e">
        <f t="shared" ca="1" si="345"/>
        <v>#N/A</v>
      </c>
      <c r="AE751" s="324" t="e">
        <f t="shared" ca="1" si="324"/>
        <v>#N/A</v>
      </c>
      <c r="AG751" s="306">
        <f t="shared" ca="1" si="346"/>
        <v>0.84736042459713268</v>
      </c>
      <c r="AH751" s="304">
        <f t="shared" ca="1" si="347"/>
        <v>-8.9359848994807969</v>
      </c>
    </row>
    <row r="752" spans="1:34" x14ac:dyDescent="0.2">
      <c r="A752" s="347">
        <f t="shared" ca="1" si="325"/>
        <v>1E-4</v>
      </c>
      <c r="B752" s="304">
        <f t="shared" ca="1" si="326"/>
        <v>28.637200000000053</v>
      </c>
      <c r="D752" s="306">
        <f t="shared" ca="1" si="327"/>
        <v>-0.65828095320034463</v>
      </c>
      <c r="E752" s="307">
        <f t="shared" ca="1" si="328"/>
        <v>-0.8982704452732424</v>
      </c>
      <c r="F752" s="304">
        <f t="shared" ca="1" si="329"/>
        <v>1.1136532701867954</v>
      </c>
      <c r="G752" s="306">
        <f t="shared" ca="1" si="330"/>
        <v>7.2752767768316602</v>
      </c>
      <c r="H752" s="307">
        <f t="shared" ca="1" si="331"/>
        <v>-98.492816067838476</v>
      </c>
      <c r="I752" s="304">
        <f t="shared" ca="1" si="332"/>
        <v>98.761148581578212</v>
      </c>
      <c r="J752" s="306">
        <f t="shared" ca="1" si="333"/>
        <v>678.53524446899166</v>
      </c>
      <c r="K752" s="307">
        <f t="shared" ca="1" si="334"/>
        <v>-6.5344178663856587</v>
      </c>
      <c r="L752" s="304">
        <f t="shared" ca="1" si="319"/>
        <v>678.56670755604182</v>
      </c>
      <c r="M752" s="306">
        <f t="shared" ca="1" si="335"/>
        <v>-1.4970641660337729</v>
      </c>
      <c r="N752" s="304">
        <f t="shared" ca="1" si="336"/>
        <v>-85.775458374007513</v>
      </c>
      <c r="P752" s="310">
        <f t="shared" ca="1" si="337"/>
        <v>23</v>
      </c>
      <c r="Q752" s="304">
        <f t="shared" ca="1" si="338"/>
        <v>0</v>
      </c>
      <c r="R752" s="306">
        <f t="shared" ca="1" si="339"/>
        <v>0</v>
      </c>
      <c r="S752" s="307">
        <f t="shared" ca="1" si="340"/>
        <v>4.341000000000002</v>
      </c>
      <c r="T752" s="304">
        <f t="shared" ca="1" si="320"/>
        <v>42.585210000000025</v>
      </c>
      <c r="U752" s="311">
        <f t="shared" ca="1" si="321"/>
        <v>0</v>
      </c>
      <c r="V752" s="306">
        <f t="shared" ca="1" si="322"/>
        <v>1.2258007278031358</v>
      </c>
      <c r="W752" s="304">
        <f t="shared" ca="1" si="323"/>
        <v>38.791319989849818</v>
      </c>
      <c r="Y752" s="314" t="str">
        <f t="shared" ca="1" si="341"/>
        <v/>
      </c>
      <c r="Z752" s="315" t="str">
        <f t="shared" ca="1" si="342"/>
        <v/>
      </c>
      <c r="AA752" s="316" t="str">
        <f t="shared" ca="1" si="343"/>
        <v/>
      </c>
      <c r="AC752" s="310" t="e">
        <f t="shared" ca="1" si="344"/>
        <v>#N/A</v>
      </c>
      <c r="AD752" s="323" t="e">
        <f t="shared" ca="1" si="345"/>
        <v>#N/A</v>
      </c>
      <c r="AE752" s="324" t="e">
        <f t="shared" ca="1" si="324"/>
        <v>#N/A</v>
      </c>
      <c r="AG752" s="306">
        <f t="shared" ca="1" si="346"/>
        <v>0.84733681808621064</v>
      </c>
      <c r="AH752" s="304">
        <f t="shared" ca="1" si="347"/>
        <v>-8.936009034794937</v>
      </c>
    </row>
    <row r="753" spans="1:34" x14ac:dyDescent="0.2">
      <c r="A753" s="347">
        <f t="shared" ca="1" si="325"/>
        <v>1E-4</v>
      </c>
      <c r="B753" s="304">
        <f t="shared" ca="1" si="326"/>
        <v>28.637300000000053</v>
      </c>
      <c r="D753" s="306">
        <f t="shared" ca="1" si="327"/>
        <v>-0.65827621013459492</v>
      </c>
      <c r="E753" s="307">
        <f t="shared" ca="1" si="328"/>
        <v>-0.89824589421930057</v>
      </c>
      <c r="F753" s="304">
        <f t="shared" ca="1" si="329"/>
        <v>1.1136306637799609</v>
      </c>
      <c r="G753" s="306">
        <f t="shared" ca="1" si="330"/>
        <v>7.2752109492106465</v>
      </c>
      <c r="H753" s="307">
        <f t="shared" ca="1" si="331"/>
        <v>-98.492905892427899</v>
      </c>
      <c r="I753" s="304">
        <f t="shared" ca="1" si="332"/>
        <v>98.761233312925839</v>
      </c>
      <c r="J753" s="306">
        <f t="shared" ca="1" si="333"/>
        <v>678.53524446899166</v>
      </c>
      <c r="K753" s="307">
        <f t="shared" ca="1" si="334"/>
        <v>-6.5442671524836724</v>
      </c>
      <c r="L753" s="304">
        <f t="shared" ca="1" si="319"/>
        <v>678.56680247353495</v>
      </c>
      <c r="M753" s="306">
        <f t="shared" ca="1" si="335"/>
        <v>-1.4970648977553986</v>
      </c>
      <c r="N753" s="304">
        <f t="shared" ca="1" si="336"/>
        <v>-85.775500298568446</v>
      </c>
      <c r="P753" s="310">
        <f t="shared" ca="1" si="337"/>
        <v>23</v>
      </c>
      <c r="Q753" s="304">
        <f t="shared" ca="1" si="338"/>
        <v>0</v>
      </c>
      <c r="R753" s="306">
        <f t="shared" ca="1" si="339"/>
        <v>0</v>
      </c>
      <c r="S753" s="307">
        <f t="shared" ca="1" si="340"/>
        <v>4.341000000000002</v>
      </c>
      <c r="T753" s="304">
        <f t="shared" ca="1" si="320"/>
        <v>42.585210000000025</v>
      </c>
      <c r="U753" s="311">
        <f t="shared" ca="1" si="321"/>
        <v>0</v>
      </c>
      <c r="V753" s="306">
        <f t="shared" ca="1" si="322"/>
        <v>1.2258019351300657</v>
      </c>
      <c r="W753" s="304">
        <f t="shared" ca="1" si="323"/>
        <v>38.79142475806109</v>
      </c>
      <c r="Y753" s="314" t="str">
        <f t="shared" ca="1" si="341"/>
        <v/>
      </c>
      <c r="Z753" s="315" t="str">
        <f t="shared" ca="1" si="342"/>
        <v/>
      </c>
      <c r="AA753" s="316" t="str">
        <f t="shared" ca="1" si="343"/>
        <v/>
      </c>
      <c r="AC753" s="310" t="e">
        <f t="shared" ca="1" si="344"/>
        <v>#N/A</v>
      </c>
      <c r="AD753" s="323" t="e">
        <f t="shared" ca="1" si="345"/>
        <v>#N/A</v>
      </c>
      <c r="AE753" s="324" t="e">
        <f t="shared" ca="1" si="324"/>
        <v>#N/A</v>
      </c>
      <c r="AG753" s="306">
        <f t="shared" ca="1" si="346"/>
        <v>0.84731321193148723</v>
      </c>
      <c r="AH753" s="304">
        <f t="shared" ca="1" si="347"/>
        <v>-8.9360331697419486</v>
      </c>
    </row>
    <row r="754" spans="1:34" x14ac:dyDescent="0.2">
      <c r="A754" s="347">
        <f t="shared" ca="1" si="325"/>
        <v>1E-4</v>
      </c>
      <c r="B754" s="304">
        <f t="shared" ca="1" si="326"/>
        <v>28.637400000000053</v>
      </c>
      <c r="D754" s="306">
        <f t="shared" ca="1" si="327"/>
        <v>-0.65827146707641637</v>
      </c>
      <c r="E754" s="307">
        <f t="shared" ca="1" si="328"/>
        <v>-0.89822134353884309</v>
      </c>
      <c r="F754" s="304">
        <f t="shared" ca="1" si="329"/>
        <v>1.1136080577814</v>
      </c>
      <c r="G754" s="306">
        <f t="shared" ca="1" si="330"/>
        <v>7.2751451220639387</v>
      </c>
      <c r="H754" s="307">
        <f t="shared" ca="1" si="331"/>
        <v>-98.492995714562255</v>
      </c>
      <c r="I754" s="304">
        <f t="shared" ca="1" si="332"/>
        <v>98.761318041912901</v>
      </c>
      <c r="J754" s="306">
        <f t="shared" ca="1" si="333"/>
        <v>678.53524446899166</v>
      </c>
      <c r="K754" s="307">
        <f t="shared" ca="1" si="334"/>
        <v>-6.5541164475640219</v>
      </c>
      <c r="L754" s="304">
        <f t="shared" ca="1" si="319"/>
        <v>678.56689753406226</v>
      </c>
      <c r="M754" s="306">
        <f t="shared" ca="1" si="335"/>
        <v>-1.4970656294691482</v>
      </c>
      <c r="N754" s="304">
        <f t="shared" ca="1" si="336"/>
        <v>-85.775542222678112</v>
      </c>
      <c r="P754" s="310">
        <f t="shared" ca="1" si="337"/>
        <v>23</v>
      </c>
      <c r="Q754" s="304">
        <f t="shared" ca="1" si="338"/>
        <v>0</v>
      </c>
      <c r="R754" s="306">
        <f t="shared" ca="1" si="339"/>
        <v>0</v>
      </c>
      <c r="S754" s="307">
        <f t="shared" ca="1" si="340"/>
        <v>4.341000000000002</v>
      </c>
      <c r="T754" s="304">
        <f t="shared" ca="1" si="320"/>
        <v>42.585210000000025</v>
      </c>
      <c r="U754" s="311">
        <f t="shared" ca="1" si="321"/>
        <v>0</v>
      </c>
      <c r="V754" s="306">
        <f t="shared" ca="1" si="322"/>
        <v>1.225803142459287</v>
      </c>
      <c r="W754" s="304">
        <f t="shared" ca="1" si="323"/>
        <v>38.791529524678715</v>
      </c>
      <c r="Y754" s="314" t="str">
        <f t="shared" ca="1" si="341"/>
        <v/>
      </c>
      <c r="Z754" s="315" t="str">
        <f t="shared" ca="1" si="342"/>
        <v/>
      </c>
      <c r="AA754" s="316" t="str">
        <f t="shared" ca="1" si="343"/>
        <v/>
      </c>
      <c r="AC754" s="310" t="e">
        <f t="shared" ca="1" si="344"/>
        <v>#N/A</v>
      </c>
      <c r="AD754" s="323" t="e">
        <f t="shared" ca="1" si="345"/>
        <v>#N/A</v>
      </c>
      <c r="AE754" s="324" t="e">
        <f t="shared" ca="1" si="324"/>
        <v>#N/A</v>
      </c>
      <c r="AG754" s="306">
        <f t="shared" ca="1" si="346"/>
        <v>0.84728960613296067</v>
      </c>
      <c r="AH754" s="304">
        <f t="shared" ca="1" si="347"/>
        <v>-8.9360573043218317</v>
      </c>
    </row>
    <row r="755" spans="1:34" x14ac:dyDescent="0.2">
      <c r="A755" s="347">
        <f t="shared" ca="1" si="325"/>
        <v>1E-4</v>
      </c>
      <c r="B755" s="304">
        <f t="shared" ca="1" si="326"/>
        <v>28.637500000000053</v>
      </c>
      <c r="D755" s="306">
        <f t="shared" ca="1" si="327"/>
        <v>-0.65826672402580932</v>
      </c>
      <c r="E755" s="307">
        <f t="shared" ca="1" si="328"/>
        <v>-0.8981967932318593</v>
      </c>
      <c r="F755" s="304">
        <f t="shared" ca="1" si="329"/>
        <v>1.1135854521911044</v>
      </c>
      <c r="G755" s="306">
        <f t="shared" ca="1" si="330"/>
        <v>7.275079295391536</v>
      </c>
      <c r="H755" s="307">
        <f t="shared" ca="1" si="331"/>
        <v>-98.493085534241573</v>
      </c>
      <c r="I755" s="304">
        <f t="shared" ca="1" si="332"/>
        <v>98.761402768539398</v>
      </c>
      <c r="J755" s="306">
        <f t="shared" ca="1" si="333"/>
        <v>678.53524446899166</v>
      </c>
      <c r="K755" s="307">
        <f t="shared" ca="1" si="334"/>
        <v>-6.563965751626462</v>
      </c>
      <c r="L755" s="304">
        <f t="shared" ca="1" si="319"/>
        <v>678.5669927376241</v>
      </c>
      <c r="M755" s="306">
        <f t="shared" ca="1" si="335"/>
        <v>-1.4970663611750217</v>
      </c>
      <c r="N755" s="304">
        <f t="shared" ca="1" si="336"/>
        <v>-85.775584146336513</v>
      </c>
      <c r="P755" s="310">
        <f t="shared" ca="1" si="337"/>
        <v>23</v>
      </c>
      <c r="Q755" s="304">
        <f t="shared" ca="1" si="338"/>
        <v>0</v>
      </c>
      <c r="R755" s="306">
        <f t="shared" ca="1" si="339"/>
        <v>0</v>
      </c>
      <c r="S755" s="307">
        <f t="shared" ca="1" si="340"/>
        <v>4.341000000000002</v>
      </c>
      <c r="T755" s="304">
        <f t="shared" ca="1" si="320"/>
        <v>42.585210000000025</v>
      </c>
      <c r="U755" s="311">
        <f t="shared" ca="1" si="321"/>
        <v>0</v>
      </c>
      <c r="V755" s="306">
        <f t="shared" ca="1" si="322"/>
        <v>1.2258043497907982</v>
      </c>
      <c r="W755" s="304">
        <f t="shared" ca="1" si="323"/>
        <v>38.791634289702657</v>
      </c>
      <c r="Y755" s="314" t="str">
        <f t="shared" ca="1" si="341"/>
        <v/>
      </c>
      <c r="Z755" s="315" t="str">
        <f t="shared" ca="1" si="342"/>
        <v/>
      </c>
      <c r="AA755" s="316" t="str">
        <f t="shared" ca="1" si="343"/>
        <v/>
      </c>
      <c r="AC755" s="310" t="e">
        <f t="shared" ca="1" si="344"/>
        <v>#N/A</v>
      </c>
      <c r="AD755" s="323" t="e">
        <f t="shared" ca="1" si="345"/>
        <v>#N/A</v>
      </c>
      <c r="AE755" s="324" t="e">
        <f t="shared" ca="1" si="324"/>
        <v>#N/A</v>
      </c>
      <c r="AG755" s="306">
        <f t="shared" ca="1" si="346"/>
        <v>0.84726600069061853</v>
      </c>
      <c r="AH755" s="304">
        <f t="shared" ca="1" si="347"/>
        <v>-8.9360814385346004</v>
      </c>
    </row>
    <row r="756" spans="1:34" x14ac:dyDescent="0.2">
      <c r="A756" s="347">
        <f t="shared" ca="1" si="325"/>
        <v>1E-4</v>
      </c>
      <c r="B756" s="304">
        <f t="shared" ca="1" si="326"/>
        <v>28.637600000000052</v>
      </c>
      <c r="D756" s="306">
        <f t="shared" ca="1" si="327"/>
        <v>-0.65826198098277422</v>
      </c>
      <c r="E756" s="307">
        <f t="shared" ca="1" si="328"/>
        <v>-0.89817224329835454</v>
      </c>
      <c r="F756" s="304">
        <f t="shared" ca="1" si="329"/>
        <v>1.1135628470090788</v>
      </c>
      <c r="G756" s="306">
        <f t="shared" ca="1" si="330"/>
        <v>7.2750134691934374</v>
      </c>
      <c r="H756" s="307">
        <f t="shared" ca="1" si="331"/>
        <v>-98.493175351465908</v>
      </c>
      <c r="I756" s="304">
        <f t="shared" ca="1" si="332"/>
        <v>98.761487492805387</v>
      </c>
      <c r="J756" s="306">
        <f t="shared" ca="1" si="333"/>
        <v>678.53524446899166</v>
      </c>
      <c r="K756" s="307">
        <f t="shared" ca="1" si="334"/>
        <v>-6.5738150646707476</v>
      </c>
      <c r="L756" s="304">
        <f t="shared" ca="1" si="319"/>
        <v>678.56708808422093</v>
      </c>
      <c r="M756" s="306">
        <f t="shared" ca="1" si="335"/>
        <v>-1.497067092873019</v>
      </c>
      <c r="N756" s="304">
        <f t="shared" ca="1" si="336"/>
        <v>-85.775626069543634</v>
      </c>
      <c r="P756" s="310">
        <f t="shared" ca="1" si="337"/>
        <v>23</v>
      </c>
      <c r="Q756" s="304">
        <f t="shared" ca="1" si="338"/>
        <v>0</v>
      </c>
      <c r="R756" s="306">
        <f t="shared" ca="1" si="339"/>
        <v>0</v>
      </c>
      <c r="S756" s="307">
        <f t="shared" ca="1" si="340"/>
        <v>4.341000000000002</v>
      </c>
      <c r="T756" s="304">
        <f t="shared" ca="1" si="320"/>
        <v>42.585210000000025</v>
      </c>
      <c r="U756" s="311">
        <f t="shared" ca="1" si="321"/>
        <v>0</v>
      </c>
      <c r="V756" s="306">
        <f t="shared" ca="1" si="322"/>
        <v>1.2258055571246005</v>
      </c>
      <c r="W756" s="304">
        <f t="shared" ca="1" si="323"/>
        <v>38.791739053132972</v>
      </c>
      <c r="Y756" s="314" t="str">
        <f t="shared" ca="1" si="341"/>
        <v/>
      </c>
      <c r="Z756" s="315" t="str">
        <f t="shared" ca="1" si="342"/>
        <v/>
      </c>
      <c r="AA756" s="316" t="str">
        <f t="shared" ca="1" si="343"/>
        <v/>
      </c>
      <c r="AC756" s="310" t="e">
        <f t="shared" ca="1" si="344"/>
        <v>#N/A</v>
      </c>
      <c r="AD756" s="323" t="e">
        <f t="shared" ca="1" si="345"/>
        <v>#N/A</v>
      </c>
      <c r="AE756" s="324" t="e">
        <f t="shared" ca="1" si="324"/>
        <v>#N/A</v>
      </c>
      <c r="AG756" s="306">
        <f t="shared" ca="1" si="346"/>
        <v>0.84724239560447145</v>
      </c>
      <c r="AH756" s="304">
        <f t="shared" ca="1" si="347"/>
        <v>-8.9361055723802441</v>
      </c>
    </row>
    <row r="757" spans="1:34" x14ac:dyDescent="0.2">
      <c r="A757" s="347">
        <f t="shared" ca="1" si="325"/>
        <v>1E-4</v>
      </c>
      <c r="B757" s="304">
        <f t="shared" ca="1" si="326"/>
        <v>28.637700000000052</v>
      </c>
      <c r="D757" s="306">
        <f t="shared" ca="1" si="327"/>
        <v>-0.65825723794731361</v>
      </c>
      <c r="E757" s="307">
        <f t="shared" ca="1" si="328"/>
        <v>-0.89814769373831993</v>
      </c>
      <c r="F757" s="304">
        <f t="shared" ca="1" si="329"/>
        <v>1.1135402422353173</v>
      </c>
      <c r="G757" s="306">
        <f t="shared" ca="1" si="330"/>
        <v>7.274947643469643</v>
      </c>
      <c r="H757" s="307">
        <f t="shared" ca="1" si="331"/>
        <v>-98.493265166235275</v>
      </c>
      <c r="I757" s="304">
        <f t="shared" ca="1" si="332"/>
        <v>98.761572214710924</v>
      </c>
      <c r="J757" s="306">
        <f t="shared" ca="1" si="333"/>
        <v>678.53524446899166</v>
      </c>
      <c r="K757" s="307">
        <f t="shared" ca="1" si="334"/>
        <v>-6.5836643866966327</v>
      </c>
      <c r="L757" s="304">
        <f t="shared" ca="1" si="319"/>
        <v>678.56718357385284</v>
      </c>
      <c r="M757" s="306">
        <f t="shared" ca="1" si="335"/>
        <v>-1.4970678245631406</v>
      </c>
      <c r="N757" s="304">
        <f t="shared" ca="1" si="336"/>
        <v>-85.775667992299518</v>
      </c>
      <c r="P757" s="310">
        <f t="shared" ca="1" si="337"/>
        <v>23</v>
      </c>
      <c r="Q757" s="304">
        <f t="shared" ca="1" si="338"/>
        <v>0</v>
      </c>
      <c r="R757" s="306">
        <f t="shared" ca="1" si="339"/>
        <v>0</v>
      </c>
      <c r="S757" s="307">
        <f t="shared" ca="1" si="340"/>
        <v>4.341000000000002</v>
      </c>
      <c r="T757" s="304">
        <f t="shared" ca="1" si="320"/>
        <v>42.585210000000025</v>
      </c>
      <c r="U757" s="311">
        <f t="shared" ca="1" si="321"/>
        <v>0</v>
      </c>
      <c r="V757" s="306">
        <f t="shared" ca="1" si="322"/>
        <v>1.2258067644606929</v>
      </c>
      <c r="W757" s="304">
        <f t="shared" ca="1" si="323"/>
        <v>38.791843814969681</v>
      </c>
      <c r="Y757" s="314" t="str">
        <f t="shared" ca="1" si="341"/>
        <v/>
      </c>
      <c r="Z757" s="315" t="str">
        <f t="shared" ca="1" si="342"/>
        <v/>
      </c>
      <c r="AA757" s="316" t="str">
        <f t="shared" ca="1" si="343"/>
        <v/>
      </c>
      <c r="AC757" s="310" t="e">
        <f t="shared" ca="1" si="344"/>
        <v>#N/A</v>
      </c>
      <c r="AD757" s="323" t="e">
        <f t="shared" ca="1" si="345"/>
        <v>#N/A</v>
      </c>
      <c r="AE757" s="324" t="e">
        <f t="shared" ca="1" si="324"/>
        <v>#N/A</v>
      </c>
      <c r="AG757" s="306">
        <f t="shared" ca="1" si="346"/>
        <v>0.84721879087450702</v>
      </c>
      <c r="AH757" s="304">
        <f t="shared" ca="1" si="347"/>
        <v>-8.936129705858777</v>
      </c>
    </row>
    <row r="758" spans="1:34" x14ac:dyDescent="0.2">
      <c r="A758" s="347">
        <f t="shared" ca="1" si="325"/>
        <v>1E-4</v>
      </c>
      <c r="B758" s="304">
        <f t="shared" ca="1" si="326"/>
        <v>28.637800000000052</v>
      </c>
      <c r="D758" s="306">
        <f t="shared" ca="1" si="327"/>
        <v>-0.65825249491942561</v>
      </c>
      <c r="E758" s="307">
        <f t="shared" ca="1" si="328"/>
        <v>-0.8981231445517448</v>
      </c>
      <c r="F758" s="304">
        <f t="shared" ca="1" si="329"/>
        <v>1.1135176378698106</v>
      </c>
      <c r="G758" s="306">
        <f t="shared" ca="1" si="330"/>
        <v>7.2748818182201509</v>
      </c>
      <c r="H758" s="307">
        <f t="shared" ca="1" si="331"/>
        <v>-98.493354978549732</v>
      </c>
      <c r="I758" s="304">
        <f t="shared" ca="1" si="332"/>
        <v>98.761656934255996</v>
      </c>
      <c r="J758" s="306">
        <f t="shared" ca="1" si="333"/>
        <v>678.53524446899166</v>
      </c>
      <c r="K758" s="307">
        <f t="shared" ca="1" si="334"/>
        <v>-6.5935137177038721</v>
      </c>
      <c r="L758" s="304">
        <f t="shared" ca="1" si="319"/>
        <v>678.56727920652042</v>
      </c>
      <c r="M758" s="306">
        <f t="shared" ca="1" si="335"/>
        <v>-1.4970685562453863</v>
      </c>
      <c r="N758" s="304">
        <f t="shared" ca="1" si="336"/>
        <v>-85.775709914604136</v>
      </c>
      <c r="P758" s="310">
        <f t="shared" ca="1" si="337"/>
        <v>23</v>
      </c>
      <c r="Q758" s="304">
        <f t="shared" ca="1" si="338"/>
        <v>0</v>
      </c>
      <c r="R758" s="306">
        <f t="shared" ca="1" si="339"/>
        <v>0</v>
      </c>
      <c r="S758" s="307">
        <f t="shared" ca="1" si="340"/>
        <v>4.341000000000002</v>
      </c>
      <c r="T758" s="304">
        <f t="shared" ca="1" si="320"/>
        <v>42.585210000000025</v>
      </c>
      <c r="U758" s="311">
        <f t="shared" ca="1" si="321"/>
        <v>0</v>
      </c>
      <c r="V758" s="306">
        <f t="shared" ca="1" si="322"/>
        <v>1.225807971799076</v>
      </c>
      <c r="W758" s="304">
        <f t="shared" ca="1" si="323"/>
        <v>38.791948575212771</v>
      </c>
      <c r="Y758" s="314" t="str">
        <f t="shared" ca="1" si="341"/>
        <v/>
      </c>
      <c r="Z758" s="315" t="str">
        <f t="shared" ca="1" si="342"/>
        <v/>
      </c>
      <c r="AA758" s="316" t="str">
        <f t="shared" ca="1" si="343"/>
        <v/>
      </c>
      <c r="AC758" s="310" t="e">
        <f t="shared" ca="1" si="344"/>
        <v>#N/A</v>
      </c>
      <c r="AD758" s="323" t="e">
        <f t="shared" ca="1" si="345"/>
        <v>#N/A</v>
      </c>
      <c r="AE758" s="324" t="e">
        <f t="shared" ca="1" si="324"/>
        <v>#N/A</v>
      </c>
      <c r="AG758" s="306">
        <f t="shared" ca="1" si="346"/>
        <v>0.84719518650071635</v>
      </c>
      <c r="AH758" s="304">
        <f t="shared" ca="1" si="347"/>
        <v>-8.9361538389702062</v>
      </c>
    </row>
    <row r="759" spans="1:34" x14ac:dyDescent="0.2">
      <c r="A759" s="347">
        <f t="shared" ca="1" si="325"/>
        <v>1E-4</v>
      </c>
      <c r="B759" s="304">
        <f t="shared" ca="1" si="326"/>
        <v>28.637900000000052</v>
      </c>
      <c r="D759" s="306">
        <f t="shared" ca="1" si="327"/>
        <v>-0.65824775189911289</v>
      </c>
      <c r="E759" s="307">
        <f t="shared" ca="1" si="328"/>
        <v>-0.89809859573863626</v>
      </c>
      <c r="F759" s="304">
        <f t="shared" ca="1" si="329"/>
        <v>1.113495033912566</v>
      </c>
      <c r="G759" s="306">
        <f t="shared" ca="1" si="330"/>
        <v>7.2748159934449612</v>
      </c>
      <c r="H759" s="307">
        <f t="shared" ca="1" si="331"/>
        <v>-98.493444788409306</v>
      </c>
      <c r="I759" s="304">
        <f t="shared" ca="1" si="332"/>
        <v>98.761741651440687</v>
      </c>
      <c r="J759" s="306">
        <f t="shared" ca="1" si="333"/>
        <v>678.53524446899166</v>
      </c>
      <c r="K759" s="307">
        <f t="shared" ca="1" si="334"/>
        <v>-6.6033630576922198</v>
      </c>
      <c r="L759" s="304">
        <f t="shared" ca="1" si="319"/>
        <v>678.5673749822239</v>
      </c>
      <c r="M759" s="306">
        <f t="shared" ca="1" si="335"/>
        <v>-1.4970692879197562</v>
      </c>
      <c r="N759" s="304">
        <f t="shared" ca="1" si="336"/>
        <v>-85.775751836457516</v>
      </c>
      <c r="P759" s="310">
        <f t="shared" ca="1" si="337"/>
        <v>23</v>
      </c>
      <c r="Q759" s="304">
        <f t="shared" ca="1" si="338"/>
        <v>0</v>
      </c>
      <c r="R759" s="306">
        <f t="shared" ca="1" si="339"/>
        <v>0</v>
      </c>
      <c r="S759" s="307">
        <f t="shared" ca="1" si="340"/>
        <v>4.341000000000002</v>
      </c>
      <c r="T759" s="304">
        <f t="shared" ca="1" si="320"/>
        <v>42.585210000000025</v>
      </c>
      <c r="U759" s="311">
        <f t="shared" ca="1" si="321"/>
        <v>0</v>
      </c>
      <c r="V759" s="306">
        <f t="shared" ca="1" si="322"/>
        <v>1.2258091791397494</v>
      </c>
      <c r="W759" s="304">
        <f t="shared" ca="1" si="323"/>
        <v>38.792053333862299</v>
      </c>
      <c r="Y759" s="314" t="str">
        <f t="shared" ca="1" si="341"/>
        <v/>
      </c>
      <c r="Z759" s="315" t="str">
        <f t="shared" ca="1" si="342"/>
        <v/>
      </c>
      <c r="AA759" s="316" t="str">
        <f t="shared" ca="1" si="343"/>
        <v/>
      </c>
      <c r="AC759" s="310" t="e">
        <f t="shared" ca="1" si="344"/>
        <v>#N/A</v>
      </c>
      <c r="AD759" s="323" t="e">
        <f t="shared" ca="1" si="345"/>
        <v>#N/A</v>
      </c>
      <c r="AE759" s="324" t="e">
        <f t="shared" ca="1" si="324"/>
        <v>#N/A</v>
      </c>
      <c r="AG759" s="306">
        <f t="shared" ca="1" si="346"/>
        <v>0.84717158248310831</v>
      </c>
      <c r="AH759" s="304">
        <f t="shared" ca="1" si="347"/>
        <v>-8.9361779717145247</v>
      </c>
    </row>
    <row r="760" spans="1:34" x14ac:dyDescent="0.2">
      <c r="A760" s="347">
        <f t="shared" ca="1" si="325"/>
        <v>1E-4</v>
      </c>
      <c r="B760" s="304">
        <f t="shared" ca="1" si="326"/>
        <v>28.638000000000051</v>
      </c>
      <c r="D760" s="306">
        <f t="shared" ca="1" si="327"/>
        <v>-0.6582430088863761</v>
      </c>
      <c r="E760" s="307">
        <f t="shared" ca="1" si="328"/>
        <v>-0.8980740472989801</v>
      </c>
      <c r="F760" s="304">
        <f t="shared" ca="1" si="329"/>
        <v>1.1134724303635724</v>
      </c>
      <c r="G760" s="306">
        <f t="shared" ca="1" si="330"/>
        <v>7.274750169144073</v>
      </c>
      <c r="H760" s="307">
        <f t="shared" ca="1" si="331"/>
        <v>-98.49353459581404</v>
      </c>
      <c r="I760" s="304">
        <f t="shared" ca="1" si="332"/>
        <v>98.761826366265012</v>
      </c>
      <c r="J760" s="306">
        <f t="shared" ca="1" si="333"/>
        <v>678.53524446899166</v>
      </c>
      <c r="K760" s="307">
        <f t="shared" ca="1" si="334"/>
        <v>-6.6132124066614306</v>
      </c>
      <c r="L760" s="304">
        <f t="shared" ca="1" si="319"/>
        <v>678.56747090096349</v>
      </c>
      <c r="M760" s="306">
        <f t="shared" ca="1" si="335"/>
        <v>-1.4970700195862507</v>
      </c>
      <c r="N760" s="304">
        <f t="shared" ca="1" si="336"/>
        <v>-85.77579375785966</v>
      </c>
      <c r="P760" s="310">
        <f t="shared" ca="1" si="337"/>
        <v>23</v>
      </c>
      <c r="Q760" s="304">
        <f t="shared" ca="1" si="338"/>
        <v>0</v>
      </c>
      <c r="R760" s="306">
        <f t="shared" ca="1" si="339"/>
        <v>0</v>
      </c>
      <c r="S760" s="307">
        <f t="shared" ca="1" si="340"/>
        <v>4.341000000000002</v>
      </c>
      <c r="T760" s="304">
        <f t="shared" ca="1" si="320"/>
        <v>42.585210000000025</v>
      </c>
      <c r="U760" s="311">
        <f t="shared" ca="1" si="321"/>
        <v>0</v>
      </c>
      <c r="V760" s="306">
        <f t="shared" ca="1" si="322"/>
        <v>1.225810386482713</v>
      </c>
      <c r="W760" s="304">
        <f t="shared" ca="1" si="323"/>
        <v>38.792158090918242</v>
      </c>
      <c r="Y760" s="314" t="str">
        <f t="shared" ca="1" si="341"/>
        <v/>
      </c>
      <c r="Z760" s="315" t="str">
        <f t="shared" ca="1" si="342"/>
        <v/>
      </c>
      <c r="AA760" s="316" t="str">
        <f t="shared" ca="1" si="343"/>
        <v/>
      </c>
      <c r="AC760" s="310" t="e">
        <f t="shared" ca="1" si="344"/>
        <v>#N/A</v>
      </c>
      <c r="AD760" s="323" t="e">
        <f t="shared" ca="1" si="345"/>
        <v>#N/A</v>
      </c>
      <c r="AE760" s="324" t="e">
        <f t="shared" ca="1" si="324"/>
        <v>#N/A</v>
      </c>
      <c r="AG760" s="306">
        <f t="shared" ca="1" si="346"/>
        <v>0.84714797882166515</v>
      </c>
      <c r="AH760" s="304">
        <f t="shared" ca="1" si="347"/>
        <v>-8.9362021040917483</v>
      </c>
    </row>
    <row r="761" spans="1:34" x14ac:dyDescent="0.2">
      <c r="A761" s="347">
        <f t="shared" ca="1" si="325"/>
        <v>1E-4</v>
      </c>
      <c r="B761" s="304">
        <f t="shared" ca="1" si="326"/>
        <v>28.638100000000051</v>
      </c>
      <c r="D761" s="306">
        <f t="shared" ca="1" si="327"/>
        <v>-0.65823826588121415</v>
      </c>
      <c r="E761" s="307">
        <f t="shared" ca="1" si="328"/>
        <v>-0.89804949923277988</v>
      </c>
      <c r="F761" s="304">
        <f t="shared" ca="1" si="329"/>
        <v>1.1134498272228321</v>
      </c>
      <c r="G761" s="306">
        <f t="shared" ca="1" si="330"/>
        <v>7.2746843453174845</v>
      </c>
      <c r="H761" s="307">
        <f t="shared" ca="1" si="331"/>
        <v>-98.493624400763963</v>
      </c>
      <c r="I761" s="304">
        <f t="shared" ca="1" si="332"/>
        <v>98.761911078729</v>
      </c>
      <c r="J761" s="306">
        <f t="shared" ca="1" si="333"/>
        <v>678.53524446899166</v>
      </c>
      <c r="K761" s="307">
        <f t="shared" ca="1" si="334"/>
        <v>-6.6230617646112595</v>
      </c>
      <c r="L761" s="304">
        <f t="shared" ca="1" si="319"/>
        <v>678.56756696273965</v>
      </c>
      <c r="M761" s="306">
        <f t="shared" ca="1" si="335"/>
        <v>-1.4970707512448698</v>
      </c>
      <c r="N761" s="304">
        <f t="shared" ca="1" si="336"/>
        <v>-85.775835678810566</v>
      </c>
      <c r="P761" s="310">
        <f t="shared" ca="1" si="337"/>
        <v>23</v>
      </c>
      <c r="Q761" s="304">
        <f t="shared" ca="1" si="338"/>
        <v>0</v>
      </c>
      <c r="R761" s="306">
        <f t="shared" ca="1" si="339"/>
        <v>0</v>
      </c>
      <c r="S761" s="307">
        <f t="shared" ca="1" si="340"/>
        <v>4.341000000000002</v>
      </c>
      <c r="T761" s="304">
        <f t="shared" ca="1" si="320"/>
        <v>42.585210000000025</v>
      </c>
      <c r="U761" s="311">
        <f t="shared" ca="1" si="321"/>
        <v>0</v>
      </c>
      <c r="V761" s="306">
        <f t="shared" ca="1" si="322"/>
        <v>1.2258115938279674</v>
      </c>
      <c r="W761" s="304">
        <f t="shared" ca="1" si="323"/>
        <v>38.792262846380652</v>
      </c>
      <c r="Y761" s="314" t="str">
        <f t="shared" ca="1" si="341"/>
        <v/>
      </c>
      <c r="Z761" s="315" t="str">
        <f t="shared" ca="1" si="342"/>
        <v/>
      </c>
      <c r="AA761" s="316" t="str">
        <f t="shared" ca="1" si="343"/>
        <v/>
      </c>
      <c r="AC761" s="310" t="e">
        <f t="shared" ca="1" si="344"/>
        <v>#N/A</v>
      </c>
      <c r="AD761" s="323" t="e">
        <f t="shared" ca="1" si="345"/>
        <v>#N/A</v>
      </c>
      <c r="AE761" s="324" t="e">
        <f t="shared" ca="1" si="324"/>
        <v>#N/A</v>
      </c>
      <c r="AG761" s="306">
        <f t="shared" ca="1" si="346"/>
        <v>0.84712437551639397</v>
      </c>
      <c r="AH761" s="304">
        <f t="shared" ca="1" si="347"/>
        <v>-8.9362262361018718</v>
      </c>
    </row>
    <row r="762" spans="1:34" x14ac:dyDescent="0.2">
      <c r="A762" s="347">
        <f t="shared" ca="1" si="325"/>
        <v>1E-4</v>
      </c>
      <c r="B762" s="304">
        <f t="shared" ca="1" si="326"/>
        <v>28.638200000000051</v>
      </c>
      <c r="D762" s="306">
        <f t="shared" ca="1" si="327"/>
        <v>-0.65823352288362935</v>
      </c>
      <c r="E762" s="307">
        <f t="shared" ca="1" si="328"/>
        <v>-0.89802495154002493</v>
      </c>
      <c r="F762" s="304">
        <f t="shared" ca="1" si="329"/>
        <v>1.113427224490338</v>
      </c>
      <c r="G762" s="306">
        <f t="shared" ca="1" si="330"/>
        <v>7.2746185219651958</v>
      </c>
      <c r="H762" s="307">
        <f t="shared" ca="1" si="331"/>
        <v>-98.493714203259117</v>
      </c>
      <c r="I762" s="304">
        <f t="shared" ca="1" si="332"/>
        <v>98.761995788832678</v>
      </c>
      <c r="J762" s="306">
        <f t="shared" ca="1" si="333"/>
        <v>678.53524446899166</v>
      </c>
      <c r="K762" s="307">
        <f t="shared" ca="1" si="334"/>
        <v>-6.6329111315414604</v>
      </c>
      <c r="L762" s="304">
        <f t="shared" ca="1" si="319"/>
        <v>678.56766316755261</v>
      </c>
      <c r="M762" s="306">
        <f t="shared" ca="1" si="335"/>
        <v>-1.4970714828956135</v>
      </c>
      <c r="N762" s="304">
        <f t="shared" ca="1" si="336"/>
        <v>-85.775877599310263</v>
      </c>
      <c r="P762" s="310">
        <f t="shared" ca="1" si="337"/>
        <v>23</v>
      </c>
      <c r="Q762" s="304">
        <f t="shared" ca="1" si="338"/>
        <v>0</v>
      </c>
      <c r="R762" s="306">
        <f t="shared" ca="1" si="339"/>
        <v>0</v>
      </c>
      <c r="S762" s="307">
        <f t="shared" ca="1" si="340"/>
        <v>4.341000000000002</v>
      </c>
      <c r="T762" s="304">
        <f t="shared" ca="1" si="320"/>
        <v>42.585210000000025</v>
      </c>
      <c r="U762" s="311">
        <f t="shared" ca="1" si="321"/>
        <v>0</v>
      </c>
      <c r="V762" s="306">
        <f t="shared" ca="1" si="322"/>
        <v>1.2258128011755123</v>
      </c>
      <c r="W762" s="304">
        <f t="shared" ca="1" si="323"/>
        <v>38.792367600249506</v>
      </c>
      <c r="Y762" s="314" t="str">
        <f t="shared" ca="1" si="341"/>
        <v/>
      </c>
      <c r="Z762" s="315" t="str">
        <f t="shared" ca="1" si="342"/>
        <v/>
      </c>
      <c r="AA762" s="316" t="str">
        <f t="shared" ca="1" si="343"/>
        <v/>
      </c>
      <c r="AC762" s="310" t="e">
        <f t="shared" ca="1" si="344"/>
        <v>#N/A</v>
      </c>
      <c r="AD762" s="323" t="e">
        <f t="shared" ca="1" si="345"/>
        <v>#N/A</v>
      </c>
      <c r="AE762" s="324" t="e">
        <f t="shared" ca="1" si="324"/>
        <v>#N/A</v>
      </c>
      <c r="AG762" s="306">
        <f t="shared" ca="1" si="346"/>
        <v>0.84710077256728589</v>
      </c>
      <c r="AH762" s="304">
        <f t="shared" ca="1" si="347"/>
        <v>-8.9362503677449059</v>
      </c>
    </row>
    <row r="763" spans="1:34" x14ac:dyDescent="0.2">
      <c r="A763" s="347">
        <f t="shared" ca="1" si="325"/>
        <v>1E-4</v>
      </c>
      <c r="B763" s="304">
        <f t="shared" ca="1" si="326"/>
        <v>28.638300000000051</v>
      </c>
      <c r="D763" s="306">
        <f t="shared" ca="1" si="327"/>
        <v>-0.6582287798936205</v>
      </c>
      <c r="E763" s="307">
        <f t="shared" ca="1" si="328"/>
        <v>-0.89800040422072236</v>
      </c>
      <c r="F763" s="304">
        <f t="shared" ca="1" si="329"/>
        <v>1.1134046221660951</v>
      </c>
      <c r="G763" s="306">
        <f t="shared" ca="1" si="330"/>
        <v>7.2745526990872067</v>
      </c>
      <c r="H763" s="307">
        <f t="shared" ca="1" si="331"/>
        <v>-98.493804003299545</v>
      </c>
      <c r="I763" s="304">
        <f t="shared" ca="1" si="332"/>
        <v>98.762080496576132</v>
      </c>
      <c r="J763" s="306">
        <f t="shared" ca="1" si="333"/>
        <v>678.53524446899166</v>
      </c>
      <c r="K763" s="307">
        <f t="shared" ca="1" si="334"/>
        <v>-6.6427605074517881</v>
      </c>
      <c r="L763" s="304">
        <f t="shared" ca="1" si="319"/>
        <v>678.56775951540294</v>
      </c>
      <c r="M763" s="306">
        <f t="shared" ca="1" si="335"/>
        <v>-1.4970722145384818</v>
      </c>
      <c r="N763" s="304">
        <f t="shared" ca="1" si="336"/>
        <v>-85.775919519358737</v>
      </c>
      <c r="P763" s="310">
        <f t="shared" ca="1" si="337"/>
        <v>23</v>
      </c>
      <c r="Q763" s="304">
        <f t="shared" ca="1" si="338"/>
        <v>0</v>
      </c>
      <c r="R763" s="306">
        <f t="shared" ca="1" si="339"/>
        <v>0</v>
      </c>
      <c r="S763" s="307">
        <f t="shared" ca="1" si="340"/>
        <v>4.341000000000002</v>
      </c>
      <c r="T763" s="304">
        <f t="shared" ca="1" si="320"/>
        <v>42.585210000000025</v>
      </c>
      <c r="U763" s="311">
        <f t="shared" ca="1" si="321"/>
        <v>0</v>
      </c>
      <c r="V763" s="306">
        <f t="shared" ca="1" si="322"/>
        <v>1.2258140085253475</v>
      </c>
      <c r="W763" s="304">
        <f t="shared" ca="1" si="323"/>
        <v>38.792472352524904</v>
      </c>
      <c r="Y763" s="314" t="str">
        <f t="shared" ca="1" si="341"/>
        <v/>
      </c>
      <c r="Z763" s="315" t="str">
        <f t="shared" ca="1" si="342"/>
        <v/>
      </c>
      <c r="AA763" s="316" t="str">
        <f t="shared" ca="1" si="343"/>
        <v/>
      </c>
      <c r="AC763" s="310" t="e">
        <f t="shared" ca="1" si="344"/>
        <v>#N/A</v>
      </c>
      <c r="AD763" s="323" t="e">
        <f t="shared" ca="1" si="345"/>
        <v>#N/A</v>
      </c>
      <c r="AE763" s="324" t="e">
        <f t="shared" ca="1" si="324"/>
        <v>#N/A</v>
      </c>
      <c r="AG763" s="306">
        <f t="shared" ca="1" si="346"/>
        <v>0.84707716997434446</v>
      </c>
      <c r="AH763" s="304">
        <f t="shared" ca="1" si="347"/>
        <v>-8.9362744990208451</v>
      </c>
    </row>
    <row r="764" spans="1:34" x14ac:dyDescent="0.2">
      <c r="A764" s="347">
        <f t="shared" ca="1" si="325"/>
        <v>1E-4</v>
      </c>
      <c r="B764" s="304">
        <f t="shared" ca="1" si="326"/>
        <v>28.63840000000005</v>
      </c>
      <c r="D764" s="306">
        <f t="shared" ca="1" si="327"/>
        <v>-0.65822403691119291</v>
      </c>
      <c r="E764" s="307">
        <f t="shared" ca="1" si="328"/>
        <v>-0.8979758572748473</v>
      </c>
      <c r="F764" s="304">
        <f t="shared" ca="1" si="329"/>
        <v>1.1133820202500866</v>
      </c>
      <c r="G764" s="306">
        <f t="shared" ca="1" si="330"/>
        <v>7.2744868766835156</v>
      </c>
      <c r="H764" s="307">
        <f t="shared" ca="1" si="331"/>
        <v>-98.493893800885274</v>
      </c>
      <c r="I764" s="304">
        <f t="shared" ca="1" si="332"/>
        <v>98.762165201959334</v>
      </c>
      <c r="J764" s="306">
        <f t="shared" ca="1" si="333"/>
        <v>678.53524446899166</v>
      </c>
      <c r="K764" s="307">
        <f t="shared" ca="1" si="334"/>
        <v>-6.6526098923419976</v>
      </c>
      <c r="L764" s="304">
        <f t="shared" ca="1" si="319"/>
        <v>678.56785600629064</v>
      </c>
      <c r="M764" s="306">
        <f t="shared" ca="1" si="335"/>
        <v>-1.4970729461734751</v>
      </c>
      <c r="N764" s="304">
        <f t="shared" ca="1" si="336"/>
        <v>-85.775961438955989</v>
      </c>
      <c r="P764" s="310">
        <f t="shared" ca="1" si="337"/>
        <v>23</v>
      </c>
      <c r="Q764" s="304">
        <f t="shared" ca="1" si="338"/>
        <v>0</v>
      </c>
      <c r="R764" s="306">
        <f t="shared" ca="1" si="339"/>
        <v>0</v>
      </c>
      <c r="S764" s="307">
        <f t="shared" ca="1" si="340"/>
        <v>4.341000000000002</v>
      </c>
      <c r="T764" s="304">
        <f t="shared" ca="1" si="320"/>
        <v>42.585210000000025</v>
      </c>
      <c r="U764" s="311">
        <f t="shared" ca="1" si="321"/>
        <v>0</v>
      </c>
      <c r="V764" s="306">
        <f t="shared" ca="1" si="322"/>
        <v>1.2258152158774727</v>
      </c>
      <c r="W764" s="304">
        <f t="shared" ca="1" si="323"/>
        <v>38.792577103206753</v>
      </c>
      <c r="Y764" s="314" t="str">
        <f t="shared" ca="1" si="341"/>
        <v/>
      </c>
      <c r="Z764" s="315" t="str">
        <f t="shared" ca="1" si="342"/>
        <v/>
      </c>
      <c r="AA764" s="316" t="str">
        <f t="shared" ca="1" si="343"/>
        <v/>
      </c>
      <c r="AC764" s="310" t="e">
        <f t="shared" ca="1" si="344"/>
        <v>#N/A</v>
      </c>
      <c r="AD764" s="323" t="e">
        <f t="shared" ca="1" si="345"/>
        <v>#N/A</v>
      </c>
      <c r="AE764" s="324" t="e">
        <f t="shared" ca="1" si="324"/>
        <v>#N/A</v>
      </c>
      <c r="AG764" s="306">
        <f t="shared" ca="1" si="346"/>
        <v>0.84705356773754481</v>
      </c>
      <c r="AH764" s="304">
        <f t="shared" ca="1" si="347"/>
        <v>-8.9362986299297127</v>
      </c>
    </row>
    <row r="765" spans="1:34" x14ac:dyDescent="0.2">
      <c r="A765" s="347">
        <f t="shared" ca="1" si="325"/>
        <v>1E-4</v>
      </c>
      <c r="B765" s="304">
        <f t="shared" ca="1" si="326"/>
        <v>28.63850000000005</v>
      </c>
      <c r="D765" s="306">
        <f t="shared" ca="1" si="327"/>
        <v>-0.65821929393634238</v>
      </c>
      <c r="E765" s="307">
        <f t="shared" ca="1" si="328"/>
        <v>-0.89795131070242107</v>
      </c>
      <c r="F765" s="304">
        <f t="shared" ca="1" si="329"/>
        <v>1.1133594187423272</v>
      </c>
      <c r="G765" s="306">
        <f t="shared" ca="1" si="330"/>
        <v>7.2744210547541224</v>
      </c>
      <c r="H765" s="307">
        <f t="shared" ca="1" si="331"/>
        <v>-98.493983596016349</v>
      </c>
      <c r="I765" s="304">
        <f t="shared" ca="1" si="332"/>
        <v>98.762249904982355</v>
      </c>
      <c r="J765" s="306">
        <f t="shared" ca="1" si="333"/>
        <v>678.53524446899166</v>
      </c>
      <c r="K765" s="307">
        <f t="shared" ca="1" si="334"/>
        <v>-6.6624592862118428</v>
      </c>
      <c r="L765" s="304">
        <f t="shared" ca="1" si="319"/>
        <v>678.56795264021616</v>
      </c>
      <c r="M765" s="306">
        <f t="shared" ca="1" si="335"/>
        <v>-1.4970736778005933</v>
      </c>
      <c r="N765" s="304">
        <f t="shared" ca="1" si="336"/>
        <v>-85.776003358102045</v>
      </c>
      <c r="P765" s="310">
        <f t="shared" ca="1" si="337"/>
        <v>23</v>
      </c>
      <c r="Q765" s="304">
        <f t="shared" ca="1" si="338"/>
        <v>0</v>
      </c>
      <c r="R765" s="306">
        <f t="shared" ca="1" si="339"/>
        <v>0</v>
      </c>
      <c r="S765" s="307">
        <f t="shared" ca="1" si="340"/>
        <v>4.341000000000002</v>
      </c>
      <c r="T765" s="304">
        <f t="shared" ca="1" si="320"/>
        <v>42.585210000000025</v>
      </c>
      <c r="U765" s="311">
        <f t="shared" ca="1" si="321"/>
        <v>0</v>
      </c>
      <c r="V765" s="306">
        <f t="shared" ca="1" si="322"/>
        <v>1.2258164232318884</v>
      </c>
      <c r="W765" s="304">
        <f t="shared" ca="1" si="323"/>
        <v>38.792681852295146</v>
      </c>
      <c r="Y765" s="314" t="str">
        <f t="shared" ca="1" si="341"/>
        <v/>
      </c>
      <c r="Z765" s="315" t="str">
        <f t="shared" ca="1" si="342"/>
        <v/>
      </c>
      <c r="AA765" s="316" t="str">
        <f t="shared" ca="1" si="343"/>
        <v/>
      </c>
      <c r="AC765" s="310" t="e">
        <f t="shared" ca="1" si="344"/>
        <v>#N/A</v>
      </c>
      <c r="AD765" s="323" t="e">
        <f t="shared" ca="1" si="345"/>
        <v>#N/A</v>
      </c>
      <c r="AE765" s="324" t="e">
        <f t="shared" ca="1" si="324"/>
        <v>#N/A</v>
      </c>
      <c r="AG765" s="306">
        <f t="shared" ca="1" si="346"/>
        <v>0.84702996585691004</v>
      </c>
      <c r="AH765" s="304">
        <f t="shared" ca="1" si="347"/>
        <v>-8.936322760471489</v>
      </c>
    </row>
    <row r="766" spans="1:34" x14ac:dyDescent="0.2">
      <c r="A766" s="347">
        <f t="shared" ca="1" si="325"/>
        <v>1E-4</v>
      </c>
      <c r="B766" s="304">
        <f t="shared" ca="1" si="326"/>
        <v>28.63860000000005</v>
      </c>
      <c r="D766" s="306">
        <f t="shared" ca="1" si="327"/>
        <v>-0.65821455096907189</v>
      </c>
      <c r="E766" s="307">
        <f t="shared" ca="1" si="328"/>
        <v>-0.89792676450342057</v>
      </c>
      <c r="F766" s="304">
        <f t="shared" ca="1" si="329"/>
        <v>1.1133368176428005</v>
      </c>
      <c r="G766" s="306">
        <f t="shared" ca="1" si="330"/>
        <v>7.2743552332990253</v>
      </c>
      <c r="H766" s="307">
        <f t="shared" ca="1" si="331"/>
        <v>-98.494073388692797</v>
      </c>
      <c r="I766" s="304">
        <f t="shared" ca="1" si="332"/>
        <v>98.762334605645222</v>
      </c>
      <c r="J766" s="306">
        <f t="shared" ca="1" si="333"/>
        <v>678.53524446899166</v>
      </c>
      <c r="K766" s="307">
        <f t="shared" ca="1" si="334"/>
        <v>-6.6723086890610785</v>
      </c>
      <c r="L766" s="304">
        <f t="shared" ca="1" si="319"/>
        <v>678.56804941717996</v>
      </c>
      <c r="M766" s="306">
        <f t="shared" ca="1" si="335"/>
        <v>-1.4970744094198367</v>
      </c>
      <c r="N766" s="304">
        <f t="shared" ca="1" si="336"/>
        <v>-85.776045276796893</v>
      </c>
      <c r="P766" s="310">
        <f t="shared" ca="1" si="337"/>
        <v>23</v>
      </c>
      <c r="Q766" s="304">
        <f t="shared" ca="1" si="338"/>
        <v>0</v>
      </c>
      <c r="R766" s="306">
        <f t="shared" ca="1" si="339"/>
        <v>0</v>
      </c>
      <c r="S766" s="307">
        <f t="shared" ca="1" si="340"/>
        <v>4.341000000000002</v>
      </c>
      <c r="T766" s="304">
        <f t="shared" ca="1" si="320"/>
        <v>42.585210000000025</v>
      </c>
      <c r="U766" s="311">
        <f t="shared" ca="1" si="321"/>
        <v>0</v>
      </c>
      <c r="V766" s="306">
        <f t="shared" ca="1" si="322"/>
        <v>1.2258176305885939</v>
      </c>
      <c r="W766" s="304">
        <f t="shared" ca="1" si="323"/>
        <v>38.79278659979007</v>
      </c>
      <c r="Y766" s="314" t="str">
        <f t="shared" ca="1" si="341"/>
        <v/>
      </c>
      <c r="Z766" s="315" t="str">
        <f t="shared" ca="1" si="342"/>
        <v/>
      </c>
      <c r="AA766" s="316" t="str">
        <f t="shared" ca="1" si="343"/>
        <v/>
      </c>
      <c r="AC766" s="310" t="e">
        <f t="shared" ca="1" si="344"/>
        <v>#N/A</v>
      </c>
      <c r="AD766" s="323" t="e">
        <f t="shared" ca="1" si="345"/>
        <v>#N/A</v>
      </c>
      <c r="AE766" s="324" t="e">
        <f t="shared" ca="1" si="324"/>
        <v>#N/A</v>
      </c>
      <c r="AG766" s="306">
        <f t="shared" ca="1" si="346"/>
        <v>0.8470063643324206</v>
      </c>
      <c r="AH766" s="304">
        <f t="shared" ca="1" si="347"/>
        <v>-8.9363468906461936</v>
      </c>
    </row>
    <row r="767" spans="1:34" x14ac:dyDescent="0.2">
      <c r="A767" s="347">
        <f t="shared" ca="1" si="325"/>
        <v>1E-4</v>
      </c>
      <c r="B767" s="304">
        <f t="shared" ca="1" si="326"/>
        <v>28.63870000000005</v>
      </c>
      <c r="D767" s="306">
        <f t="shared" ca="1" si="327"/>
        <v>-0.65820980800938067</v>
      </c>
      <c r="E767" s="307">
        <f t="shared" ca="1" si="328"/>
        <v>-0.89790221867784936</v>
      </c>
      <c r="F767" s="304">
        <f t="shared" ca="1" si="329"/>
        <v>1.1133142169515082</v>
      </c>
      <c r="G767" s="306">
        <f t="shared" ca="1" si="330"/>
        <v>7.2742894123182245</v>
      </c>
      <c r="H767" s="307">
        <f t="shared" ca="1" si="331"/>
        <v>-98.494163178914661</v>
      </c>
      <c r="I767" s="304">
        <f t="shared" ca="1" si="332"/>
        <v>98.762419303947965</v>
      </c>
      <c r="J767" s="306">
        <f t="shared" ca="1" si="333"/>
        <v>678.53524446899166</v>
      </c>
      <c r="K767" s="307">
        <f t="shared" ca="1" si="334"/>
        <v>-6.6821581008894588</v>
      </c>
      <c r="L767" s="304">
        <f t="shared" ca="1" si="319"/>
        <v>678.56814633718227</v>
      </c>
      <c r="M767" s="306">
        <f t="shared" ca="1" si="335"/>
        <v>-1.4970751410312051</v>
      </c>
      <c r="N767" s="304">
        <f t="shared" ca="1" si="336"/>
        <v>-85.776087195040546</v>
      </c>
      <c r="P767" s="310">
        <f t="shared" ca="1" si="337"/>
        <v>23</v>
      </c>
      <c r="Q767" s="304">
        <f t="shared" ca="1" si="338"/>
        <v>0</v>
      </c>
      <c r="R767" s="306">
        <f t="shared" ca="1" si="339"/>
        <v>0</v>
      </c>
      <c r="S767" s="307">
        <f t="shared" ca="1" si="340"/>
        <v>4.341000000000002</v>
      </c>
      <c r="T767" s="304">
        <f t="shared" ca="1" si="320"/>
        <v>42.585210000000025</v>
      </c>
      <c r="U767" s="311">
        <f t="shared" ca="1" si="321"/>
        <v>0</v>
      </c>
      <c r="V767" s="306">
        <f t="shared" ca="1" si="322"/>
        <v>1.2258188379475901</v>
      </c>
      <c r="W767" s="304">
        <f t="shared" ca="1" si="323"/>
        <v>38.79289134569153</v>
      </c>
      <c r="Y767" s="314" t="str">
        <f t="shared" ca="1" si="341"/>
        <v/>
      </c>
      <c r="Z767" s="315" t="str">
        <f t="shared" ca="1" si="342"/>
        <v/>
      </c>
      <c r="AA767" s="316" t="str">
        <f t="shared" ca="1" si="343"/>
        <v/>
      </c>
      <c r="AC767" s="310" t="e">
        <f t="shared" ca="1" si="344"/>
        <v>#N/A</v>
      </c>
      <c r="AD767" s="323" t="e">
        <f t="shared" ca="1" si="345"/>
        <v>#N/A</v>
      </c>
      <c r="AE767" s="324" t="e">
        <f t="shared" ca="1" si="324"/>
        <v>#N/A</v>
      </c>
      <c r="AG767" s="306">
        <f t="shared" ca="1" si="346"/>
        <v>0.84698276316407828</v>
      </c>
      <c r="AH767" s="304">
        <f t="shared" ca="1" si="347"/>
        <v>-8.9363710204538247</v>
      </c>
    </row>
    <row r="768" spans="1:34" x14ac:dyDescent="0.2">
      <c r="A768" s="347">
        <f t="shared" ca="1" si="325"/>
        <v>1E-4</v>
      </c>
      <c r="B768" s="304">
        <f t="shared" ca="1" si="326"/>
        <v>28.63880000000005</v>
      </c>
      <c r="D768" s="306">
        <f t="shared" ca="1" si="327"/>
        <v>-0.65820506505727205</v>
      </c>
      <c r="E768" s="307">
        <f t="shared" ca="1" si="328"/>
        <v>-0.89787767322571099</v>
      </c>
      <c r="F768" s="304">
        <f t="shared" ca="1" si="329"/>
        <v>1.1132916166684559</v>
      </c>
      <c r="G768" s="306">
        <f t="shared" ca="1" si="330"/>
        <v>7.2742235918117188</v>
      </c>
      <c r="H768" s="307">
        <f t="shared" ca="1" si="331"/>
        <v>-98.494252966681984</v>
      </c>
      <c r="I768" s="304">
        <f t="shared" ca="1" si="332"/>
        <v>98.762503999890626</v>
      </c>
      <c r="J768" s="306">
        <f t="shared" ca="1" si="333"/>
        <v>678.53524446899166</v>
      </c>
      <c r="K768" s="307">
        <f t="shared" ca="1" si="334"/>
        <v>-6.6920075216967385</v>
      </c>
      <c r="L768" s="304">
        <f t="shared" ca="1" si="319"/>
        <v>678.56824340022331</v>
      </c>
      <c r="M768" s="306">
        <f t="shared" ca="1" si="335"/>
        <v>-1.4970758726346989</v>
      </c>
      <c r="N768" s="304">
        <f t="shared" ca="1" si="336"/>
        <v>-85.776129112833019</v>
      </c>
      <c r="P768" s="310">
        <f t="shared" ca="1" si="337"/>
        <v>23</v>
      </c>
      <c r="Q768" s="304">
        <f t="shared" ca="1" si="338"/>
        <v>0</v>
      </c>
      <c r="R768" s="306">
        <f t="shared" ca="1" si="339"/>
        <v>0</v>
      </c>
      <c r="S768" s="307">
        <f t="shared" ca="1" si="340"/>
        <v>4.341000000000002</v>
      </c>
      <c r="T768" s="304">
        <f t="shared" ca="1" si="320"/>
        <v>42.585210000000025</v>
      </c>
      <c r="U768" s="311">
        <f t="shared" ca="1" si="321"/>
        <v>0</v>
      </c>
      <c r="V768" s="306">
        <f t="shared" ca="1" si="322"/>
        <v>1.225820045308877</v>
      </c>
      <c r="W768" s="304">
        <f t="shared" ca="1" si="323"/>
        <v>38.792996089999598</v>
      </c>
      <c r="Y768" s="314" t="str">
        <f t="shared" ca="1" si="341"/>
        <v/>
      </c>
      <c r="Z768" s="315" t="str">
        <f t="shared" ca="1" si="342"/>
        <v/>
      </c>
      <c r="AA768" s="316" t="str">
        <f t="shared" ca="1" si="343"/>
        <v/>
      </c>
      <c r="AC768" s="310" t="e">
        <f t="shared" ca="1" si="344"/>
        <v>#N/A</v>
      </c>
      <c r="AD768" s="323" t="e">
        <f t="shared" ca="1" si="345"/>
        <v>#N/A</v>
      </c>
      <c r="AE768" s="324" t="e">
        <f t="shared" ca="1" si="324"/>
        <v>#N/A</v>
      </c>
      <c r="AG768" s="306">
        <f t="shared" ca="1" si="346"/>
        <v>0.84695916235187951</v>
      </c>
      <c r="AH768" s="304">
        <f t="shared" ca="1" si="347"/>
        <v>-8.9363951498943823</v>
      </c>
    </row>
    <row r="769" spans="1:34" x14ac:dyDescent="0.2">
      <c r="A769" s="347">
        <f t="shared" ca="1" si="325"/>
        <v>1E-4</v>
      </c>
      <c r="B769" s="304">
        <f t="shared" ca="1" si="326"/>
        <v>28.638900000000049</v>
      </c>
      <c r="D769" s="306">
        <f t="shared" ca="1" si="327"/>
        <v>-0.6582003221127446</v>
      </c>
      <c r="E769" s="307">
        <f t="shared" ca="1" si="328"/>
        <v>-0.89785312814698237</v>
      </c>
      <c r="F769" s="304">
        <f t="shared" ca="1" si="329"/>
        <v>1.1132690167936239</v>
      </c>
      <c r="G769" s="306">
        <f t="shared" ca="1" si="330"/>
        <v>7.2741577717795076</v>
      </c>
      <c r="H769" s="307">
        <f t="shared" ca="1" si="331"/>
        <v>-98.494342751994793</v>
      </c>
      <c r="I769" s="304">
        <f t="shared" ca="1" si="332"/>
        <v>98.762588693473248</v>
      </c>
      <c r="J769" s="306">
        <f t="shared" ca="1" si="333"/>
        <v>678.53524446899166</v>
      </c>
      <c r="K769" s="307">
        <f t="shared" ca="1" si="334"/>
        <v>-6.7018569514826725</v>
      </c>
      <c r="L769" s="304">
        <f t="shared" ca="1" si="319"/>
        <v>678.56834060630354</v>
      </c>
      <c r="M769" s="306">
        <f t="shared" ca="1" si="335"/>
        <v>-1.4970766042303181</v>
      </c>
      <c r="N769" s="304">
        <f t="shared" ca="1" si="336"/>
        <v>-85.776171030174311</v>
      </c>
      <c r="P769" s="310">
        <f t="shared" ca="1" si="337"/>
        <v>23</v>
      </c>
      <c r="Q769" s="304">
        <f t="shared" ca="1" si="338"/>
        <v>0</v>
      </c>
      <c r="R769" s="306">
        <f t="shared" ca="1" si="339"/>
        <v>0</v>
      </c>
      <c r="S769" s="307">
        <f t="shared" ca="1" si="340"/>
        <v>4.341000000000002</v>
      </c>
      <c r="T769" s="304">
        <f t="shared" ca="1" si="320"/>
        <v>42.585210000000025</v>
      </c>
      <c r="U769" s="311">
        <f t="shared" ca="1" si="321"/>
        <v>0</v>
      </c>
      <c r="V769" s="306">
        <f t="shared" ca="1" si="322"/>
        <v>1.2258212526724535</v>
      </c>
      <c r="W769" s="304">
        <f t="shared" ca="1" si="323"/>
        <v>38.793100832714238</v>
      </c>
      <c r="Y769" s="314" t="str">
        <f t="shared" ca="1" si="341"/>
        <v/>
      </c>
      <c r="Z769" s="315" t="str">
        <f t="shared" ca="1" si="342"/>
        <v/>
      </c>
      <c r="AA769" s="316" t="str">
        <f t="shared" ca="1" si="343"/>
        <v/>
      </c>
      <c r="AC769" s="310" t="e">
        <f t="shared" ca="1" si="344"/>
        <v>#N/A</v>
      </c>
      <c r="AD769" s="323" t="e">
        <f t="shared" ca="1" si="345"/>
        <v>#N/A</v>
      </c>
      <c r="AE769" s="324" t="e">
        <f t="shared" ca="1" si="324"/>
        <v>#N/A</v>
      </c>
      <c r="AG769" s="306">
        <f t="shared" ca="1" si="346"/>
        <v>0.84693556189581543</v>
      </c>
      <c r="AH769" s="304">
        <f t="shared" ca="1" si="347"/>
        <v>-8.9364192789678825</v>
      </c>
    </row>
    <row r="770" spans="1:34" x14ac:dyDescent="0.2">
      <c r="A770" s="347">
        <f t="shared" ca="1" si="325"/>
        <v>1E-4</v>
      </c>
      <c r="B770" s="304">
        <f t="shared" ca="1" si="326"/>
        <v>28.639000000000049</v>
      </c>
      <c r="D770" s="306">
        <f t="shared" ca="1" si="327"/>
        <v>-0.65819557917579929</v>
      </c>
      <c r="E770" s="307">
        <f t="shared" ca="1" si="328"/>
        <v>-0.89782858344167416</v>
      </c>
      <c r="F770" s="304">
        <f t="shared" ca="1" si="329"/>
        <v>1.1132464173270216</v>
      </c>
      <c r="G770" s="306">
        <f t="shared" ca="1" si="330"/>
        <v>7.2740919522215899</v>
      </c>
      <c r="H770" s="307">
        <f t="shared" ca="1" si="331"/>
        <v>-98.494432534853132</v>
      </c>
      <c r="I770" s="304">
        <f t="shared" ca="1" si="332"/>
        <v>98.762673384695844</v>
      </c>
      <c r="J770" s="306">
        <f t="shared" ca="1" si="333"/>
        <v>678.53524446899166</v>
      </c>
      <c r="K770" s="307">
        <f t="shared" ca="1" si="334"/>
        <v>-6.7117063902470147</v>
      </c>
      <c r="L770" s="304">
        <f t="shared" ca="1" si="319"/>
        <v>678.56843795542329</v>
      </c>
      <c r="M770" s="306">
        <f t="shared" ca="1" si="335"/>
        <v>-1.4970773358180627</v>
      </c>
      <c r="N770" s="304">
        <f t="shared" ca="1" si="336"/>
        <v>-85.776212947064423</v>
      </c>
      <c r="P770" s="310">
        <f t="shared" ca="1" si="337"/>
        <v>23</v>
      </c>
      <c r="Q770" s="304">
        <f t="shared" ca="1" si="338"/>
        <v>0</v>
      </c>
      <c r="R770" s="306">
        <f t="shared" ca="1" si="339"/>
        <v>0</v>
      </c>
      <c r="S770" s="307">
        <f t="shared" ca="1" si="340"/>
        <v>4.341000000000002</v>
      </c>
      <c r="T770" s="304">
        <f t="shared" ca="1" si="320"/>
        <v>42.585210000000025</v>
      </c>
      <c r="U770" s="311">
        <f t="shared" ca="1" si="321"/>
        <v>0</v>
      </c>
      <c r="V770" s="306">
        <f t="shared" ca="1" si="322"/>
        <v>1.2258224600383203</v>
      </c>
      <c r="W770" s="304">
        <f t="shared" ca="1" si="323"/>
        <v>38.793205573835486</v>
      </c>
      <c r="Y770" s="314" t="str">
        <f t="shared" ca="1" si="341"/>
        <v/>
      </c>
      <c r="Z770" s="315" t="str">
        <f t="shared" ca="1" si="342"/>
        <v/>
      </c>
      <c r="AA770" s="316" t="str">
        <f t="shared" ca="1" si="343"/>
        <v/>
      </c>
      <c r="AC770" s="310" t="e">
        <f t="shared" ca="1" si="344"/>
        <v>#N/A</v>
      </c>
      <c r="AD770" s="323" t="e">
        <f t="shared" ca="1" si="345"/>
        <v>#N/A</v>
      </c>
      <c r="AE770" s="324" t="e">
        <f t="shared" ca="1" si="324"/>
        <v>#N/A</v>
      </c>
      <c r="AG770" s="306">
        <f t="shared" ca="1" si="346"/>
        <v>0.84691196179588779</v>
      </c>
      <c r="AH770" s="304">
        <f t="shared" ca="1" si="347"/>
        <v>-8.9364434076743198</v>
      </c>
    </row>
    <row r="771" spans="1:34" x14ac:dyDescent="0.2">
      <c r="A771" s="347">
        <f t="shared" ca="1" si="325"/>
        <v>1E-4</v>
      </c>
      <c r="B771" s="304">
        <f t="shared" ca="1" si="326"/>
        <v>28.639100000000049</v>
      </c>
      <c r="D771" s="306">
        <f t="shared" ca="1" si="327"/>
        <v>-0.65819083624643793</v>
      </c>
      <c r="E771" s="307">
        <f t="shared" ca="1" si="328"/>
        <v>-0.89780403910977924</v>
      </c>
      <c r="F771" s="304">
        <f t="shared" ca="1" si="329"/>
        <v>1.1132238182686442</v>
      </c>
      <c r="G771" s="306">
        <f t="shared" ca="1" si="330"/>
        <v>7.2740261331379656</v>
      </c>
      <c r="H771" s="307">
        <f t="shared" ca="1" si="331"/>
        <v>-98.494522315257043</v>
      </c>
      <c r="I771" s="304">
        <f t="shared" ca="1" si="332"/>
        <v>98.762758073558487</v>
      </c>
      <c r="J771" s="306">
        <f t="shared" ca="1" si="333"/>
        <v>678.53524446899166</v>
      </c>
      <c r="K771" s="307">
        <f t="shared" ca="1" si="334"/>
        <v>-6.7215558379895199</v>
      </c>
      <c r="L771" s="304">
        <f t="shared" ca="1" si="319"/>
        <v>678.56853544758292</v>
      </c>
      <c r="M771" s="306">
        <f t="shared" ca="1" si="335"/>
        <v>-1.4970780673979329</v>
      </c>
      <c r="N771" s="304">
        <f t="shared" ca="1" si="336"/>
        <v>-85.776254863503368</v>
      </c>
      <c r="P771" s="310">
        <f t="shared" ca="1" si="337"/>
        <v>23</v>
      </c>
      <c r="Q771" s="304">
        <f t="shared" ca="1" si="338"/>
        <v>0</v>
      </c>
      <c r="R771" s="306">
        <f t="shared" ca="1" si="339"/>
        <v>0</v>
      </c>
      <c r="S771" s="307">
        <f t="shared" ca="1" si="340"/>
        <v>4.341000000000002</v>
      </c>
      <c r="T771" s="304">
        <f t="shared" ca="1" si="320"/>
        <v>42.585210000000025</v>
      </c>
      <c r="U771" s="311">
        <f t="shared" ca="1" si="321"/>
        <v>0</v>
      </c>
      <c r="V771" s="306">
        <f t="shared" ca="1" si="322"/>
        <v>1.2258236674064771</v>
      </c>
      <c r="W771" s="304">
        <f t="shared" ca="1" si="323"/>
        <v>38.793310313363385</v>
      </c>
      <c r="Y771" s="314" t="str">
        <f t="shared" ca="1" si="341"/>
        <v/>
      </c>
      <c r="Z771" s="315" t="str">
        <f t="shared" ca="1" si="342"/>
        <v/>
      </c>
      <c r="AA771" s="316" t="str">
        <f t="shared" ca="1" si="343"/>
        <v/>
      </c>
      <c r="AC771" s="310" t="e">
        <f t="shared" ca="1" si="344"/>
        <v>#N/A</v>
      </c>
      <c r="AD771" s="323" t="e">
        <f t="shared" ca="1" si="345"/>
        <v>#N/A</v>
      </c>
      <c r="AE771" s="324" t="e">
        <f t="shared" ca="1" si="324"/>
        <v>#N/A</v>
      </c>
      <c r="AG771" s="306">
        <f t="shared" ca="1" si="346"/>
        <v>0.84688836205209128</v>
      </c>
      <c r="AH771" s="304">
        <f t="shared" ca="1" si="347"/>
        <v>-8.9364675360136996</v>
      </c>
    </row>
    <row r="772" spans="1:34" x14ac:dyDescent="0.2">
      <c r="A772" s="347">
        <f t="shared" ca="1" si="325"/>
        <v>1E-4</v>
      </c>
      <c r="B772" s="304">
        <f t="shared" ca="1" si="326"/>
        <v>28.639200000000049</v>
      </c>
      <c r="D772" s="306">
        <f t="shared" ca="1" si="327"/>
        <v>-0.65818609332466083</v>
      </c>
      <c r="E772" s="307">
        <f t="shared" ca="1" si="328"/>
        <v>-0.89777949515128519</v>
      </c>
      <c r="F772" s="304">
        <f t="shared" ca="1" si="329"/>
        <v>1.113201219618482</v>
      </c>
      <c r="G772" s="306">
        <f t="shared" ca="1" si="330"/>
        <v>7.2739603145286331</v>
      </c>
      <c r="H772" s="307">
        <f t="shared" ca="1" si="331"/>
        <v>-98.494612093206555</v>
      </c>
      <c r="I772" s="304">
        <f t="shared" ca="1" si="332"/>
        <v>98.76284276006119</v>
      </c>
      <c r="J772" s="306">
        <f t="shared" ca="1" si="333"/>
        <v>678.53524446899166</v>
      </c>
      <c r="K772" s="307">
        <f t="shared" ca="1" si="334"/>
        <v>-6.7314052947099432</v>
      </c>
      <c r="L772" s="304">
        <f t="shared" ref="L772:L835" ca="1" si="348">SQRT(pos_x^2+pos_z^2)</f>
        <v>678.56863308278253</v>
      </c>
      <c r="M772" s="306">
        <f t="shared" ca="1" si="335"/>
        <v>-1.497078798969929</v>
      </c>
      <c r="N772" s="304">
        <f t="shared" ca="1" si="336"/>
        <v>-85.776296779491148</v>
      </c>
      <c r="P772" s="310">
        <f t="shared" ca="1" si="337"/>
        <v>23</v>
      </c>
      <c r="Q772" s="304">
        <f t="shared" ca="1" si="338"/>
        <v>0</v>
      </c>
      <c r="R772" s="306">
        <f t="shared" ca="1" si="339"/>
        <v>0</v>
      </c>
      <c r="S772" s="307">
        <f t="shared" ca="1" si="340"/>
        <v>4.341000000000002</v>
      </c>
      <c r="T772" s="304">
        <f t="shared" ref="T772:T835" ca="1" si="349">m*g</f>
        <v>42.585210000000025</v>
      </c>
      <c r="U772" s="311">
        <f t="shared" ref="U772:U835" ca="1" si="350">IF(pos_xz&lt;L_rampe,Poids*COS(Beta),0)</f>
        <v>0</v>
      </c>
      <c r="V772" s="306">
        <f t="shared" ref="V772:V835" ca="1" si="351">Rho_moyen*(20000-Alt_rampe-pos_z)/(20000+Alt_rampe+pos_z)</f>
        <v>1.2258248747769243</v>
      </c>
      <c r="W772" s="304">
        <f t="shared" ref="W772:W835" ca="1" si="352">1/2*Rho*Sref*Cx*vit_xz^2</f>
        <v>38.793415051297913</v>
      </c>
      <c r="Y772" s="314" t="str">
        <f t="shared" ca="1" si="341"/>
        <v/>
      </c>
      <c r="Z772" s="315" t="str">
        <f t="shared" ca="1" si="342"/>
        <v/>
      </c>
      <c r="AA772" s="316" t="str">
        <f t="shared" ca="1" si="343"/>
        <v/>
      </c>
      <c r="AC772" s="310" t="e">
        <f t="shared" ca="1" si="344"/>
        <v>#N/A</v>
      </c>
      <c r="AD772" s="323" t="e">
        <f t="shared" ca="1" si="345"/>
        <v>#N/A</v>
      </c>
      <c r="AE772" s="324" t="e">
        <f t="shared" ref="AE772:AE835" ca="1" si="353">IF(t&lt;T_para, pos_z, NA())</f>
        <v>#N/A</v>
      </c>
      <c r="AG772" s="306">
        <f t="shared" ca="1" si="346"/>
        <v>0.84686476266441524</v>
      </c>
      <c r="AH772" s="304">
        <f t="shared" ca="1" si="347"/>
        <v>-8.9364916639860326</v>
      </c>
    </row>
    <row r="773" spans="1:34" x14ac:dyDescent="0.2">
      <c r="A773" s="347">
        <f t="shared" ref="A773:A836" ca="1" si="354">IF(B772+0.01&lt;=T_ini+ROUNDUP(Temps_fin_propu,0), 0.01, IF(K772&gt;0, 0.1, 0.0001))</f>
        <v>1E-4</v>
      </c>
      <c r="B773" s="304">
        <f t="shared" ref="B773:B836" ca="1" si="355">B772+pas</f>
        <v>28.639300000000048</v>
      </c>
      <c r="D773" s="306">
        <f t="shared" ref="D773:D836" ca="1" si="356">IF(AND(L772&lt;L_rampe,Poussee&lt;Poids*SIN(M772)),0,(-W772+Poussee)/m*COS(M772)-U772/m*SIN(M772))</f>
        <v>-0.6581813504104671</v>
      </c>
      <c r="E773" s="307">
        <f t="shared" ref="E773:E836" ca="1" si="357">IF(AND(L772&lt;L_rampe,Poussee&lt;Poids*SIN(M772)),0,(-W772+Poussee)/m*SIN(M772)+U772/m*COS(M772)-Poids/m)</f>
        <v>-0.89775495156619911</v>
      </c>
      <c r="F773" s="304">
        <f t="shared" ref="F773:F836" ca="1" si="358">SQRT(acc_x^2+acc_z^2)</f>
        <v>1.1131786213765402</v>
      </c>
      <c r="G773" s="306">
        <f t="shared" ref="G773:G836" ca="1" si="359">G772+acc_x*pas</f>
        <v>7.2738944963935923</v>
      </c>
      <c r="H773" s="307">
        <f t="shared" ref="H773:H836" ca="1" si="360">H772+acc_z*pas</f>
        <v>-98.494701868701711</v>
      </c>
      <c r="I773" s="304">
        <f t="shared" ref="I773:I836" ca="1" si="361">SQRT(vit_x^2+vit_z^2)</f>
        <v>98.762927444203967</v>
      </c>
      <c r="J773" s="306">
        <f t="shared" ref="J773:J836" ca="1" si="362">J772+0.5*(vit_x+G772)*pas*(K772&gt;=0)</f>
        <v>678.53524446899166</v>
      </c>
      <c r="K773" s="307">
        <f t="shared" ref="K773:K836" ca="1" si="363">K772+0.5*(vit_z+H772)*pas</f>
        <v>-6.7412547604080384</v>
      </c>
      <c r="L773" s="304">
        <f t="shared" ca="1" si="348"/>
        <v>678.56873086102269</v>
      </c>
      <c r="M773" s="306">
        <f t="shared" ref="M773:M836" ca="1" si="364">IF(AND(L772&gt;L_rampe,G773&gt;0),ATAN2(G773,H773),$M$4)</f>
        <v>-1.497079530534051</v>
      </c>
      <c r="N773" s="304">
        <f t="shared" ref="N773:N836" ca="1" si="365">DEGREES(Beta)</f>
        <v>-85.776338695027775</v>
      </c>
      <c r="P773" s="310">
        <f t="shared" ref="P773:P836" ca="1" si="366">MATCH(t-pas/2-T_ini,CdP_t)</f>
        <v>23</v>
      </c>
      <c r="Q773" s="304">
        <f t="shared" ref="Q773:Q836" ca="1" si="367">(INDEX(CdP,2,i_P+1)-INDEX(CdP,2,i_P+0))/(INDEX(CdP,1,i_P+1)-INDEX(CdP,1,i_P+0))*(t-pas/2-T_ini-INDEX(CdP,1,i_P+0))+INDEX(CdP,2,i_P+0)</f>
        <v>0</v>
      </c>
      <c r="R773" s="306">
        <f t="shared" ref="R773:R836" ca="1" si="368">Poussee/(g*ISP)</f>
        <v>0</v>
      </c>
      <c r="S773" s="307">
        <f t="shared" ref="S773:S836" ca="1" si="369">S772-Débit*pas</f>
        <v>4.341000000000002</v>
      </c>
      <c r="T773" s="304">
        <f t="shared" ca="1" si="349"/>
        <v>42.585210000000025</v>
      </c>
      <c r="U773" s="311">
        <f t="shared" ca="1" si="350"/>
        <v>0</v>
      </c>
      <c r="V773" s="306">
        <f t="shared" ca="1" si="351"/>
        <v>1.2258260821496612</v>
      </c>
      <c r="W773" s="304">
        <f t="shared" ca="1" si="352"/>
        <v>38.793519787639077</v>
      </c>
      <c r="Y773" s="314" t="str">
        <f t="shared" ref="Y773:Y836" ca="1" si="370">IF(AND(pos_z&lt;=0,K772&gt;0),"Impact balistique","") &amp; IF(AND(H774&lt;0,vit_z&gt;=0),"Apogée","") &amp; IF(AND(Poussee=0,Q772&gt;0),"Fin de propulsion","") &amp; IF(AND(L774&gt;L_rampe,pos_xz&lt;=L_rampe),"Sortie de rampe","")</f>
        <v/>
      </c>
      <c r="Z773" s="315" t="str">
        <f t="shared" ref="Z773:Z836" ca="1" si="371">IF(ABS(t-T_para)&lt;pas/2,"Para","")</f>
        <v/>
      </c>
      <c r="AA773" s="316" t="str">
        <f t="shared" ref="AA773:AA836" ca="1" si="372">IF(ABS(t-T_satellite)&lt;pas/2,"Satellite","")</f>
        <v/>
      </c>
      <c r="AC773" s="310" t="e">
        <f t="shared" ref="AC773:AC836" ca="1" si="373">IF(ABS(t-ROUND(t,0))&lt;0.001,t,NA())</f>
        <v>#N/A</v>
      </c>
      <c r="AD773" s="323" t="e">
        <f t="shared" ref="AD773:AD836" ca="1" si="374">IF(ABS(t-ROUND(t,0))&lt;0.001,pos_x,NA())</f>
        <v>#N/A</v>
      </c>
      <c r="AE773" s="324" t="e">
        <f t="shared" ca="1" si="353"/>
        <v>#N/A</v>
      </c>
      <c r="AG773" s="306">
        <f t="shared" ref="AG773:AG836" ca="1" si="375">IF(AND(L772&lt;L_rampe,Poussee&lt;Poids*SIN(M772)),0,(-W772+Poussee)/m-Poids*SIN(M772)/m)</f>
        <v>0.84684116363286321</v>
      </c>
      <c r="AH773" s="304">
        <f t="shared" ref="AH773:AH836" ca="1" si="376">IF(AND(L772&lt;L_rampe,Poussee&lt;Poids*SIN(M772)), g*SIN(M772), (-W772+Poussee)/m)</f>
        <v>-8.9365157915913151</v>
      </c>
    </row>
    <row r="774" spans="1:34" x14ac:dyDescent="0.2">
      <c r="A774" s="347">
        <f t="shared" ca="1" si="354"/>
        <v>1E-4</v>
      </c>
      <c r="B774" s="304">
        <f t="shared" ca="1" si="355"/>
        <v>28.639400000000048</v>
      </c>
      <c r="D774" s="306">
        <f t="shared" ca="1" si="356"/>
        <v>-0.65817660750385776</v>
      </c>
      <c r="E774" s="307">
        <f t="shared" ca="1" si="357"/>
        <v>-0.89773040835451923</v>
      </c>
      <c r="F774" s="304">
        <f t="shared" ca="1" si="358"/>
        <v>1.1131560235428182</v>
      </c>
      <c r="G774" s="306">
        <f t="shared" ca="1" si="359"/>
        <v>7.2738286787328423</v>
      </c>
      <c r="H774" s="307">
        <f t="shared" ca="1" si="360"/>
        <v>-98.494791641742552</v>
      </c>
      <c r="I774" s="304">
        <f t="shared" ca="1" si="361"/>
        <v>98.76301212598689</v>
      </c>
      <c r="J774" s="306">
        <f t="shared" ca="1" si="362"/>
        <v>678.53524446899166</v>
      </c>
      <c r="K774" s="307">
        <f t="shared" ca="1" si="363"/>
        <v>-6.7511042350835604</v>
      </c>
      <c r="L774" s="304">
        <f t="shared" ca="1" si="348"/>
        <v>678.56882878230363</v>
      </c>
      <c r="M774" s="306">
        <f t="shared" ca="1" si="364"/>
        <v>-1.4970802620902988</v>
      </c>
      <c r="N774" s="304">
        <f t="shared" ca="1" si="365"/>
        <v>-85.77638061011325</v>
      </c>
      <c r="P774" s="310">
        <f t="shared" ca="1" si="366"/>
        <v>23</v>
      </c>
      <c r="Q774" s="304">
        <f t="shared" ca="1" si="367"/>
        <v>0</v>
      </c>
      <c r="R774" s="306">
        <f t="shared" ca="1" si="368"/>
        <v>0</v>
      </c>
      <c r="S774" s="307">
        <f t="shared" ca="1" si="369"/>
        <v>4.341000000000002</v>
      </c>
      <c r="T774" s="304">
        <f t="shared" ca="1" si="349"/>
        <v>42.585210000000025</v>
      </c>
      <c r="U774" s="311">
        <f t="shared" ca="1" si="350"/>
        <v>0</v>
      </c>
      <c r="V774" s="306">
        <f t="shared" ca="1" si="351"/>
        <v>1.2258272895246887</v>
      </c>
      <c r="W774" s="304">
        <f t="shared" ca="1" si="352"/>
        <v>38.793624522386949</v>
      </c>
      <c r="Y774" s="314" t="str">
        <f t="shared" ca="1" si="370"/>
        <v/>
      </c>
      <c r="Z774" s="315" t="str">
        <f t="shared" ca="1" si="371"/>
        <v/>
      </c>
      <c r="AA774" s="316" t="str">
        <f t="shared" ca="1" si="372"/>
        <v/>
      </c>
      <c r="AC774" s="310" t="e">
        <f t="shared" ca="1" si="373"/>
        <v>#N/A</v>
      </c>
      <c r="AD774" s="323" t="e">
        <f t="shared" ca="1" si="374"/>
        <v>#N/A</v>
      </c>
      <c r="AE774" s="324" t="e">
        <f t="shared" ca="1" si="353"/>
        <v>#N/A</v>
      </c>
      <c r="AG774" s="306">
        <f t="shared" ca="1" si="375"/>
        <v>0.84681756495744054</v>
      </c>
      <c r="AH774" s="304">
        <f t="shared" ca="1" si="376"/>
        <v>-8.9365399188295456</v>
      </c>
    </row>
    <row r="775" spans="1:34" x14ac:dyDescent="0.2">
      <c r="A775" s="347">
        <f t="shared" ca="1" si="354"/>
        <v>1E-4</v>
      </c>
      <c r="B775" s="304">
        <f t="shared" ca="1" si="355"/>
        <v>28.639500000000048</v>
      </c>
      <c r="D775" s="306">
        <f t="shared" ca="1" si="356"/>
        <v>-0.65817186460483601</v>
      </c>
      <c r="E775" s="307">
        <f t="shared" ca="1" si="357"/>
        <v>-0.89770586551622777</v>
      </c>
      <c r="F775" s="304">
        <f t="shared" ca="1" si="358"/>
        <v>1.1131334261173034</v>
      </c>
      <c r="G775" s="306">
        <f t="shared" ca="1" si="359"/>
        <v>7.2737628615463814</v>
      </c>
      <c r="H775" s="307">
        <f t="shared" ca="1" si="360"/>
        <v>-98.494881412329107</v>
      </c>
      <c r="I775" s="304">
        <f t="shared" ca="1" si="361"/>
        <v>98.763096805409987</v>
      </c>
      <c r="J775" s="306">
        <f t="shared" ca="1" si="362"/>
        <v>678.53524446899166</v>
      </c>
      <c r="K775" s="307">
        <f t="shared" ca="1" si="363"/>
        <v>-6.7609537187362641</v>
      </c>
      <c r="L775" s="304">
        <f t="shared" ca="1" si="348"/>
        <v>678.56892684662569</v>
      </c>
      <c r="M775" s="306">
        <f t="shared" ca="1" si="364"/>
        <v>-1.4970809936386726</v>
      </c>
      <c r="N775" s="304">
        <f t="shared" ca="1" si="365"/>
        <v>-85.776422524747588</v>
      </c>
      <c r="P775" s="310">
        <f t="shared" ca="1" si="366"/>
        <v>23</v>
      </c>
      <c r="Q775" s="304">
        <f t="shared" ca="1" si="367"/>
        <v>0</v>
      </c>
      <c r="R775" s="306">
        <f t="shared" ca="1" si="368"/>
        <v>0</v>
      </c>
      <c r="S775" s="307">
        <f t="shared" ca="1" si="369"/>
        <v>4.341000000000002</v>
      </c>
      <c r="T775" s="304">
        <f t="shared" ca="1" si="349"/>
        <v>42.585210000000025</v>
      </c>
      <c r="U775" s="311">
        <f t="shared" ca="1" si="350"/>
        <v>0</v>
      </c>
      <c r="V775" s="306">
        <f t="shared" ca="1" si="351"/>
        <v>1.2258284969020055</v>
      </c>
      <c r="W775" s="304">
        <f t="shared" ca="1" si="352"/>
        <v>38.7937292555415</v>
      </c>
      <c r="Y775" s="314" t="str">
        <f t="shared" ca="1" si="370"/>
        <v/>
      </c>
      <c r="Z775" s="315" t="str">
        <f t="shared" ca="1" si="371"/>
        <v/>
      </c>
      <c r="AA775" s="316" t="str">
        <f t="shared" ca="1" si="372"/>
        <v/>
      </c>
      <c r="AC775" s="310" t="e">
        <f t="shared" ca="1" si="373"/>
        <v>#N/A</v>
      </c>
      <c r="AD775" s="323" t="e">
        <f t="shared" ca="1" si="374"/>
        <v>#N/A</v>
      </c>
      <c r="AE775" s="324" t="e">
        <f t="shared" ca="1" si="353"/>
        <v>#N/A</v>
      </c>
      <c r="AG775" s="306">
        <f t="shared" ca="1" si="375"/>
        <v>0.84679396663812057</v>
      </c>
      <c r="AH775" s="304">
        <f t="shared" ca="1" si="376"/>
        <v>-8.9365640457007451</v>
      </c>
    </row>
    <row r="776" spans="1:34" x14ac:dyDescent="0.2">
      <c r="A776" s="347">
        <f t="shared" ca="1" si="354"/>
        <v>1E-4</v>
      </c>
      <c r="B776" s="304">
        <f t="shared" ca="1" si="355"/>
        <v>28.639600000000048</v>
      </c>
      <c r="D776" s="306">
        <f t="shared" ca="1" si="356"/>
        <v>-0.65816712171340042</v>
      </c>
      <c r="E776" s="307">
        <f t="shared" ca="1" si="357"/>
        <v>-0.89768132305133186</v>
      </c>
      <c r="F776" s="304">
        <f t="shared" ca="1" si="358"/>
        <v>1.1131108291000009</v>
      </c>
      <c r="G776" s="306">
        <f t="shared" ca="1" si="359"/>
        <v>7.2736970448342104</v>
      </c>
      <c r="H776" s="307">
        <f t="shared" ca="1" si="360"/>
        <v>-98.494971180461405</v>
      </c>
      <c r="I776" s="304">
        <f t="shared" ca="1" si="361"/>
        <v>98.763181482473286</v>
      </c>
      <c r="J776" s="306">
        <f t="shared" ca="1" si="362"/>
        <v>678.53524446899166</v>
      </c>
      <c r="K776" s="307">
        <f t="shared" ca="1" si="363"/>
        <v>-6.7708032113659034</v>
      </c>
      <c r="L776" s="304">
        <f t="shared" ca="1" si="348"/>
        <v>678.56902505398909</v>
      </c>
      <c r="M776" s="306">
        <f t="shared" ca="1" si="364"/>
        <v>-1.4970817251791726</v>
      </c>
      <c r="N776" s="304">
        <f t="shared" ca="1" si="365"/>
        <v>-85.776464438930773</v>
      </c>
      <c r="P776" s="310">
        <f t="shared" ca="1" si="366"/>
        <v>23</v>
      </c>
      <c r="Q776" s="304">
        <f t="shared" ca="1" si="367"/>
        <v>0</v>
      </c>
      <c r="R776" s="306">
        <f t="shared" ca="1" si="368"/>
        <v>0</v>
      </c>
      <c r="S776" s="307">
        <f t="shared" ca="1" si="369"/>
        <v>4.341000000000002</v>
      </c>
      <c r="T776" s="304">
        <f t="shared" ca="1" si="349"/>
        <v>42.585210000000025</v>
      </c>
      <c r="U776" s="311">
        <f t="shared" ca="1" si="350"/>
        <v>0</v>
      </c>
      <c r="V776" s="306">
        <f t="shared" ca="1" si="351"/>
        <v>1.2258297042816131</v>
      </c>
      <c r="W776" s="304">
        <f t="shared" ca="1" si="352"/>
        <v>38.793833987102794</v>
      </c>
      <c r="Y776" s="314" t="str">
        <f t="shared" ca="1" si="370"/>
        <v/>
      </c>
      <c r="Z776" s="315" t="str">
        <f t="shared" ca="1" si="371"/>
        <v/>
      </c>
      <c r="AA776" s="316" t="str">
        <f t="shared" ca="1" si="372"/>
        <v/>
      </c>
      <c r="AC776" s="310" t="e">
        <f t="shared" ca="1" si="373"/>
        <v>#N/A</v>
      </c>
      <c r="AD776" s="323" t="e">
        <f t="shared" ca="1" si="374"/>
        <v>#N/A</v>
      </c>
      <c r="AE776" s="324" t="e">
        <f t="shared" ca="1" si="353"/>
        <v>#N/A</v>
      </c>
      <c r="AG776" s="306">
        <f t="shared" ca="1" si="375"/>
        <v>0.84677036867491928</v>
      </c>
      <c r="AH776" s="304">
        <f t="shared" ca="1" si="376"/>
        <v>-8.9365881722049032</v>
      </c>
    </row>
    <row r="777" spans="1:34" x14ac:dyDescent="0.2">
      <c r="A777" s="347">
        <f t="shared" ca="1" si="354"/>
        <v>1E-4</v>
      </c>
      <c r="B777" s="304">
        <f t="shared" ca="1" si="355"/>
        <v>28.639700000000047</v>
      </c>
      <c r="D777" s="306">
        <f t="shared" ca="1" si="356"/>
        <v>-0.65816237882955342</v>
      </c>
      <c r="E777" s="307">
        <f t="shared" ca="1" si="357"/>
        <v>-0.89765678095981549</v>
      </c>
      <c r="F777" s="304">
        <f t="shared" ca="1" si="358"/>
        <v>1.1130882324908995</v>
      </c>
      <c r="G777" s="306">
        <f t="shared" ca="1" si="359"/>
        <v>7.2736312285963276</v>
      </c>
      <c r="H777" s="307">
        <f t="shared" ca="1" si="360"/>
        <v>-98.495060946139503</v>
      </c>
      <c r="I777" s="304">
        <f t="shared" ca="1" si="361"/>
        <v>98.763266157176815</v>
      </c>
      <c r="J777" s="306">
        <f t="shared" ca="1" si="362"/>
        <v>678.53524446899166</v>
      </c>
      <c r="K777" s="307">
        <f t="shared" ca="1" si="363"/>
        <v>-6.7806527129722332</v>
      </c>
      <c r="L777" s="304">
        <f t="shared" ca="1" si="348"/>
        <v>678.56912340439442</v>
      </c>
      <c r="M777" s="306">
        <f t="shared" ca="1" si="364"/>
        <v>-1.4970824567117988</v>
      </c>
      <c r="N777" s="304">
        <f t="shared" ca="1" si="365"/>
        <v>-85.776506352662835</v>
      </c>
      <c r="P777" s="310">
        <f t="shared" ca="1" si="366"/>
        <v>23</v>
      </c>
      <c r="Q777" s="304">
        <f t="shared" ca="1" si="367"/>
        <v>0</v>
      </c>
      <c r="R777" s="306">
        <f t="shared" ca="1" si="368"/>
        <v>0</v>
      </c>
      <c r="S777" s="307">
        <f t="shared" ca="1" si="369"/>
        <v>4.341000000000002</v>
      </c>
      <c r="T777" s="304">
        <f t="shared" ca="1" si="349"/>
        <v>42.585210000000025</v>
      </c>
      <c r="U777" s="311">
        <f t="shared" ca="1" si="350"/>
        <v>0</v>
      </c>
      <c r="V777" s="306">
        <f t="shared" ca="1" si="351"/>
        <v>1.2258309116635104</v>
      </c>
      <c r="W777" s="304">
        <f t="shared" ca="1" si="352"/>
        <v>38.793938717070795</v>
      </c>
      <c r="Y777" s="314" t="str">
        <f t="shared" ca="1" si="370"/>
        <v/>
      </c>
      <c r="Z777" s="315" t="str">
        <f t="shared" ca="1" si="371"/>
        <v/>
      </c>
      <c r="AA777" s="316" t="str">
        <f t="shared" ca="1" si="372"/>
        <v/>
      </c>
      <c r="AC777" s="310" t="e">
        <f t="shared" ca="1" si="373"/>
        <v>#N/A</v>
      </c>
      <c r="AD777" s="323" t="e">
        <f t="shared" ca="1" si="374"/>
        <v>#N/A</v>
      </c>
      <c r="AE777" s="324" t="e">
        <f t="shared" ca="1" si="353"/>
        <v>#N/A</v>
      </c>
      <c r="AG777" s="306">
        <f t="shared" ca="1" si="375"/>
        <v>0.8467467710678207</v>
      </c>
      <c r="AH777" s="304">
        <f t="shared" ca="1" si="376"/>
        <v>-8.9366122983420357</v>
      </c>
    </row>
    <row r="778" spans="1:34" x14ac:dyDescent="0.2">
      <c r="A778" s="347">
        <f t="shared" ca="1" si="354"/>
        <v>1E-4</v>
      </c>
      <c r="B778" s="304">
        <f t="shared" ca="1" si="355"/>
        <v>28.639800000000047</v>
      </c>
      <c r="D778" s="306">
        <f t="shared" ca="1" si="356"/>
        <v>-0.65815763595329402</v>
      </c>
      <c r="E778" s="307">
        <f t="shared" ca="1" si="357"/>
        <v>-0.89763223924169111</v>
      </c>
      <c r="F778" s="304">
        <f t="shared" ca="1" si="358"/>
        <v>1.1130656362900084</v>
      </c>
      <c r="G778" s="306">
        <f t="shared" ca="1" si="359"/>
        <v>7.2735654128327321</v>
      </c>
      <c r="H778" s="307">
        <f t="shared" ca="1" si="360"/>
        <v>-98.495150709363429</v>
      </c>
      <c r="I778" s="304">
        <f t="shared" ca="1" si="361"/>
        <v>98.763350829520618</v>
      </c>
      <c r="J778" s="306">
        <f t="shared" ca="1" si="362"/>
        <v>678.53524446899166</v>
      </c>
      <c r="K778" s="307">
        <f t="shared" ca="1" si="363"/>
        <v>-6.7905022235550083</v>
      </c>
      <c r="L778" s="304">
        <f t="shared" ca="1" si="348"/>
        <v>678.56922189784177</v>
      </c>
      <c r="M778" s="306">
        <f t="shared" ca="1" si="364"/>
        <v>-1.4970831882365516</v>
      </c>
      <c r="N778" s="304">
        <f t="shared" ca="1" si="365"/>
        <v>-85.776548265943788</v>
      </c>
      <c r="P778" s="310">
        <f t="shared" ca="1" si="366"/>
        <v>23</v>
      </c>
      <c r="Q778" s="304">
        <f t="shared" ca="1" si="367"/>
        <v>0</v>
      </c>
      <c r="R778" s="306">
        <f t="shared" ca="1" si="368"/>
        <v>0</v>
      </c>
      <c r="S778" s="307">
        <f t="shared" ca="1" si="369"/>
        <v>4.341000000000002</v>
      </c>
      <c r="T778" s="304">
        <f t="shared" ca="1" si="349"/>
        <v>42.585210000000025</v>
      </c>
      <c r="U778" s="311">
        <f t="shared" ca="1" si="350"/>
        <v>0</v>
      </c>
      <c r="V778" s="306">
        <f t="shared" ca="1" si="351"/>
        <v>1.2258321190476975</v>
      </c>
      <c r="W778" s="304">
        <f t="shared" ca="1" si="352"/>
        <v>38.794043445445553</v>
      </c>
      <c r="Y778" s="314" t="str">
        <f t="shared" ca="1" si="370"/>
        <v/>
      </c>
      <c r="Z778" s="315" t="str">
        <f t="shared" ca="1" si="371"/>
        <v/>
      </c>
      <c r="AA778" s="316" t="str">
        <f t="shared" ca="1" si="372"/>
        <v/>
      </c>
      <c r="AC778" s="310" t="e">
        <f t="shared" ca="1" si="373"/>
        <v>#N/A</v>
      </c>
      <c r="AD778" s="323" t="e">
        <f t="shared" ca="1" si="374"/>
        <v>#N/A</v>
      </c>
      <c r="AE778" s="324" t="e">
        <f t="shared" ca="1" si="353"/>
        <v>#N/A</v>
      </c>
      <c r="AG778" s="306">
        <f t="shared" ca="1" si="375"/>
        <v>0.84672317381683015</v>
      </c>
      <c r="AH778" s="304">
        <f t="shared" ca="1" si="376"/>
        <v>-8.9366364241121339</v>
      </c>
    </row>
    <row r="779" spans="1:34" x14ac:dyDescent="0.2">
      <c r="A779" s="347">
        <f t="shared" ca="1" si="354"/>
        <v>1E-4</v>
      </c>
      <c r="B779" s="304">
        <f t="shared" ca="1" si="355"/>
        <v>28.639900000000047</v>
      </c>
      <c r="D779" s="306">
        <f t="shared" ca="1" si="356"/>
        <v>-0.65815289308462255</v>
      </c>
      <c r="E779" s="307">
        <f t="shared" ca="1" si="357"/>
        <v>-0.89760769789694095</v>
      </c>
      <c r="F779" s="304">
        <f t="shared" ca="1" si="358"/>
        <v>1.1130430404973137</v>
      </c>
      <c r="G779" s="306">
        <f t="shared" ca="1" si="359"/>
        <v>7.2734995975434238</v>
      </c>
      <c r="H779" s="307">
        <f t="shared" ca="1" si="360"/>
        <v>-98.495240470133226</v>
      </c>
      <c r="I779" s="304">
        <f t="shared" ca="1" si="361"/>
        <v>98.763435499504752</v>
      </c>
      <c r="J779" s="306">
        <f t="shared" ca="1" si="362"/>
        <v>678.53524446899166</v>
      </c>
      <c r="K779" s="307">
        <f t="shared" ca="1" si="363"/>
        <v>-6.8003517431139828</v>
      </c>
      <c r="L779" s="304">
        <f t="shared" ca="1" si="348"/>
        <v>678.5693205343315</v>
      </c>
      <c r="M779" s="306">
        <f t="shared" ca="1" si="364"/>
        <v>-1.4970839197534307</v>
      </c>
      <c r="N779" s="304">
        <f t="shared" ca="1" si="365"/>
        <v>-85.776590178773588</v>
      </c>
      <c r="P779" s="310">
        <f t="shared" ca="1" si="366"/>
        <v>23</v>
      </c>
      <c r="Q779" s="304">
        <f t="shared" ca="1" si="367"/>
        <v>0</v>
      </c>
      <c r="R779" s="306">
        <f t="shared" ca="1" si="368"/>
        <v>0</v>
      </c>
      <c r="S779" s="307">
        <f t="shared" ca="1" si="369"/>
        <v>4.341000000000002</v>
      </c>
      <c r="T779" s="304">
        <f t="shared" ca="1" si="349"/>
        <v>42.585210000000025</v>
      </c>
      <c r="U779" s="311">
        <f t="shared" ca="1" si="350"/>
        <v>0</v>
      </c>
      <c r="V779" s="306">
        <f t="shared" ca="1" si="351"/>
        <v>1.225833326434175</v>
      </c>
      <c r="W779" s="304">
        <f t="shared" ca="1" si="352"/>
        <v>38.794148172227082</v>
      </c>
      <c r="Y779" s="314" t="str">
        <f t="shared" ca="1" si="370"/>
        <v/>
      </c>
      <c r="Z779" s="315" t="str">
        <f t="shared" ca="1" si="371"/>
        <v/>
      </c>
      <c r="AA779" s="316" t="str">
        <f t="shared" ca="1" si="372"/>
        <v/>
      </c>
      <c r="AC779" s="310" t="e">
        <f t="shared" ca="1" si="373"/>
        <v>#N/A</v>
      </c>
      <c r="AD779" s="323" t="e">
        <f t="shared" ca="1" si="374"/>
        <v>#N/A</v>
      </c>
      <c r="AE779" s="324" t="e">
        <f t="shared" ca="1" si="353"/>
        <v>#N/A</v>
      </c>
      <c r="AG779" s="306">
        <f t="shared" ca="1" si="375"/>
        <v>0.84669957692193698</v>
      </c>
      <c r="AH779" s="304">
        <f t="shared" ca="1" si="376"/>
        <v>-8.9366605495152118</v>
      </c>
    </row>
    <row r="780" spans="1:34" x14ac:dyDescent="0.2">
      <c r="A780" s="347">
        <f t="shared" ca="1" si="354"/>
        <v>1E-4</v>
      </c>
      <c r="B780" s="304">
        <f t="shared" ca="1" si="355"/>
        <v>28.640000000000047</v>
      </c>
      <c r="D780" s="306">
        <f t="shared" ca="1" si="356"/>
        <v>-0.65814815022354212</v>
      </c>
      <c r="E780" s="307">
        <f t="shared" ca="1" si="357"/>
        <v>-0.89758315692556678</v>
      </c>
      <c r="F780" s="304">
        <f t="shared" ca="1" si="358"/>
        <v>1.1130204451128187</v>
      </c>
      <c r="G780" s="306">
        <f t="shared" ca="1" si="359"/>
        <v>7.273433782728401</v>
      </c>
      <c r="H780" s="307">
        <f t="shared" ca="1" si="360"/>
        <v>-98.495330228448921</v>
      </c>
      <c r="I780" s="304">
        <f t="shared" ca="1" si="361"/>
        <v>98.763520167129215</v>
      </c>
      <c r="J780" s="306">
        <f t="shared" ca="1" si="362"/>
        <v>678.53524446899166</v>
      </c>
      <c r="K780" s="307">
        <f t="shared" ca="1" si="363"/>
        <v>-6.8102012716489115</v>
      </c>
      <c r="L780" s="304">
        <f t="shared" ca="1" si="348"/>
        <v>678.56941931386405</v>
      </c>
      <c r="M780" s="306">
        <f t="shared" ca="1" si="364"/>
        <v>-1.4970846512624365</v>
      </c>
      <c r="N780" s="304">
        <f t="shared" ca="1" si="365"/>
        <v>-85.776632091152308</v>
      </c>
      <c r="P780" s="310">
        <f t="shared" ca="1" si="366"/>
        <v>23</v>
      </c>
      <c r="Q780" s="304">
        <f t="shared" ca="1" si="367"/>
        <v>0</v>
      </c>
      <c r="R780" s="306">
        <f t="shared" ca="1" si="368"/>
        <v>0</v>
      </c>
      <c r="S780" s="307">
        <f t="shared" ca="1" si="369"/>
        <v>4.341000000000002</v>
      </c>
      <c r="T780" s="304">
        <f t="shared" ca="1" si="349"/>
        <v>42.585210000000025</v>
      </c>
      <c r="U780" s="311">
        <f t="shared" ca="1" si="350"/>
        <v>0</v>
      </c>
      <c r="V780" s="306">
        <f t="shared" ca="1" si="351"/>
        <v>1.2258345338229422</v>
      </c>
      <c r="W780" s="304">
        <f t="shared" ca="1" si="352"/>
        <v>38.794252897415397</v>
      </c>
      <c r="Y780" s="314" t="str">
        <f t="shared" ca="1" si="370"/>
        <v/>
      </c>
      <c r="Z780" s="315" t="str">
        <f t="shared" ca="1" si="371"/>
        <v/>
      </c>
      <c r="AA780" s="316" t="str">
        <f t="shared" ca="1" si="372"/>
        <v/>
      </c>
      <c r="AC780" s="310" t="e">
        <f t="shared" ca="1" si="373"/>
        <v>#N/A</v>
      </c>
      <c r="AD780" s="323" t="e">
        <f t="shared" ca="1" si="374"/>
        <v>#N/A</v>
      </c>
      <c r="AE780" s="324" t="e">
        <f t="shared" ca="1" si="353"/>
        <v>#N/A</v>
      </c>
      <c r="AG780" s="306">
        <f t="shared" ca="1" si="375"/>
        <v>0.84667598038314118</v>
      </c>
      <c r="AH780" s="304">
        <f t="shared" ca="1" si="376"/>
        <v>-8.9366846745512696</v>
      </c>
    </row>
    <row r="781" spans="1:34" x14ac:dyDescent="0.2">
      <c r="A781" s="347">
        <f t="shared" ca="1" si="354"/>
        <v>1E-4</v>
      </c>
      <c r="B781" s="304">
        <f t="shared" ca="1" si="355"/>
        <v>28.640100000000047</v>
      </c>
      <c r="D781" s="306">
        <f t="shared" ca="1" si="356"/>
        <v>-0.65814340737005095</v>
      </c>
      <c r="E781" s="307">
        <f t="shared" ca="1" si="357"/>
        <v>-0.89755861632756151</v>
      </c>
      <c r="F781" s="304">
        <f t="shared" ca="1" si="358"/>
        <v>1.1129978501365165</v>
      </c>
      <c r="G781" s="306">
        <f t="shared" ca="1" si="359"/>
        <v>7.2733679683876638</v>
      </c>
      <c r="H781" s="307">
        <f t="shared" ca="1" si="360"/>
        <v>-98.495419984310558</v>
      </c>
      <c r="I781" s="304">
        <f t="shared" ca="1" si="361"/>
        <v>98.763604832394066</v>
      </c>
      <c r="J781" s="306">
        <f t="shared" ca="1" si="362"/>
        <v>678.53524446899166</v>
      </c>
      <c r="K781" s="307">
        <f t="shared" ca="1" si="363"/>
        <v>-6.8200508091595493</v>
      </c>
      <c r="L781" s="304">
        <f t="shared" ca="1" si="348"/>
        <v>678.56951823643965</v>
      </c>
      <c r="M781" s="306">
        <f t="shared" ca="1" si="364"/>
        <v>-1.4970853827635688</v>
      </c>
      <c r="N781" s="304">
        <f t="shared" ca="1" si="365"/>
        <v>-85.77667400307989</v>
      </c>
      <c r="P781" s="310">
        <f t="shared" ca="1" si="366"/>
        <v>23</v>
      </c>
      <c r="Q781" s="304">
        <f t="shared" ca="1" si="367"/>
        <v>0</v>
      </c>
      <c r="R781" s="306">
        <f t="shared" ca="1" si="368"/>
        <v>0</v>
      </c>
      <c r="S781" s="307">
        <f t="shared" ca="1" si="369"/>
        <v>4.341000000000002</v>
      </c>
      <c r="T781" s="304">
        <f t="shared" ca="1" si="349"/>
        <v>42.585210000000025</v>
      </c>
      <c r="U781" s="311">
        <f t="shared" ca="1" si="350"/>
        <v>0</v>
      </c>
      <c r="V781" s="306">
        <f t="shared" ca="1" si="351"/>
        <v>1.2258357412139995</v>
      </c>
      <c r="W781" s="304">
        <f t="shared" ca="1" si="352"/>
        <v>38.794357621010526</v>
      </c>
      <c r="Y781" s="314" t="str">
        <f t="shared" ca="1" si="370"/>
        <v/>
      </c>
      <c r="Z781" s="315" t="str">
        <f t="shared" ca="1" si="371"/>
        <v/>
      </c>
      <c r="AA781" s="316" t="str">
        <f t="shared" ca="1" si="372"/>
        <v/>
      </c>
      <c r="AC781" s="310" t="e">
        <f t="shared" ca="1" si="373"/>
        <v>#N/A</v>
      </c>
      <c r="AD781" s="323" t="e">
        <f t="shared" ca="1" si="374"/>
        <v>#N/A</v>
      </c>
      <c r="AE781" s="324" t="e">
        <f t="shared" ca="1" si="353"/>
        <v>#N/A</v>
      </c>
      <c r="AG781" s="306">
        <f t="shared" ca="1" si="375"/>
        <v>0.84665238420043387</v>
      </c>
      <c r="AH781" s="304">
        <f t="shared" ca="1" si="376"/>
        <v>-8.9367087992203125</v>
      </c>
    </row>
    <row r="782" spans="1:34" x14ac:dyDescent="0.2">
      <c r="A782" s="347">
        <f t="shared" ca="1" si="354"/>
        <v>1E-4</v>
      </c>
      <c r="B782" s="304">
        <f t="shared" ca="1" si="355"/>
        <v>28.640200000000046</v>
      </c>
      <c r="D782" s="306">
        <f t="shared" ca="1" si="356"/>
        <v>-0.65813866452415259</v>
      </c>
      <c r="E782" s="307">
        <f t="shared" ca="1" si="357"/>
        <v>-0.8975340761029198</v>
      </c>
      <c r="F782" s="304">
        <f t="shared" ca="1" si="358"/>
        <v>1.1129752555684052</v>
      </c>
      <c r="G782" s="306">
        <f t="shared" ca="1" si="359"/>
        <v>7.2733021545212111</v>
      </c>
      <c r="H782" s="307">
        <f t="shared" ca="1" si="360"/>
        <v>-98.495509737718166</v>
      </c>
      <c r="I782" s="304">
        <f t="shared" ca="1" si="361"/>
        <v>98.763689495299317</v>
      </c>
      <c r="J782" s="306">
        <f t="shared" ca="1" si="362"/>
        <v>678.53524446899166</v>
      </c>
      <c r="K782" s="307">
        <f t="shared" ca="1" si="363"/>
        <v>-6.829900355645651</v>
      </c>
      <c r="L782" s="304">
        <f t="shared" ca="1" si="348"/>
        <v>678.56961730205865</v>
      </c>
      <c r="M782" s="306">
        <f t="shared" ca="1" si="364"/>
        <v>-1.4970861142568281</v>
      </c>
      <c r="N782" s="304">
        <f t="shared" ca="1" si="365"/>
        <v>-85.776715914556391</v>
      </c>
      <c r="P782" s="310">
        <f t="shared" ca="1" si="366"/>
        <v>23</v>
      </c>
      <c r="Q782" s="304">
        <f t="shared" ca="1" si="367"/>
        <v>0</v>
      </c>
      <c r="R782" s="306">
        <f t="shared" ca="1" si="368"/>
        <v>0</v>
      </c>
      <c r="S782" s="307">
        <f t="shared" ca="1" si="369"/>
        <v>4.341000000000002</v>
      </c>
      <c r="T782" s="304">
        <f t="shared" ca="1" si="349"/>
        <v>42.585210000000025</v>
      </c>
      <c r="U782" s="311">
        <f t="shared" ca="1" si="350"/>
        <v>0</v>
      </c>
      <c r="V782" s="306">
        <f t="shared" ca="1" si="351"/>
        <v>1.2258369486073464</v>
      </c>
      <c r="W782" s="304">
        <f t="shared" ca="1" si="352"/>
        <v>38.794462343012434</v>
      </c>
      <c r="Y782" s="314" t="str">
        <f t="shared" ca="1" si="370"/>
        <v/>
      </c>
      <c r="Z782" s="315" t="str">
        <f t="shared" ca="1" si="371"/>
        <v/>
      </c>
      <c r="AA782" s="316" t="str">
        <f t="shared" ca="1" si="372"/>
        <v/>
      </c>
      <c r="AC782" s="310" t="e">
        <f t="shared" ca="1" si="373"/>
        <v>#N/A</v>
      </c>
      <c r="AD782" s="323" t="e">
        <f t="shared" ca="1" si="374"/>
        <v>#N/A</v>
      </c>
      <c r="AE782" s="324" t="e">
        <f t="shared" ca="1" si="353"/>
        <v>#N/A</v>
      </c>
      <c r="AG782" s="306">
        <f t="shared" ca="1" si="375"/>
        <v>0.84662878837381328</v>
      </c>
      <c r="AH782" s="304">
        <f t="shared" ca="1" si="376"/>
        <v>-8.9367329235223476</v>
      </c>
    </row>
    <row r="783" spans="1:34" x14ac:dyDescent="0.2">
      <c r="A783" s="347">
        <f t="shared" ca="1" si="354"/>
        <v>1E-4</v>
      </c>
      <c r="B783" s="304">
        <f t="shared" ca="1" si="355"/>
        <v>28.640300000000046</v>
      </c>
      <c r="D783" s="306">
        <f t="shared" ca="1" si="356"/>
        <v>-0.65813392168584395</v>
      </c>
      <c r="E783" s="307">
        <f t="shared" ca="1" si="357"/>
        <v>-0.89750953625165053</v>
      </c>
      <c r="F783" s="304">
        <f t="shared" ca="1" si="358"/>
        <v>1.1129526614084901</v>
      </c>
      <c r="G783" s="306">
        <f t="shared" ca="1" si="359"/>
        <v>7.2732363411290422</v>
      </c>
      <c r="H783" s="307">
        <f t="shared" ca="1" si="360"/>
        <v>-98.495599488671786</v>
      </c>
      <c r="I783" s="304">
        <f t="shared" ca="1" si="361"/>
        <v>98.763774155845027</v>
      </c>
      <c r="J783" s="306">
        <f t="shared" ca="1" si="362"/>
        <v>678.53524446899166</v>
      </c>
      <c r="K783" s="307">
        <f t="shared" ca="1" si="363"/>
        <v>-6.8397499111069706</v>
      </c>
      <c r="L783" s="304">
        <f t="shared" ca="1" si="348"/>
        <v>678.56971651072138</v>
      </c>
      <c r="M783" s="306">
        <f t="shared" ca="1" si="364"/>
        <v>-1.4970868457422144</v>
      </c>
      <c r="N783" s="304">
        <f t="shared" ca="1" si="365"/>
        <v>-85.776757825581797</v>
      </c>
      <c r="P783" s="310">
        <f t="shared" ca="1" si="366"/>
        <v>23</v>
      </c>
      <c r="Q783" s="304">
        <f t="shared" ca="1" si="367"/>
        <v>0</v>
      </c>
      <c r="R783" s="306">
        <f t="shared" ca="1" si="368"/>
        <v>0</v>
      </c>
      <c r="S783" s="307">
        <f t="shared" ca="1" si="369"/>
        <v>4.341000000000002</v>
      </c>
      <c r="T783" s="304">
        <f t="shared" ca="1" si="349"/>
        <v>42.585210000000025</v>
      </c>
      <c r="U783" s="311">
        <f t="shared" ca="1" si="350"/>
        <v>0</v>
      </c>
      <c r="V783" s="306">
        <f t="shared" ca="1" si="351"/>
        <v>1.2258381560029827</v>
      </c>
      <c r="W783" s="304">
        <f t="shared" ca="1" si="352"/>
        <v>38.794567063421191</v>
      </c>
      <c r="Y783" s="314" t="str">
        <f t="shared" ca="1" si="370"/>
        <v/>
      </c>
      <c r="Z783" s="315" t="str">
        <f t="shared" ca="1" si="371"/>
        <v/>
      </c>
      <c r="AA783" s="316" t="str">
        <f t="shared" ca="1" si="372"/>
        <v/>
      </c>
      <c r="AC783" s="310" t="e">
        <f t="shared" ca="1" si="373"/>
        <v>#N/A</v>
      </c>
      <c r="AD783" s="323" t="e">
        <f t="shared" ca="1" si="374"/>
        <v>#N/A</v>
      </c>
      <c r="AE783" s="324" t="e">
        <f t="shared" ca="1" si="353"/>
        <v>#N/A</v>
      </c>
      <c r="AG783" s="306">
        <f t="shared" ca="1" si="375"/>
        <v>0.84660519290328828</v>
      </c>
      <c r="AH783" s="304">
        <f t="shared" ca="1" si="376"/>
        <v>-8.9367570474573643</v>
      </c>
    </row>
    <row r="784" spans="1:34" x14ac:dyDescent="0.2">
      <c r="A784" s="347">
        <f t="shared" ca="1" si="354"/>
        <v>1E-4</v>
      </c>
      <c r="B784" s="304">
        <f t="shared" ca="1" si="355"/>
        <v>28.640400000000046</v>
      </c>
      <c r="D784" s="306">
        <f t="shared" ca="1" si="356"/>
        <v>-0.65812917885512756</v>
      </c>
      <c r="E784" s="307">
        <f t="shared" ca="1" si="357"/>
        <v>-0.89748499677373594</v>
      </c>
      <c r="F784" s="304">
        <f t="shared" ca="1" si="358"/>
        <v>1.1129300676567586</v>
      </c>
      <c r="G784" s="306">
        <f t="shared" ca="1" si="359"/>
        <v>7.2731705282111569</v>
      </c>
      <c r="H784" s="307">
        <f t="shared" ca="1" si="360"/>
        <v>-98.495689237171462</v>
      </c>
      <c r="I784" s="304">
        <f t="shared" ca="1" si="361"/>
        <v>98.763858814031224</v>
      </c>
      <c r="J784" s="306">
        <f t="shared" ca="1" si="362"/>
        <v>678.53524446899166</v>
      </c>
      <c r="K784" s="307">
        <f t="shared" ca="1" si="363"/>
        <v>-6.849599475543263</v>
      </c>
      <c r="L784" s="304">
        <f t="shared" ca="1" si="348"/>
        <v>678.56981586242819</v>
      </c>
      <c r="M784" s="306">
        <f t="shared" ca="1" si="364"/>
        <v>-1.4970875772197276</v>
      </c>
      <c r="N784" s="304">
        <f t="shared" ca="1" si="365"/>
        <v>-85.776799736156121</v>
      </c>
      <c r="P784" s="310">
        <f t="shared" ca="1" si="366"/>
        <v>23</v>
      </c>
      <c r="Q784" s="304">
        <f t="shared" ca="1" si="367"/>
        <v>0</v>
      </c>
      <c r="R784" s="306">
        <f t="shared" ca="1" si="368"/>
        <v>0</v>
      </c>
      <c r="S784" s="307">
        <f t="shared" ca="1" si="369"/>
        <v>4.341000000000002</v>
      </c>
      <c r="T784" s="304">
        <f t="shared" ca="1" si="349"/>
        <v>42.585210000000025</v>
      </c>
      <c r="U784" s="311">
        <f t="shared" ca="1" si="350"/>
        <v>0</v>
      </c>
      <c r="V784" s="306">
        <f t="shared" ca="1" si="351"/>
        <v>1.2258393634009097</v>
      </c>
      <c r="W784" s="304">
        <f t="shared" ca="1" si="352"/>
        <v>38.794671782236811</v>
      </c>
      <c r="Y784" s="314" t="str">
        <f t="shared" ca="1" si="370"/>
        <v/>
      </c>
      <c r="Z784" s="315" t="str">
        <f t="shared" ca="1" si="371"/>
        <v/>
      </c>
      <c r="AA784" s="316" t="str">
        <f t="shared" ca="1" si="372"/>
        <v/>
      </c>
      <c r="AC784" s="310" t="e">
        <f t="shared" ca="1" si="373"/>
        <v>#N/A</v>
      </c>
      <c r="AD784" s="323" t="e">
        <f t="shared" ca="1" si="374"/>
        <v>#N/A</v>
      </c>
      <c r="AE784" s="324" t="e">
        <f t="shared" ca="1" si="353"/>
        <v>#N/A</v>
      </c>
      <c r="AG784" s="306">
        <f t="shared" ca="1" si="375"/>
        <v>0.84658159778883935</v>
      </c>
      <c r="AH784" s="304">
        <f t="shared" ca="1" si="376"/>
        <v>-8.9367811710253804</v>
      </c>
    </row>
    <row r="785" spans="1:34" x14ac:dyDescent="0.2">
      <c r="A785" s="347">
        <f t="shared" ca="1" si="354"/>
        <v>1E-4</v>
      </c>
      <c r="B785" s="304">
        <f t="shared" ca="1" si="355"/>
        <v>28.640500000000046</v>
      </c>
      <c r="D785" s="306">
        <f t="shared" ca="1" si="356"/>
        <v>-0.65812443603200499</v>
      </c>
      <c r="E785" s="307">
        <f t="shared" ca="1" si="357"/>
        <v>-0.89746045766917781</v>
      </c>
      <c r="F785" s="304">
        <f t="shared" ca="1" si="358"/>
        <v>1.112907474313213</v>
      </c>
      <c r="G785" s="306">
        <f t="shared" ca="1" si="359"/>
        <v>7.2731047157675537</v>
      </c>
      <c r="H785" s="307">
        <f t="shared" ca="1" si="360"/>
        <v>-98.495778983217235</v>
      </c>
      <c r="I785" s="304">
        <f t="shared" ca="1" si="361"/>
        <v>98.763943469857963</v>
      </c>
      <c r="J785" s="306">
        <f t="shared" ca="1" si="362"/>
        <v>678.53524446899166</v>
      </c>
      <c r="K785" s="307">
        <f t="shared" ca="1" si="363"/>
        <v>-6.8594490489542821</v>
      </c>
      <c r="L785" s="304">
        <f t="shared" ca="1" si="348"/>
        <v>678.5699153571793</v>
      </c>
      <c r="M785" s="306">
        <f t="shared" ca="1" si="364"/>
        <v>-1.497088308689368</v>
      </c>
      <c r="N785" s="304">
        <f t="shared" ca="1" si="365"/>
        <v>-85.776841646279351</v>
      </c>
      <c r="P785" s="310">
        <f t="shared" ca="1" si="366"/>
        <v>23</v>
      </c>
      <c r="Q785" s="304">
        <f t="shared" ca="1" si="367"/>
        <v>0</v>
      </c>
      <c r="R785" s="306">
        <f t="shared" ca="1" si="368"/>
        <v>0</v>
      </c>
      <c r="S785" s="307">
        <f t="shared" ca="1" si="369"/>
        <v>4.341000000000002</v>
      </c>
      <c r="T785" s="304">
        <f t="shared" ca="1" si="349"/>
        <v>42.585210000000025</v>
      </c>
      <c r="U785" s="311">
        <f t="shared" ca="1" si="350"/>
        <v>0</v>
      </c>
      <c r="V785" s="306">
        <f t="shared" ca="1" si="351"/>
        <v>1.2258405708011264</v>
      </c>
      <c r="W785" s="304">
        <f t="shared" ca="1" si="352"/>
        <v>38.794776499459324</v>
      </c>
      <c r="Y785" s="314" t="str">
        <f t="shared" ca="1" si="370"/>
        <v/>
      </c>
      <c r="Z785" s="315" t="str">
        <f t="shared" ca="1" si="371"/>
        <v/>
      </c>
      <c r="AA785" s="316" t="str">
        <f t="shared" ca="1" si="372"/>
        <v/>
      </c>
      <c r="AC785" s="310" t="e">
        <f t="shared" ca="1" si="373"/>
        <v>#N/A</v>
      </c>
      <c r="AD785" s="323" t="e">
        <f t="shared" ca="1" si="374"/>
        <v>#N/A</v>
      </c>
      <c r="AE785" s="324" t="e">
        <f t="shared" ca="1" si="353"/>
        <v>#N/A</v>
      </c>
      <c r="AG785" s="306">
        <f t="shared" ca="1" si="375"/>
        <v>0.84655800303046824</v>
      </c>
      <c r="AH785" s="304">
        <f t="shared" ca="1" si="376"/>
        <v>-8.9368052942263976</v>
      </c>
    </row>
    <row r="786" spans="1:34" x14ac:dyDescent="0.2">
      <c r="A786" s="347">
        <f t="shared" ca="1" si="354"/>
        <v>1E-4</v>
      </c>
      <c r="B786" s="304">
        <f t="shared" ca="1" si="355"/>
        <v>28.640600000000045</v>
      </c>
      <c r="D786" s="306">
        <f t="shared" ca="1" si="356"/>
        <v>-0.65811969321647623</v>
      </c>
      <c r="E786" s="307">
        <f t="shared" ca="1" si="357"/>
        <v>-0.89743591893796193</v>
      </c>
      <c r="F786" s="304">
        <f t="shared" ca="1" si="358"/>
        <v>1.1128848813778418</v>
      </c>
      <c r="G786" s="306">
        <f t="shared" ca="1" si="359"/>
        <v>7.2730389037982324</v>
      </c>
      <c r="H786" s="307">
        <f t="shared" ca="1" si="360"/>
        <v>-98.495868726809135</v>
      </c>
      <c r="I786" s="304">
        <f t="shared" ca="1" si="361"/>
        <v>98.764028123325247</v>
      </c>
      <c r="J786" s="306">
        <f t="shared" ca="1" si="362"/>
        <v>678.53524446899166</v>
      </c>
      <c r="K786" s="307">
        <f t="shared" ca="1" si="363"/>
        <v>-6.8692986313397837</v>
      </c>
      <c r="L786" s="304">
        <f t="shared" ca="1" si="348"/>
        <v>678.57001499497517</v>
      </c>
      <c r="M786" s="306">
        <f t="shared" ca="1" si="364"/>
        <v>-1.4970890401511356</v>
      </c>
      <c r="N786" s="304">
        <f t="shared" ca="1" si="365"/>
        <v>-85.776883555951514</v>
      </c>
      <c r="P786" s="310">
        <f t="shared" ca="1" si="366"/>
        <v>23</v>
      </c>
      <c r="Q786" s="304">
        <f t="shared" ca="1" si="367"/>
        <v>0</v>
      </c>
      <c r="R786" s="306">
        <f t="shared" ca="1" si="368"/>
        <v>0</v>
      </c>
      <c r="S786" s="307">
        <f t="shared" ca="1" si="369"/>
        <v>4.341000000000002</v>
      </c>
      <c r="T786" s="304">
        <f t="shared" ca="1" si="349"/>
        <v>42.585210000000025</v>
      </c>
      <c r="U786" s="311">
        <f t="shared" ca="1" si="350"/>
        <v>0</v>
      </c>
      <c r="V786" s="306">
        <f t="shared" ca="1" si="351"/>
        <v>1.2258417782036324</v>
      </c>
      <c r="W786" s="304">
        <f t="shared" ca="1" si="352"/>
        <v>38.794881215088694</v>
      </c>
      <c r="Y786" s="314" t="str">
        <f t="shared" ca="1" si="370"/>
        <v/>
      </c>
      <c r="Z786" s="315" t="str">
        <f t="shared" ca="1" si="371"/>
        <v/>
      </c>
      <c r="AA786" s="316" t="str">
        <f t="shared" ca="1" si="372"/>
        <v/>
      </c>
      <c r="AC786" s="310" t="e">
        <f t="shared" ca="1" si="373"/>
        <v>#N/A</v>
      </c>
      <c r="AD786" s="323" t="e">
        <f t="shared" ca="1" si="374"/>
        <v>#N/A</v>
      </c>
      <c r="AE786" s="324" t="e">
        <f t="shared" ca="1" si="353"/>
        <v>#N/A</v>
      </c>
      <c r="AG786" s="306">
        <f t="shared" ca="1" si="375"/>
        <v>0.84653440862816609</v>
      </c>
      <c r="AH786" s="304">
        <f t="shared" ca="1" si="376"/>
        <v>-8.9368294170604248</v>
      </c>
    </row>
    <row r="787" spans="1:34" x14ac:dyDescent="0.2">
      <c r="A787" s="347">
        <f t="shared" ca="1" si="354"/>
        <v>1E-4</v>
      </c>
      <c r="B787" s="304">
        <f t="shared" ca="1" si="355"/>
        <v>28.640700000000045</v>
      </c>
      <c r="D787" s="306">
        <f t="shared" ca="1" si="356"/>
        <v>-0.65811495040854218</v>
      </c>
      <c r="E787" s="307">
        <f t="shared" ca="1" si="357"/>
        <v>-0.89741138058009895</v>
      </c>
      <c r="F787" s="304">
        <f t="shared" ca="1" si="358"/>
        <v>1.1128622888506543</v>
      </c>
      <c r="G787" s="306">
        <f t="shared" ca="1" si="359"/>
        <v>7.2729730923031912</v>
      </c>
      <c r="H787" s="307">
        <f t="shared" ca="1" si="360"/>
        <v>-98.49595846794719</v>
      </c>
      <c r="I787" s="304">
        <f t="shared" ca="1" si="361"/>
        <v>98.76411277443313</v>
      </c>
      <c r="J787" s="306">
        <f t="shared" ca="1" si="362"/>
        <v>678.53524446899166</v>
      </c>
      <c r="K787" s="307">
        <f t="shared" ca="1" si="363"/>
        <v>-6.8791482226995218</v>
      </c>
      <c r="L787" s="304">
        <f t="shared" ca="1" si="348"/>
        <v>678.57011477581602</v>
      </c>
      <c r="M787" s="306">
        <f t="shared" ca="1" si="364"/>
        <v>-1.4970897716050307</v>
      </c>
      <c r="N787" s="304">
        <f t="shared" ca="1" si="365"/>
        <v>-85.77692546517261</v>
      </c>
      <c r="P787" s="310">
        <f t="shared" ca="1" si="366"/>
        <v>23</v>
      </c>
      <c r="Q787" s="304">
        <f t="shared" ca="1" si="367"/>
        <v>0</v>
      </c>
      <c r="R787" s="306">
        <f t="shared" ca="1" si="368"/>
        <v>0</v>
      </c>
      <c r="S787" s="307">
        <f t="shared" ca="1" si="369"/>
        <v>4.341000000000002</v>
      </c>
      <c r="T787" s="304">
        <f t="shared" ca="1" si="349"/>
        <v>42.585210000000025</v>
      </c>
      <c r="U787" s="311">
        <f t="shared" ca="1" si="350"/>
        <v>0</v>
      </c>
      <c r="V787" s="306">
        <f t="shared" ca="1" si="351"/>
        <v>1.2258429856084281</v>
      </c>
      <c r="W787" s="304">
        <f t="shared" ca="1" si="352"/>
        <v>38.794985929124962</v>
      </c>
      <c r="Y787" s="314" t="str">
        <f t="shared" ca="1" si="370"/>
        <v/>
      </c>
      <c r="Z787" s="315" t="str">
        <f t="shared" ca="1" si="371"/>
        <v/>
      </c>
      <c r="AA787" s="316" t="str">
        <f t="shared" ca="1" si="372"/>
        <v/>
      </c>
      <c r="AC787" s="310" t="e">
        <f t="shared" ca="1" si="373"/>
        <v>#N/A</v>
      </c>
      <c r="AD787" s="323" t="e">
        <f t="shared" ca="1" si="374"/>
        <v>#N/A</v>
      </c>
      <c r="AE787" s="324" t="e">
        <f t="shared" ca="1" si="353"/>
        <v>#N/A</v>
      </c>
      <c r="AG787" s="306">
        <f t="shared" ca="1" si="375"/>
        <v>0.84651081458193822</v>
      </c>
      <c r="AH787" s="304">
        <f t="shared" ca="1" si="376"/>
        <v>-8.9368535395274531</v>
      </c>
    </row>
    <row r="788" spans="1:34" x14ac:dyDescent="0.2">
      <c r="A788" s="347">
        <f t="shared" ca="1" si="354"/>
        <v>1E-4</v>
      </c>
      <c r="B788" s="304">
        <f t="shared" ca="1" si="355"/>
        <v>28.640800000000045</v>
      </c>
      <c r="D788" s="306">
        <f t="shared" ca="1" si="356"/>
        <v>-0.65811020760820282</v>
      </c>
      <c r="E788" s="307">
        <f t="shared" ca="1" si="357"/>
        <v>-0.89738684259557999</v>
      </c>
      <c r="F788" s="304">
        <f t="shared" ca="1" si="358"/>
        <v>1.1128396967316434</v>
      </c>
      <c r="G788" s="306">
        <f t="shared" ca="1" si="359"/>
        <v>7.2729072812824302</v>
      </c>
      <c r="H788" s="307">
        <f t="shared" ca="1" si="360"/>
        <v>-98.496048206631457</v>
      </c>
      <c r="I788" s="304">
        <f t="shared" ca="1" si="361"/>
        <v>98.764197423181642</v>
      </c>
      <c r="J788" s="306">
        <f t="shared" ca="1" si="362"/>
        <v>678.53524446899166</v>
      </c>
      <c r="K788" s="307">
        <f t="shared" ca="1" si="363"/>
        <v>-6.8889978230332503</v>
      </c>
      <c r="L788" s="304">
        <f t="shared" ca="1" si="348"/>
        <v>678.57021469970232</v>
      </c>
      <c r="M788" s="306">
        <f t="shared" ca="1" si="364"/>
        <v>-1.4970905030510531</v>
      </c>
      <c r="N788" s="304">
        <f t="shared" ca="1" si="365"/>
        <v>-85.776967373942639</v>
      </c>
      <c r="P788" s="310">
        <f t="shared" ca="1" si="366"/>
        <v>23</v>
      </c>
      <c r="Q788" s="304">
        <f t="shared" ca="1" si="367"/>
        <v>0</v>
      </c>
      <c r="R788" s="306">
        <f t="shared" ca="1" si="368"/>
        <v>0</v>
      </c>
      <c r="S788" s="307">
        <f t="shared" ca="1" si="369"/>
        <v>4.341000000000002</v>
      </c>
      <c r="T788" s="304">
        <f t="shared" ca="1" si="349"/>
        <v>42.585210000000025</v>
      </c>
      <c r="U788" s="311">
        <f t="shared" ca="1" si="350"/>
        <v>0</v>
      </c>
      <c r="V788" s="306">
        <f t="shared" ca="1" si="351"/>
        <v>1.2258441930155139</v>
      </c>
      <c r="W788" s="304">
        <f t="shared" ca="1" si="352"/>
        <v>38.795090641568173</v>
      </c>
      <c r="Y788" s="314" t="str">
        <f t="shared" ca="1" si="370"/>
        <v/>
      </c>
      <c r="Z788" s="315" t="str">
        <f t="shared" ca="1" si="371"/>
        <v/>
      </c>
      <c r="AA788" s="316" t="str">
        <f t="shared" ca="1" si="372"/>
        <v/>
      </c>
      <c r="AC788" s="310" t="e">
        <f t="shared" ca="1" si="373"/>
        <v>#N/A</v>
      </c>
      <c r="AD788" s="323" t="e">
        <f t="shared" ca="1" si="374"/>
        <v>#N/A</v>
      </c>
      <c r="AE788" s="324" t="e">
        <f t="shared" ca="1" si="353"/>
        <v>#N/A</v>
      </c>
      <c r="AG788" s="306">
        <f t="shared" ca="1" si="375"/>
        <v>0.8464872208917793</v>
      </c>
      <c r="AH788" s="304">
        <f t="shared" ca="1" si="376"/>
        <v>-8.9368776616274932</v>
      </c>
    </row>
    <row r="789" spans="1:34" x14ac:dyDescent="0.2">
      <c r="A789" s="347">
        <f t="shared" ca="1" si="354"/>
        <v>1E-4</v>
      </c>
      <c r="B789" s="304">
        <f t="shared" ca="1" si="355"/>
        <v>28.640900000000045</v>
      </c>
      <c r="D789" s="306">
        <f t="shared" ca="1" si="356"/>
        <v>-0.65810546481546017</v>
      </c>
      <c r="E789" s="307">
        <f t="shared" ca="1" si="357"/>
        <v>-0.89736230498439795</v>
      </c>
      <c r="F789" s="304">
        <f t="shared" ca="1" si="358"/>
        <v>1.1128171050208047</v>
      </c>
      <c r="G789" s="306">
        <f t="shared" ca="1" si="359"/>
        <v>7.2728414707359486</v>
      </c>
      <c r="H789" s="307">
        <f t="shared" ca="1" si="360"/>
        <v>-98.496137942861949</v>
      </c>
      <c r="I789" s="304">
        <f t="shared" ca="1" si="361"/>
        <v>98.764282069570811</v>
      </c>
      <c r="J789" s="306">
        <f t="shared" ca="1" si="362"/>
        <v>678.53524446899166</v>
      </c>
      <c r="K789" s="307">
        <f t="shared" ca="1" si="363"/>
        <v>-6.8988474323407249</v>
      </c>
      <c r="L789" s="304">
        <f t="shared" ca="1" si="348"/>
        <v>678.57031476663417</v>
      </c>
      <c r="M789" s="306">
        <f t="shared" ca="1" si="364"/>
        <v>-1.4970912344892029</v>
      </c>
      <c r="N789" s="304">
        <f t="shared" ca="1" si="365"/>
        <v>-85.777009282261588</v>
      </c>
      <c r="P789" s="310">
        <f t="shared" ca="1" si="366"/>
        <v>23</v>
      </c>
      <c r="Q789" s="304">
        <f t="shared" ca="1" si="367"/>
        <v>0</v>
      </c>
      <c r="R789" s="306">
        <f t="shared" ca="1" si="368"/>
        <v>0</v>
      </c>
      <c r="S789" s="307">
        <f t="shared" ca="1" si="369"/>
        <v>4.341000000000002</v>
      </c>
      <c r="T789" s="304">
        <f t="shared" ca="1" si="349"/>
        <v>42.585210000000025</v>
      </c>
      <c r="U789" s="311">
        <f t="shared" ca="1" si="350"/>
        <v>0</v>
      </c>
      <c r="V789" s="306">
        <f t="shared" ca="1" si="351"/>
        <v>1.2258454004248893</v>
      </c>
      <c r="W789" s="304">
        <f t="shared" ca="1" si="352"/>
        <v>38.795195352418325</v>
      </c>
      <c r="Y789" s="314" t="str">
        <f t="shared" ca="1" si="370"/>
        <v/>
      </c>
      <c r="Z789" s="315" t="str">
        <f t="shared" ca="1" si="371"/>
        <v/>
      </c>
      <c r="AA789" s="316" t="str">
        <f t="shared" ca="1" si="372"/>
        <v/>
      </c>
      <c r="AC789" s="310" t="e">
        <f t="shared" ca="1" si="373"/>
        <v>#N/A</v>
      </c>
      <c r="AD789" s="323" t="e">
        <f t="shared" ca="1" si="374"/>
        <v>#N/A</v>
      </c>
      <c r="AE789" s="324" t="e">
        <f t="shared" ca="1" si="353"/>
        <v>#N/A</v>
      </c>
      <c r="AG789" s="306">
        <f t="shared" ca="1" si="375"/>
        <v>0.8464636275576769</v>
      </c>
      <c r="AH789" s="304">
        <f t="shared" ca="1" si="376"/>
        <v>-8.9369017833605522</v>
      </c>
    </row>
    <row r="790" spans="1:34" x14ac:dyDescent="0.2">
      <c r="A790" s="347">
        <f t="shared" ca="1" si="354"/>
        <v>1E-4</v>
      </c>
      <c r="B790" s="304">
        <f t="shared" ca="1" si="355"/>
        <v>28.641000000000044</v>
      </c>
      <c r="D790" s="306">
        <f t="shared" ca="1" si="356"/>
        <v>-0.65810072203031567</v>
      </c>
      <c r="E790" s="307">
        <f t="shared" ca="1" si="357"/>
        <v>-0.8973377677465475</v>
      </c>
      <c r="F790" s="304">
        <f t="shared" ca="1" si="358"/>
        <v>1.1127945137181345</v>
      </c>
      <c r="G790" s="306">
        <f t="shared" ca="1" si="359"/>
        <v>7.2727756606637453</v>
      </c>
      <c r="H790" s="307">
        <f t="shared" ca="1" si="360"/>
        <v>-98.496227676638725</v>
      </c>
      <c r="I790" s="304">
        <f t="shared" ca="1" si="361"/>
        <v>98.76436671360068</v>
      </c>
      <c r="J790" s="306">
        <f t="shared" ca="1" si="362"/>
        <v>678.53524446899166</v>
      </c>
      <c r="K790" s="307">
        <f t="shared" ca="1" si="363"/>
        <v>-6.9086970506216998</v>
      </c>
      <c r="L790" s="304">
        <f t="shared" ca="1" si="348"/>
        <v>678.57041497661214</v>
      </c>
      <c r="M790" s="306">
        <f t="shared" ca="1" si="364"/>
        <v>-1.4970919659194806</v>
      </c>
      <c r="N790" s="304">
        <f t="shared" ca="1" si="365"/>
        <v>-85.777051190129512</v>
      </c>
      <c r="P790" s="310">
        <f t="shared" ca="1" si="366"/>
        <v>23</v>
      </c>
      <c r="Q790" s="304">
        <f t="shared" ca="1" si="367"/>
        <v>0</v>
      </c>
      <c r="R790" s="306">
        <f t="shared" ca="1" si="368"/>
        <v>0</v>
      </c>
      <c r="S790" s="307">
        <f t="shared" ca="1" si="369"/>
        <v>4.341000000000002</v>
      </c>
      <c r="T790" s="304">
        <f t="shared" ca="1" si="349"/>
        <v>42.585210000000025</v>
      </c>
      <c r="U790" s="311">
        <f t="shared" ca="1" si="350"/>
        <v>0</v>
      </c>
      <c r="V790" s="306">
        <f t="shared" ca="1" si="351"/>
        <v>1.2258466078365544</v>
      </c>
      <c r="W790" s="304">
        <f t="shared" ca="1" si="352"/>
        <v>38.795300061675427</v>
      </c>
      <c r="Y790" s="314" t="str">
        <f t="shared" ca="1" si="370"/>
        <v/>
      </c>
      <c r="Z790" s="315" t="str">
        <f t="shared" ca="1" si="371"/>
        <v/>
      </c>
      <c r="AA790" s="316" t="str">
        <f t="shared" ca="1" si="372"/>
        <v/>
      </c>
      <c r="AC790" s="310" t="e">
        <f t="shared" ca="1" si="373"/>
        <v>#N/A</v>
      </c>
      <c r="AD790" s="323" t="e">
        <f t="shared" ca="1" si="374"/>
        <v>#N/A</v>
      </c>
      <c r="AE790" s="324" t="e">
        <f t="shared" ca="1" si="353"/>
        <v>#N/A</v>
      </c>
      <c r="AG790" s="306">
        <f t="shared" ca="1" si="375"/>
        <v>0.84644003457963635</v>
      </c>
      <c r="AH790" s="304">
        <f t="shared" ca="1" si="376"/>
        <v>-8.9369259047266318</v>
      </c>
    </row>
    <row r="791" spans="1:34" x14ac:dyDescent="0.2">
      <c r="A791" s="347">
        <f t="shared" ca="1" si="354"/>
        <v>1E-4</v>
      </c>
      <c r="B791" s="304">
        <f t="shared" ca="1" si="355"/>
        <v>28.641100000000044</v>
      </c>
      <c r="D791" s="306">
        <f t="shared" ca="1" si="356"/>
        <v>-0.65809597925276708</v>
      </c>
      <c r="E791" s="307">
        <f t="shared" ca="1" si="357"/>
        <v>-0.89731323088202863</v>
      </c>
      <c r="F791" s="304">
        <f t="shared" ca="1" si="358"/>
        <v>1.1127719228236321</v>
      </c>
      <c r="G791" s="306">
        <f t="shared" ca="1" si="359"/>
        <v>7.2727098510658204</v>
      </c>
      <c r="H791" s="307">
        <f t="shared" ca="1" si="360"/>
        <v>-98.496317407961811</v>
      </c>
      <c r="I791" s="304">
        <f t="shared" ca="1" si="361"/>
        <v>98.764451355271305</v>
      </c>
      <c r="J791" s="306">
        <f t="shared" ca="1" si="362"/>
        <v>678.53524446899166</v>
      </c>
      <c r="K791" s="307">
        <f t="shared" ca="1" si="363"/>
        <v>-6.9185466778759297</v>
      </c>
      <c r="L791" s="304">
        <f t="shared" ca="1" si="348"/>
        <v>678.57051532963635</v>
      </c>
      <c r="M791" s="306">
        <f t="shared" ca="1" si="364"/>
        <v>-1.4970926973418861</v>
      </c>
      <c r="N791" s="304">
        <f t="shared" ca="1" si="365"/>
        <v>-85.777093097546398</v>
      </c>
      <c r="P791" s="310">
        <f t="shared" ca="1" si="366"/>
        <v>23</v>
      </c>
      <c r="Q791" s="304">
        <f t="shared" ca="1" si="367"/>
        <v>0</v>
      </c>
      <c r="R791" s="306">
        <f t="shared" ca="1" si="368"/>
        <v>0</v>
      </c>
      <c r="S791" s="307">
        <f t="shared" ca="1" si="369"/>
        <v>4.341000000000002</v>
      </c>
      <c r="T791" s="304">
        <f t="shared" ca="1" si="349"/>
        <v>42.585210000000025</v>
      </c>
      <c r="U791" s="311">
        <f t="shared" ca="1" si="350"/>
        <v>0</v>
      </c>
      <c r="V791" s="306">
        <f t="shared" ca="1" si="351"/>
        <v>1.2258478152505092</v>
      </c>
      <c r="W791" s="304">
        <f t="shared" ca="1" si="352"/>
        <v>38.79540476933952</v>
      </c>
      <c r="Y791" s="314" t="str">
        <f t="shared" ca="1" si="370"/>
        <v/>
      </c>
      <c r="Z791" s="315" t="str">
        <f t="shared" ca="1" si="371"/>
        <v/>
      </c>
      <c r="AA791" s="316" t="str">
        <f t="shared" ca="1" si="372"/>
        <v/>
      </c>
      <c r="AC791" s="310" t="e">
        <f t="shared" ca="1" si="373"/>
        <v>#N/A</v>
      </c>
      <c r="AD791" s="323" t="e">
        <f t="shared" ca="1" si="374"/>
        <v>#N/A</v>
      </c>
      <c r="AE791" s="324" t="e">
        <f t="shared" ca="1" si="353"/>
        <v>#N/A</v>
      </c>
      <c r="AG791" s="306">
        <f t="shared" ca="1" si="375"/>
        <v>0.84641644195765053</v>
      </c>
      <c r="AH791" s="304">
        <f t="shared" ca="1" si="376"/>
        <v>-8.9369500257257339</v>
      </c>
    </row>
    <row r="792" spans="1:34" x14ac:dyDescent="0.2">
      <c r="A792" s="347">
        <f t="shared" ca="1" si="354"/>
        <v>1E-4</v>
      </c>
      <c r="B792" s="304">
        <f t="shared" ca="1" si="355"/>
        <v>28.641200000000044</v>
      </c>
      <c r="D792" s="306">
        <f t="shared" ca="1" si="356"/>
        <v>-0.6580912364828162</v>
      </c>
      <c r="E792" s="307">
        <f t="shared" ca="1" si="357"/>
        <v>-0.89728869439083425</v>
      </c>
      <c r="F792" s="304">
        <f t="shared" ca="1" si="358"/>
        <v>1.1127493323372923</v>
      </c>
      <c r="G792" s="306">
        <f t="shared" ca="1" si="359"/>
        <v>7.2726440419421721</v>
      </c>
      <c r="H792" s="307">
        <f t="shared" ca="1" si="360"/>
        <v>-98.496407136831252</v>
      </c>
      <c r="I792" s="304">
        <f t="shared" ca="1" si="361"/>
        <v>98.764535994582687</v>
      </c>
      <c r="J792" s="306">
        <f t="shared" ca="1" si="362"/>
        <v>678.53524446899166</v>
      </c>
      <c r="K792" s="307">
        <f t="shared" ca="1" si="363"/>
        <v>-6.9283963141031695</v>
      </c>
      <c r="L792" s="304">
        <f t="shared" ca="1" si="348"/>
        <v>678.57061582570725</v>
      </c>
      <c r="M792" s="306">
        <f t="shared" ca="1" si="364"/>
        <v>-1.4970934287564195</v>
      </c>
      <c r="N792" s="304">
        <f t="shared" ca="1" si="365"/>
        <v>-85.777135004512232</v>
      </c>
      <c r="P792" s="310">
        <f t="shared" ca="1" si="366"/>
        <v>23</v>
      </c>
      <c r="Q792" s="304">
        <f t="shared" ca="1" si="367"/>
        <v>0</v>
      </c>
      <c r="R792" s="306">
        <f t="shared" ca="1" si="368"/>
        <v>0</v>
      </c>
      <c r="S792" s="307">
        <f t="shared" ca="1" si="369"/>
        <v>4.341000000000002</v>
      </c>
      <c r="T792" s="304">
        <f t="shared" ca="1" si="349"/>
        <v>42.585210000000025</v>
      </c>
      <c r="U792" s="311">
        <f t="shared" ca="1" si="350"/>
        <v>0</v>
      </c>
      <c r="V792" s="306">
        <f t="shared" ca="1" si="351"/>
        <v>1.2258490226667533</v>
      </c>
      <c r="W792" s="304">
        <f t="shared" ca="1" si="352"/>
        <v>38.795509475410583</v>
      </c>
      <c r="Y792" s="314" t="str">
        <f t="shared" ca="1" si="370"/>
        <v/>
      </c>
      <c r="Z792" s="315" t="str">
        <f t="shared" ca="1" si="371"/>
        <v/>
      </c>
      <c r="AA792" s="316" t="str">
        <f t="shared" ca="1" si="372"/>
        <v/>
      </c>
      <c r="AC792" s="310" t="e">
        <f t="shared" ca="1" si="373"/>
        <v>#N/A</v>
      </c>
      <c r="AD792" s="323" t="e">
        <f t="shared" ca="1" si="374"/>
        <v>#N/A</v>
      </c>
      <c r="AE792" s="324" t="e">
        <f t="shared" ca="1" si="353"/>
        <v>#N/A</v>
      </c>
      <c r="AG792" s="306">
        <f t="shared" ca="1" si="375"/>
        <v>0.84639284969171236</v>
      </c>
      <c r="AH792" s="304">
        <f t="shared" ca="1" si="376"/>
        <v>-8.9369741463578674</v>
      </c>
    </row>
    <row r="793" spans="1:34" x14ac:dyDescent="0.2">
      <c r="A793" s="347">
        <f t="shared" ca="1" si="354"/>
        <v>1E-4</v>
      </c>
      <c r="B793" s="304">
        <f t="shared" ca="1" si="355"/>
        <v>28.641300000000044</v>
      </c>
      <c r="D793" s="306">
        <f t="shared" ca="1" si="356"/>
        <v>-0.65808649372046424</v>
      </c>
      <c r="E793" s="307">
        <f t="shared" ca="1" si="357"/>
        <v>-0.89726415827296435</v>
      </c>
      <c r="F793" s="304">
        <f t="shared" ca="1" si="358"/>
        <v>1.1127267422591163</v>
      </c>
      <c r="G793" s="306">
        <f t="shared" ca="1" si="359"/>
        <v>7.2725782332928004</v>
      </c>
      <c r="H793" s="307">
        <f t="shared" ca="1" si="360"/>
        <v>-98.496496863247074</v>
      </c>
      <c r="I793" s="304">
        <f t="shared" ca="1" si="361"/>
        <v>98.764620631534868</v>
      </c>
      <c r="J793" s="306">
        <f t="shared" ca="1" si="362"/>
        <v>678.53524446899166</v>
      </c>
      <c r="K793" s="307">
        <f t="shared" ca="1" si="363"/>
        <v>-6.9382459593031731</v>
      </c>
      <c r="L793" s="304">
        <f t="shared" ca="1" si="348"/>
        <v>678.57071646482507</v>
      </c>
      <c r="M793" s="306">
        <f t="shared" ca="1" si="364"/>
        <v>-1.4970941601630809</v>
      </c>
      <c r="N793" s="304">
        <f t="shared" ca="1" si="365"/>
        <v>-85.777176911027041</v>
      </c>
      <c r="P793" s="310">
        <f t="shared" ca="1" si="366"/>
        <v>23</v>
      </c>
      <c r="Q793" s="304">
        <f t="shared" ca="1" si="367"/>
        <v>0</v>
      </c>
      <c r="R793" s="306">
        <f t="shared" ca="1" si="368"/>
        <v>0</v>
      </c>
      <c r="S793" s="307">
        <f t="shared" ca="1" si="369"/>
        <v>4.341000000000002</v>
      </c>
      <c r="T793" s="304">
        <f t="shared" ca="1" si="349"/>
        <v>42.585210000000025</v>
      </c>
      <c r="U793" s="311">
        <f t="shared" ca="1" si="350"/>
        <v>0</v>
      </c>
      <c r="V793" s="306">
        <f t="shared" ca="1" si="351"/>
        <v>1.2258502300852876</v>
      </c>
      <c r="W793" s="304">
        <f t="shared" ca="1" si="352"/>
        <v>38.795614179888666</v>
      </c>
      <c r="Y793" s="314" t="str">
        <f t="shared" ca="1" si="370"/>
        <v/>
      </c>
      <c r="Z793" s="315" t="str">
        <f t="shared" ca="1" si="371"/>
        <v/>
      </c>
      <c r="AA793" s="316" t="str">
        <f t="shared" ca="1" si="372"/>
        <v/>
      </c>
      <c r="AC793" s="310" t="e">
        <f t="shared" ca="1" si="373"/>
        <v>#N/A</v>
      </c>
      <c r="AD793" s="323" t="e">
        <f t="shared" ca="1" si="374"/>
        <v>#N/A</v>
      </c>
      <c r="AE793" s="324" t="e">
        <f t="shared" ca="1" si="353"/>
        <v>#N/A</v>
      </c>
      <c r="AG793" s="306">
        <f t="shared" ca="1" si="375"/>
        <v>0.84636925778182714</v>
      </c>
      <c r="AH793" s="304">
        <f t="shared" ca="1" si="376"/>
        <v>-8.9369982666230285</v>
      </c>
    </row>
    <row r="794" spans="1:34" x14ac:dyDescent="0.2">
      <c r="A794" s="347">
        <f t="shared" ca="1" si="354"/>
        <v>1E-4</v>
      </c>
      <c r="B794" s="304">
        <f t="shared" ca="1" si="355"/>
        <v>28.641400000000043</v>
      </c>
      <c r="D794" s="306">
        <f t="shared" ca="1" si="356"/>
        <v>-0.65808175096571142</v>
      </c>
      <c r="E794" s="307">
        <f t="shared" ca="1" si="357"/>
        <v>-0.89723962252841183</v>
      </c>
      <c r="F794" s="304">
        <f t="shared" ca="1" si="358"/>
        <v>1.1127041525890984</v>
      </c>
      <c r="G794" s="306">
        <f t="shared" ca="1" si="359"/>
        <v>7.2725124251177036</v>
      </c>
      <c r="H794" s="307">
        <f t="shared" ca="1" si="360"/>
        <v>-98.496586587209322</v>
      </c>
      <c r="I794" s="304">
        <f t="shared" ca="1" si="361"/>
        <v>98.764705266127905</v>
      </c>
      <c r="J794" s="306">
        <f t="shared" ca="1" si="362"/>
        <v>678.53524446899166</v>
      </c>
      <c r="K794" s="307">
        <f t="shared" ca="1" si="363"/>
        <v>-6.9480956134756964</v>
      </c>
      <c r="L794" s="304">
        <f t="shared" ca="1" si="348"/>
        <v>678.57081724699026</v>
      </c>
      <c r="M794" s="306">
        <f t="shared" ca="1" si="364"/>
        <v>-1.4970948915618705</v>
      </c>
      <c r="N794" s="304">
        <f t="shared" ca="1" si="365"/>
        <v>-85.777218817090827</v>
      </c>
      <c r="P794" s="310">
        <f t="shared" ca="1" si="366"/>
        <v>23</v>
      </c>
      <c r="Q794" s="304">
        <f t="shared" ca="1" si="367"/>
        <v>0</v>
      </c>
      <c r="R794" s="306">
        <f t="shared" ca="1" si="368"/>
        <v>0</v>
      </c>
      <c r="S794" s="307">
        <f t="shared" ca="1" si="369"/>
        <v>4.341000000000002</v>
      </c>
      <c r="T794" s="304">
        <f t="shared" ca="1" si="349"/>
        <v>42.585210000000025</v>
      </c>
      <c r="U794" s="311">
        <f t="shared" ca="1" si="350"/>
        <v>0</v>
      </c>
      <c r="V794" s="306">
        <f t="shared" ca="1" si="351"/>
        <v>1.2258514375061109</v>
      </c>
      <c r="W794" s="304">
        <f t="shared" ca="1" si="352"/>
        <v>38.795718882773777</v>
      </c>
      <c r="Y794" s="314" t="str">
        <f t="shared" ca="1" si="370"/>
        <v/>
      </c>
      <c r="Z794" s="315" t="str">
        <f t="shared" ca="1" si="371"/>
        <v/>
      </c>
      <c r="AA794" s="316" t="str">
        <f t="shared" ca="1" si="372"/>
        <v/>
      </c>
      <c r="AC794" s="310" t="e">
        <f t="shared" ca="1" si="373"/>
        <v>#N/A</v>
      </c>
      <c r="AD794" s="323" t="e">
        <f t="shared" ca="1" si="374"/>
        <v>#N/A</v>
      </c>
      <c r="AE794" s="324" t="e">
        <f t="shared" ca="1" si="353"/>
        <v>#N/A</v>
      </c>
      <c r="AG794" s="306">
        <f t="shared" ca="1" si="375"/>
        <v>0.84634566622798246</v>
      </c>
      <c r="AH794" s="304">
        <f t="shared" ca="1" si="376"/>
        <v>-8.9370223865212282</v>
      </c>
    </row>
    <row r="795" spans="1:34" x14ac:dyDescent="0.2">
      <c r="A795" s="347">
        <f t="shared" ca="1" si="354"/>
        <v>1E-4</v>
      </c>
      <c r="B795" s="304">
        <f t="shared" ca="1" si="355"/>
        <v>28.641500000000043</v>
      </c>
      <c r="D795" s="306">
        <f t="shared" ca="1" si="356"/>
        <v>-0.65807700821855919</v>
      </c>
      <c r="E795" s="307">
        <f t="shared" ca="1" si="357"/>
        <v>-0.89721508715717491</v>
      </c>
      <c r="F795" s="304">
        <f t="shared" ca="1" si="358"/>
        <v>1.112681563327238</v>
      </c>
      <c r="G795" s="306">
        <f t="shared" ca="1" si="359"/>
        <v>7.2724466174168816</v>
      </c>
      <c r="H795" s="307">
        <f t="shared" ca="1" si="360"/>
        <v>-98.496676308718037</v>
      </c>
      <c r="I795" s="304">
        <f t="shared" ca="1" si="361"/>
        <v>98.764789898361826</v>
      </c>
      <c r="J795" s="306">
        <f t="shared" ca="1" si="362"/>
        <v>678.53524446899166</v>
      </c>
      <c r="K795" s="307">
        <f t="shared" ca="1" si="363"/>
        <v>-6.9579452766204923</v>
      </c>
      <c r="L795" s="304">
        <f t="shared" ca="1" si="348"/>
        <v>678.57091817220305</v>
      </c>
      <c r="M795" s="306">
        <f t="shared" ca="1" si="364"/>
        <v>-1.4970956229527881</v>
      </c>
      <c r="N795" s="304">
        <f t="shared" ca="1" si="365"/>
        <v>-85.777260722703573</v>
      </c>
      <c r="P795" s="310">
        <f t="shared" ca="1" si="366"/>
        <v>23</v>
      </c>
      <c r="Q795" s="304">
        <f t="shared" ca="1" si="367"/>
        <v>0</v>
      </c>
      <c r="R795" s="306">
        <f t="shared" ca="1" si="368"/>
        <v>0</v>
      </c>
      <c r="S795" s="307">
        <f t="shared" ca="1" si="369"/>
        <v>4.341000000000002</v>
      </c>
      <c r="T795" s="304">
        <f t="shared" ca="1" si="349"/>
        <v>42.585210000000025</v>
      </c>
      <c r="U795" s="311">
        <f t="shared" ca="1" si="350"/>
        <v>0</v>
      </c>
      <c r="V795" s="306">
        <f t="shared" ca="1" si="351"/>
        <v>1.225852644929224</v>
      </c>
      <c r="W795" s="304">
        <f t="shared" ca="1" si="352"/>
        <v>38.795823584065936</v>
      </c>
      <c r="Y795" s="314" t="str">
        <f t="shared" ca="1" si="370"/>
        <v/>
      </c>
      <c r="Z795" s="315" t="str">
        <f t="shared" ca="1" si="371"/>
        <v/>
      </c>
      <c r="AA795" s="316" t="str">
        <f t="shared" ca="1" si="372"/>
        <v/>
      </c>
      <c r="AC795" s="310" t="e">
        <f t="shared" ca="1" si="373"/>
        <v>#N/A</v>
      </c>
      <c r="AD795" s="323" t="e">
        <f t="shared" ca="1" si="374"/>
        <v>#N/A</v>
      </c>
      <c r="AE795" s="324" t="e">
        <f t="shared" ca="1" si="353"/>
        <v>#N/A</v>
      </c>
      <c r="AG795" s="306">
        <f t="shared" ca="1" si="375"/>
        <v>0.84632207503018009</v>
      </c>
      <c r="AH795" s="304">
        <f t="shared" ca="1" si="376"/>
        <v>-8.9370465060524662</v>
      </c>
    </row>
    <row r="796" spans="1:34" x14ac:dyDescent="0.2">
      <c r="A796" s="347">
        <f t="shared" ca="1" si="354"/>
        <v>1E-4</v>
      </c>
      <c r="B796" s="304">
        <f t="shared" ca="1" si="355"/>
        <v>28.641600000000043</v>
      </c>
      <c r="D796" s="306">
        <f t="shared" ca="1" si="356"/>
        <v>-0.65807226547900932</v>
      </c>
      <c r="E796" s="307">
        <f t="shared" ca="1" si="357"/>
        <v>-0.89719055215924293</v>
      </c>
      <c r="F796" s="304">
        <f t="shared" ca="1" si="358"/>
        <v>1.112658974473528</v>
      </c>
      <c r="G796" s="306">
        <f t="shared" ca="1" si="359"/>
        <v>7.2723808101903336</v>
      </c>
      <c r="H796" s="307">
        <f t="shared" ca="1" si="360"/>
        <v>-98.496766027773248</v>
      </c>
      <c r="I796" s="304">
        <f t="shared" ca="1" si="361"/>
        <v>98.76487452823666</v>
      </c>
      <c r="J796" s="306">
        <f t="shared" ca="1" si="362"/>
        <v>678.53524446899166</v>
      </c>
      <c r="K796" s="307">
        <f t="shared" ca="1" si="363"/>
        <v>-6.9677949487373168</v>
      </c>
      <c r="L796" s="304">
        <f t="shared" ca="1" si="348"/>
        <v>678.57101924046378</v>
      </c>
      <c r="M796" s="306">
        <f t="shared" ca="1" si="364"/>
        <v>-1.4970963543358342</v>
      </c>
      <c r="N796" s="304">
        <f t="shared" ca="1" si="365"/>
        <v>-85.777302627865325</v>
      </c>
      <c r="P796" s="310">
        <f t="shared" ca="1" si="366"/>
        <v>23</v>
      </c>
      <c r="Q796" s="304">
        <f t="shared" ca="1" si="367"/>
        <v>0</v>
      </c>
      <c r="R796" s="306">
        <f t="shared" ca="1" si="368"/>
        <v>0</v>
      </c>
      <c r="S796" s="307">
        <f t="shared" ca="1" si="369"/>
        <v>4.341000000000002</v>
      </c>
      <c r="T796" s="304">
        <f t="shared" ca="1" si="349"/>
        <v>42.585210000000025</v>
      </c>
      <c r="U796" s="311">
        <f t="shared" ca="1" si="350"/>
        <v>0</v>
      </c>
      <c r="V796" s="306">
        <f t="shared" ca="1" si="351"/>
        <v>1.2258538523546265</v>
      </c>
      <c r="W796" s="304">
        <f t="shared" ca="1" si="352"/>
        <v>38.795928283765164</v>
      </c>
      <c r="Y796" s="314" t="str">
        <f t="shared" ca="1" si="370"/>
        <v/>
      </c>
      <c r="Z796" s="315" t="str">
        <f t="shared" ca="1" si="371"/>
        <v/>
      </c>
      <c r="AA796" s="316" t="str">
        <f t="shared" ca="1" si="372"/>
        <v/>
      </c>
      <c r="AC796" s="310" t="e">
        <f t="shared" ca="1" si="373"/>
        <v>#N/A</v>
      </c>
      <c r="AD796" s="323" t="e">
        <f t="shared" ca="1" si="374"/>
        <v>#N/A</v>
      </c>
      <c r="AE796" s="324" t="e">
        <f t="shared" ca="1" si="353"/>
        <v>#N/A</v>
      </c>
      <c r="AG796" s="306">
        <f t="shared" ca="1" si="375"/>
        <v>0.84629848418841114</v>
      </c>
      <c r="AH796" s="304">
        <f t="shared" ca="1" si="376"/>
        <v>-8.9370706252167516</v>
      </c>
    </row>
    <row r="797" spans="1:34" x14ac:dyDescent="0.2">
      <c r="A797" s="347">
        <f t="shared" ca="1" si="354"/>
        <v>1E-4</v>
      </c>
      <c r="B797" s="304">
        <f t="shared" ca="1" si="355"/>
        <v>28.641700000000043</v>
      </c>
      <c r="D797" s="306">
        <f t="shared" ca="1" si="356"/>
        <v>-0.6580675227470596</v>
      </c>
      <c r="E797" s="307">
        <f t="shared" ca="1" si="357"/>
        <v>-0.89716601753461767</v>
      </c>
      <c r="F797" s="304">
        <f t="shared" ca="1" si="358"/>
        <v>1.112636386027968</v>
      </c>
      <c r="G797" s="306">
        <f t="shared" ca="1" si="359"/>
        <v>7.2723150034380586</v>
      </c>
      <c r="H797" s="307">
        <f t="shared" ca="1" si="360"/>
        <v>-98.496855744374997</v>
      </c>
      <c r="I797" s="304">
        <f t="shared" ca="1" si="361"/>
        <v>98.764959155752436</v>
      </c>
      <c r="J797" s="306">
        <f t="shared" ca="1" si="362"/>
        <v>678.53524446899166</v>
      </c>
      <c r="K797" s="307">
        <f t="shared" ca="1" si="363"/>
        <v>-6.9776446298259245</v>
      </c>
      <c r="L797" s="304">
        <f t="shared" ca="1" si="348"/>
        <v>678.57112045177291</v>
      </c>
      <c r="M797" s="306">
        <f t="shared" ca="1" si="364"/>
        <v>-1.4970970857110086</v>
      </c>
      <c r="N797" s="304">
        <f t="shared" ca="1" si="365"/>
        <v>-85.777344532576052</v>
      </c>
      <c r="P797" s="310">
        <f t="shared" ca="1" si="366"/>
        <v>23</v>
      </c>
      <c r="Q797" s="304">
        <f t="shared" ca="1" si="367"/>
        <v>0</v>
      </c>
      <c r="R797" s="306">
        <f t="shared" ca="1" si="368"/>
        <v>0</v>
      </c>
      <c r="S797" s="307">
        <f t="shared" ca="1" si="369"/>
        <v>4.341000000000002</v>
      </c>
      <c r="T797" s="304">
        <f t="shared" ca="1" si="349"/>
        <v>42.585210000000025</v>
      </c>
      <c r="U797" s="311">
        <f t="shared" ca="1" si="350"/>
        <v>0</v>
      </c>
      <c r="V797" s="306">
        <f t="shared" ca="1" si="351"/>
        <v>1.2258550597823188</v>
      </c>
      <c r="W797" s="304">
        <f t="shared" ca="1" si="352"/>
        <v>38.79603298187147</v>
      </c>
      <c r="Y797" s="314" t="str">
        <f t="shared" ca="1" si="370"/>
        <v/>
      </c>
      <c r="Z797" s="315" t="str">
        <f t="shared" ca="1" si="371"/>
        <v/>
      </c>
      <c r="AA797" s="316" t="str">
        <f t="shared" ca="1" si="372"/>
        <v/>
      </c>
      <c r="AC797" s="310" t="e">
        <f t="shared" ca="1" si="373"/>
        <v>#N/A</v>
      </c>
      <c r="AD797" s="323" t="e">
        <f t="shared" ca="1" si="374"/>
        <v>#N/A</v>
      </c>
      <c r="AE797" s="324" t="e">
        <f t="shared" ca="1" si="353"/>
        <v>#N/A</v>
      </c>
      <c r="AG797" s="306">
        <f t="shared" ca="1" si="375"/>
        <v>0.84627489370267206</v>
      </c>
      <c r="AH797" s="304">
        <f t="shared" ca="1" si="376"/>
        <v>-8.937094744014086</v>
      </c>
    </row>
    <row r="798" spans="1:34" x14ac:dyDescent="0.2">
      <c r="A798" s="347">
        <f t="shared" ca="1" si="354"/>
        <v>1E-4</v>
      </c>
      <c r="B798" s="304">
        <f t="shared" ca="1" si="355"/>
        <v>28.641800000000043</v>
      </c>
      <c r="D798" s="306">
        <f t="shared" ca="1" si="356"/>
        <v>-0.65806278002271346</v>
      </c>
      <c r="E798" s="307">
        <f t="shared" ca="1" si="357"/>
        <v>-0.89714148328329379</v>
      </c>
      <c r="F798" s="304">
        <f t="shared" ca="1" si="358"/>
        <v>1.1126137979905564</v>
      </c>
      <c r="G798" s="306">
        <f t="shared" ca="1" si="359"/>
        <v>7.2722491971600567</v>
      </c>
      <c r="H798" s="307">
        <f t="shared" ca="1" si="360"/>
        <v>-98.496945458523328</v>
      </c>
      <c r="I798" s="304">
        <f t="shared" ca="1" si="361"/>
        <v>98.765043780909224</v>
      </c>
      <c r="J798" s="306">
        <f t="shared" ca="1" si="362"/>
        <v>678.53524446899166</v>
      </c>
      <c r="K798" s="307">
        <f t="shared" ca="1" si="363"/>
        <v>-6.9874943198860695</v>
      </c>
      <c r="L798" s="304">
        <f t="shared" ca="1" si="348"/>
        <v>678.57122180613044</v>
      </c>
      <c r="M798" s="306">
        <f t="shared" ca="1" si="364"/>
        <v>-1.4970978170783116</v>
      </c>
      <c r="N798" s="304">
        <f t="shared" ca="1" si="365"/>
        <v>-85.777386436835798</v>
      </c>
      <c r="P798" s="310">
        <f t="shared" ca="1" si="366"/>
        <v>23</v>
      </c>
      <c r="Q798" s="304">
        <f t="shared" ca="1" si="367"/>
        <v>0</v>
      </c>
      <c r="R798" s="306">
        <f t="shared" ca="1" si="368"/>
        <v>0</v>
      </c>
      <c r="S798" s="307">
        <f t="shared" ca="1" si="369"/>
        <v>4.341000000000002</v>
      </c>
      <c r="T798" s="304">
        <f t="shared" ca="1" si="349"/>
        <v>42.585210000000025</v>
      </c>
      <c r="U798" s="311">
        <f t="shared" ca="1" si="350"/>
        <v>0</v>
      </c>
      <c r="V798" s="306">
        <f t="shared" ca="1" si="351"/>
        <v>1.2258562672123001</v>
      </c>
      <c r="W798" s="304">
        <f t="shared" ca="1" si="352"/>
        <v>38.796137678384881</v>
      </c>
      <c r="Y798" s="314" t="str">
        <f t="shared" ca="1" si="370"/>
        <v/>
      </c>
      <c r="Z798" s="315" t="str">
        <f t="shared" ca="1" si="371"/>
        <v/>
      </c>
      <c r="AA798" s="316" t="str">
        <f t="shared" ca="1" si="372"/>
        <v/>
      </c>
      <c r="AC798" s="310" t="e">
        <f t="shared" ca="1" si="373"/>
        <v>#N/A</v>
      </c>
      <c r="AD798" s="323" t="e">
        <f t="shared" ca="1" si="374"/>
        <v>#N/A</v>
      </c>
      <c r="AE798" s="324" t="e">
        <f t="shared" ca="1" si="353"/>
        <v>#N/A</v>
      </c>
      <c r="AG798" s="306">
        <f t="shared" ca="1" si="375"/>
        <v>0.84625130357296108</v>
      </c>
      <c r="AH798" s="304">
        <f t="shared" ca="1" si="376"/>
        <v>-8.9371188624444713</v>
      </c>
    </row>
    <row r="799" spans="1:34" x14ac:dyDescent="0.2">
      <c r="A799" s="347">
        <f t="shared" ca="1" si="354"/>
        <v>1E-4</v>
      </c>
      <c r="B799" s="304">
        <f t="shared" ca="1" si="355"/>
        <v>28.641900000000042</v>
      </c>
      <c r="D799" s="306">
        <f t="shared" ca="1" si="356"/>
        <v>-0.65805803730597101</v>
      </c>
      <c r="E799" s="307">
        <f t="shared" ca="1" si="357"/>
        <v>-0.89711694940526421</v>
      </c>
      <c r="F799" s="304">
        <f t="shared" ca="1" si="358"/>
        <v>1.1125912103612872</v>
      </c>
      <c r="G799" s="306">
        <f t="shared" ca="1" si="359"/>
        <v>7.2721833913563261</v>
      </c>
      <c r="H799" s="307">
        <f t="shared" ca="1" si="360"/>
        <v>-98.497035170218268</v>
      </c>
      <c r="I799" s="304">
        <f t="shared" ca="1" si="361"/>
        <v>98.76512840370701</v>
      </c>
      <c r="J799" s="306">
        <f t="shared" ca="1" si="362"/>
        <v>678.53524446899166</v>
      </c>
      <c r="K799" s="307">
        <f t="shared" ca="1" si="363"/>
        <v>-6.9973440189175067</v>
      </c>
      <c r="L799" s="304">
        <f t="shared" ca="1" si="348"/>
        <v>678.57132330353704</v>
      </c>
      <c r="M799" s="306">
        <f t="shared" ca="1" si="364"/>
        <v>-1.4970985484377433</v>
      </c>
      <c r="N799" s="304">
        <f t="shared" ca="1" si="365"/>
        <v>-85.777428340644533</v>
      </c>
      <c r="P799" s="310">
        <f t="shared" ca="1" si="366"/>
        <v>23</v>
      </c>
      <c r="Q799" s="304">
        <f t="shared" ca="1" si="367"/>
        <v>0</v>
      </c>
      <c r="R799" s="306">
        <f t="shared" ca="1" si="368"/>
        <v>0</v>
      </c>
      <c r="S799" s="307">
        <f t="shared" ca="1" si="369"/>
        <v>4.341000000000002</v>
      </c>
      <c r="T799" s="304">
        <f t="shared" ca="1" si="349"/>
        <v>42.585210000000025</v>
      </c>
      <c r="U799" s="311">
        <f t="shared" ca="1" si="350"/>
        <v>0</v>
      </c>
      <c r="V799" s="306">
        <f t="shared" ca="1" si="351"/>
        <v>1.2258574746445712</v>
      </c>
      <c r="W799" s="304">
        <f t="shared" ca="1" si="352"/>
        <v>38.796242373305404</v>
      </c>
      <c r="Y799" s="314" t="str">
        <f t="shared" ca="1" si="370"/>
        <v/>
      </c>
      <c r="Z799" s="315" t="str">
        <f t="shared" ca="1" si="371"/>
        <v/>
      </c>
      <c r="AA799" s="316" t="str">
        <f t="shared" ca="1" si="372"/>
        <v/>
      </c>
      <c r="AC799" s="310" t="e">
        <f t="shared" ca="1" si="373"/>
        <v>#N/A</v>
      </c>
      <c r="AD799" s="323" t="e">
        <f t="shared" ca="1" si="374"/>
        <v>#N/A</v>
      </c>
      <c r="AE799" s="324" t="e">
        <f t="shared" ca="1" si="353"/>
        <v>#N/A</v>
      </c>
      <c r="AG799" s="306">
        <f t="shared" ca="1" si="375"/>
        <v>0.84622771379927464</v>
      </c>
      <c r="AH799" s="304">
        <f t="shared" ca="1" si="376"/>
        <v>-8.9371429805079163</v>
      </c>
    </row>
    <row r="800" spans="1:34" x14ac:dyDescent="0.2">
      <c r="A800" s="347">
        <f t="shared" ca="1" si="354"/>
        <v>1E-4</v>
      </c>
      <c r="B800" s="304">
        <f t="shared" ca="1" si="355"/>
        <v>28.642000000000042</v>
      </c>
      <c r="D800" s="306">
        <f t="shared" ca="1" si="356"/>
        <v>-0.65805329459683137</v>
      </c>
      <c r="E800" s="307">
        <f t="shared" ca="1" si="357"/>
        <v>-0.89709241590053068</v>
      </c>
      <c r="F800" s="304">
        <f t="shared" ca="1" si="358"/>
        <v>1.1125686231401615</v>
      </c>
      <c r="G800" s="306">
        <f t="shared" ca="1" si="359"/>
        <v>7.2721175860268668</v>
      </c>
      <c r="H800" s="307">
        <f t="shared" ca="1" si="360"/>
        <v>-98.497124879459861</v>
      </c>
      <c r="I800" s="304">
        <f t="shared" ca="1" si="361"/>
        <v>98.765213024145865</v>
      </c>
      <c r="J800" s="306">
        <f t="shared" ca="1" si="362"/>
        <v>678.53524446899166</v>
      </c>
      <c r="K800" s="307">
        <f t="shared" ca="1" si="363"/>
        <v>-7.0071937269199909</v>
      </c>
      <c r="L800" s="304">
        <f t="shared" ca="1" si="348"/>
        <v>678.57142494399284</v>
      </c>
      <c r="M800" s="306">
        <f t="shared" ca="1" si="364"/>
        <v>-1.4970992797893039</v>
      </c>
      <c r="N800" s="304">
        <f t="shared" ca="1" si="365"/>
        <v>-85.777470244002302</v>
      </c>
      <c r="P800" s="310">
        <f t="shared" ca="1" si="366"/>
        <v>23</v>
      </c>
      <c r="Q800" s="304">
        <f t="shared" ca="1" si="367"/>
        <v>0</v>
      </c>
      <c r="R800" s="306">
        <f t="shared" ca="1" si="368"/>
        <v>0</v>
      </c>
      <c r="S800" s="307">
        <f t="shared" ca="1" si="369"/>
        <v>4.341000000000002</v>
      </c>
      <c r="T800" s="304">
        <f t="shared" ca="1" si="349"/>
        <v>42.585210000000025</v>
      </c>
      <c r="U800" s="311">
        <f t="shared" ca="1" si="350"/>
        <v>0</v>
      </c>
      <c r="V800" s="306">
        <f t="shared" ca="1" si="351"/>
        <v>1.2258586820791317</v>
      </c>
      <c r="W800" s="304">
        <f t="shared" ca="1" si="352"/>
        <v>38.796347066633054</v>
      </c>
      <c r="Y800" s="314" t="str">
        <f t="shared" ca="1" si="370"/>
        <v/>
      </c>
      <c r="Z800" s="315" t="str">
        <f t="shared" ca="1" si="371"/>
        <v/>
      </c>
      <c r="AA800" s="316" t="str">
        <f t="shared" ca="1" si="372"/>
        <v/>
      </c>
      <c r="AC800" s="310" t="e">
        <f t="shared" ca="1" si="373"/>
        <v>#N/A</v>
      </c>
      <c r="AD800" s="323" t="e">
        <f t="shared" ca="1" si="374"/>
        <v>#N/A</v>
      </c>
      <c r="AE800" s="324" t="e">
        <f t="shared" ca="1" si="353"/>
        <v>#N/A</v>
      </c>
      <c r="AG800" s="306">
        <f t="shared" ca="1" si="375"/>
        <v>0.84620412438161097</v>
      </c>
      <c r="AH800" s="304">
        <f t="shared" ca="1" si="376"/>
        <v>-8.9371670982044193</v>
      </c>
    </row>
    <row r="801" spans="1:34" x14ac:dyDescent="0.2">
      <c r="A801" s="347">
        <f t="shared" ca="1" si="354"/>
        <v>1E-4</v>
      </c>
      <c r="B801" s="304">
        <f t="shared" ca="1" si="355"/>
        <v>28.642100000000042</v>
      </c>
      <c r="D801" s="306">
        <f t="shared" ca="1" si="356"/>
        <v>-0.65804855189529454</v>
      </c>
      <c r="E801" s="307">
        <f t="shared" ca="1" si="357"/>
        <v>-0.89706788276908433</v>
      </c>
      <c r="F801" s="304">
        <f t="shared" ca="1" si="358"/>
        <v>1.1125460363271722</v>
      </c>
      <c r="G801" s="306">
        <f t="shared" ca="1" si="359"/>
        <v>7.2720517811716769</v>
      </c>
      <c r="H801" s="307">
        <f t="shared" ca="1" si="360"/>
        <v>-98.497214586248134</v>
      </c>
      <c r="I801" s="304">
        <f t="shared" ca="1" si="361"/>
        <v>98.765297642225804</v>
      </c>
      <c r="J801" s="306">
        <f t="shared" ca="1" si="362"/>
        <v>678.53524446899166</v>
      </c>
      <c r="K801" s="307">
        <f t="shared" ca="1" si="363"/>
        <v>-7.0170434438932761</v>
      </c>
      <c r="L801" s="304">
        <f t="shared" ca="1" si="348"/>
        <v>678.57152672749817</v>
      </c>
      <c r="M801" s="306">
        <f t="shared" ca="1" si="364"/>
        <v>-1.4971000111329931</v>
      </c>
      <c r="N801" s="304">
        <f t="shared" ca="1" si="365"/>
        <v>-85.777512146909061</v>
      </c>
      <c r="P801" s="310">
        <f t="shared" ca="1" si="366"/>
        <v>23</v>
      </c>
      <c r="Q801" s="304">
        <f t="shared" ca="1" si="367"/>
        <v>0</v>
      </c>
      <c r="R801" s="306">
        <f t="shared" ca="1" si="368"/>
        <v>0</v>
      </c>
      <c r="S801" s="307">
        <f t="shared" ca="1" si="369"/>
        <v>4.341000000000002</v>
      </c>
      <c r="T801" s="304">
        <f t="shared" ca="1" si="349"/>
        <v>42.585210000000025</v>
      </c>
      <c r="U801" s="311">
        <f t="shared" ca="1" si="350"/>
        <v>0</v>
      </c>
      <c r="V801" s="306">
        <f t="shared" ca="1" si="351"/>
        <v>1.2258598895159818</v>
      </c>
      <c r="W801" s="304">
        <f t="shared" ca="1" si="352"/>
        <v>38.796451758367859</v>
      </c>
      <c r="Y801" s="314" t="str">
        <f t="shared" ca="1" si="370"/>
        <v/>
      </c>
      <c r="Z801" s="315" t="str">
        <f t="shared" ca="1" si="371"/>
        <v/>
      </c>
      <c r="AA801" s="316" t="str">
        <f t="shared" ca="1" si="372"/>
        <v/>
      </c>
      <c r="AC801" s="310" t="e">
        <f t="shared" ca="1" si="373"/>
        <v>#N/A</v>
      </c>
      <c r="AD801" s="323" t="e">
        <f t="shared" ca="1" si="374"/>
        <v>#N/A</v>
      </c>
      <c r="AE801" s="324" t="e">
        <f t="shared" ca="1" si="353"/>
        <v>#N/A</v>
      </c>
      <c r="AG801" s="306">
        <f t="shared" ca="1" si="375"/>
        <v>0.84618053531996473</v>
      </c>
      <c r="AH801" s="304">
        <f t="shared" ca="1" si="376"/>
        <v>-8.9371912155339874</v>
      </c>
    </row>
    <row r="802" spans="1:34" x14ac:dyDescent="0.2">
      <c r="A802" s="347">
        <f t="shared" ca="1" si="354"/>
        <v>1E-4</v>
      </c>
      <c r="B802" s="304">
        <f t="shared" ca="1" si="355"/>
        <v>28.642200000000042</v>
      </c>
      <c r="D802" s="306">
        <f t="shared" ca="1" si="356"/>
        <v>-0.65804380920136607</v>
      </c>
      <c r="E802" s="307">
        <f t="shared" ca="1" si="357"/>
        <v>-0.89704335001092517</v>
      </c>
      <c r="F802" s="304">
        <f t="shared" ca="1" si="358"/>
        <v>1.1125234499223229</v>
      </c>
      <c r="G802" s="306">
        <f t="shared" ca="1" si="359"/>
        <v>7.2719859767907566</v>
      </c>
      <c r="H802" s="307">
        <f t="shared" ca="1" si="360"/>
        <v>-98.497304290583131</v>
      </c>
      <c r="I802" s="304">
        <f t="shared" ca="1" si="361"/>
        <v>98.765382257946882</v>
      </c>
      <c r="J802" s="306">
        <f t="shared" ca="1" si="362"/>
        <v>678.53524446899166</v>
      </c>
      <c r="K802" s="307">
        <f t="shared" ca="1" si="363"/>
        <v>-7.026893169837118</v>
      </c>
      <c r="L802" s="304">
        <f t="shared" ca="1" si="348"/>
        <v>678.57162865405337</v>
      </c>
      <c r="M802" s="306">
        <f t="shared" ca="1" si="364"/>
        <v>-1.4971007424688114</v>
      </c>
      <c r="N802" s="304">
        <f t="shared" ca="1" si="365"/>
        <v>-85.777554049364866</v>
      </c>
      <c r="P802" s="310">
        <f t="shared" ca="1" si="366"/>
        <v>23</v>
      </c>
      <c r="Q802" s="304">
        <f t="shared" ca="1" si="367"/>
        <v>0</v>
      </c>
      <c r="R802" s="306">
        <f t="shared" ca="1" si="368"/>
        <v>0</v>
      </c>
      <c r="S802" s="307">
        <f t="shared" ca="1" si="369"/>
        <v>4.341000000000002</v>
      </c>
      <c r="T802" s="304">
        <f t="shared" ca="1" si="349"/>
        <v>42.585210000000025</v>
      </c>
      <c r="U802" s="311">
        <f t="shared" ca="1" si="350"/>
        <v>0</v>
      </c>
      <c r="V802" s="306">
        <f t="shared" ca="1" si="351"/>
        <v>1.2258610969551207</v>
      </c>
      <c r="W802" s="304">
        <f t="shared" ca="1" si="352"/>
        <v>38.796556448509826</v>
      </c>
      <c r="Y802" s="314" t="str">
        <f t="shared" ca="1" si="370"/>
        <v/>
      </c>
      <c r="Z802" s="315" t="str">
        <f t="shared" ca="1" si="371"/>
        <v/>
      </c>
      <c r="AA802" s="316" t="str">
        <f t="shared" ca="1" si="372"/>
        <v/>
      </c>
      <c r="AC802" s="310" t="e">
        <f t="shared" ca="1" si="373"/>
        <v>#N/A</v>
      </c>
      <c r="AD802" s="323" t="e">
        <f t="shared" ca="1" si="374"/>
        <v>#N/A</v>
      </c>
      <c r="AE802" s="324" t="e">
        <f t="shared" ca="1" si="353"/>
        <v>#N/A</v>
      </c>
      <c r="AG802" s="306">
        <f t="shared" ca="1" si="375"/>
        <v>0.84615694661433061</v>
      </c>
      <c r="AH802" s="304">
        <f t="shared" ca="1" si="376"/>
        <v>-8.9372153324966224</v>
      </c>
    </row>
    <row r="803" spans="1:34" x14ac:dyDescent="0.2">
      <c r="A803" s="347">
        <f t="shared" ca="1" si="354"/>
        <v>1E-4</v>
      </c>
      <c r="B803" s="304">
        <f t="shared" ca="1" si="355"/>
        <v>28.642300000000041</v>
      </c>
      <c r="D803" s="306">
        <f t="shared" ca="1" si="356"/>
        <v>-0.65803906651504196</v>
      </c>
      <c r="E803" s="307">
        <f t="shared" ca="1" si="357"/>
        <v>-0.89701881762604607</v>
      </c>
      <c r="F803" s="304">
        <f t="shared" ca="1" si="358"/>
        <v>1.1125008639256049</v>
      </c>
      <c r="G803" s="306">
        <f t="shared" ca="1" si="359"/>
        <v>7.271920172884105</v>
      </c>
      <c r="H803" s="307">
        <f t="shared" ca="1" si="360"/>
        <v>-98.497393992464893</v>
      </c>
      <c r="I803" s="304">
        <f t="shared" ca="1" si="361"/>
        <v>98.765466871309101</v>
      </c>
      <c r="J803" s="306">
        <f t="shared" ca="1" si="362"/>
        <v>678.53524446899166</v>
      </c>
      <c r="K803" s="307">
        <f t="shared" ca="1" si="363"/>
        <v>-7.0367429047512706</v>
      </c>
      <c r="L803" s="304">
        <f t="shared" ca="1" si="348"/>
        <v>678.5717307236589</v>
      </c>
      <c r="M803" s="306">
        <f t="shared" ca="1" si="364"/>
        <v>-1.497101473796759</v>
      </c>
      <c r="N803" s="304">
        <f t="shared" ca="1" si="365"/>
        <v>-85.77759595136969</v>
      </c>
      <c r="P803" s="310">
        <f t="shared" ca="1" si="366"/>
        <v>23</v>
      </c>
      <c r="Q803" s="304">
        <f t="shared" ca="1" si="367"/>
        <v>0</v>
      </c>
      <c r="R803" s="306">
        <f t="shared" ca="1" si="368"/>
        <v>0</v>
      </c>
      <c r="S803" s="307">
        <f t="shared" ca="1" si="369"/>
        <v>4.341000000000002</v>
      </c>
      <c r="T803" s="304">
        <f t="shared" ca="1" si="349"/>
        <v>42.585210000000025</v>
      </c>
      <c r="U803" s="311">
        <f t="shared" ca="1" si="350"/>
        <v>0</v>
      </c>
      <c r="V803" s="306">
        <f t="shared" ca="1" si="351"/>
        <v>1.2258623043965493</v>
      </c>
      <c r="W803" s="304">
        <f t="shared" ca="1" si="352"/>
        <v>38.796661137058969</v>
      </c>
      <c r="Y803" s="314" t="str">
        <f t="shared" ca="1" si="370"/>
        <v/>
      </c>
      <c r="Z803" s="315" t="str">
        <f t="shared" ca="1" si="371"/>
        <v/>
      </c>
      <c r="AA803" s="316" t="str">
        <f t="shared" ca="1" si="372"/>
        <v/>
      </c>
      <c r="AC803" s="310" t="e">
        <f t="shared" ca="1" si="373"/>
        <v>#N/A</v>
      </c>
      <c r="AD803" s="323" t="e">
        <f t="shared" ca="1" si="374"/>
        <v>#N/A</v>
      </c>
      <c r="AE803" s="324" t="e">
        <f t="shared" ca="1" si="353"/>
        <v>#N/A</v>
      </c>
      <c r="AG803" s="306">
        <f t="shared" ca="1" si="375"/>
        <v>0.84613335826470504</v>
      </c>
      <c r="AH803" s="304">
        <f t="shared" ca="1" si="376"/>
        <v>-8.9372394490923313</v>
      </c>
    </row>
    <row r="804" spans="1:34" x14ac:dyDescent="0.2">
      <c r="A804" s="347">
        <f t="shared" ca="1" si="354"/>
        <v>1E-4</v>
      </c>
      <c r="B804" s="304">
        <f t="shared" ca="1" si="355"/>
        <v>28.642400000000041</v>
      </c>
      <c r="D804" s="306">
        <f t="shared" ca="1" si="356"/>
        <v>-0.65803432383632321</v>
      </c>
      <c r="E804" s="307">
        <f t="shared" ca="1" si="357"/>
        <v>-0.89699428561444883</v>
      </c>
      <c r="F804" s="304">
        <f t="shared" ca="1" si="358"/>
        <v>1.1124782783370211</v>
      </c>
      <c r="G804" s="306">
        <f t="shared" ca="1" si="359"/>
        <v>7.271854369451721</v>
      </c>
      <c r="H804" s="307">
        <f t="shared" ca="1" si="360"/>
        <v>-98.49748369189345</v>
      </c>
      <c r="I804" s="304">
        <f t="shared" ca="1" si="361"/>
        <v>98.765551482312546</v>
      </c>
      <c r="J804" s="306">
        <f t="shared" ca="1" si="362"/>
        <v>678.53524446899166</v>
      </c>
      <c r="K804" s="307">
        <f t="shared" ca="1" si="363"/>
        <v>-7.0465926486354888</v>
      </c>
      <c r="L804" s="304">
        <f t="shared" ca="1" si="348"/>
        <v>678.57183293631488</v>
      </c>
      <c r="M804" s="306">
        <f t="shared" ca="1" si="364"/>
        <v>-1.4971022051168354</v>
      </c>
      <c r="N804" s="304">
        <f t="shared" ca="1" si="365"/>
        <v>-85.777637852923547</v>
      </c>
      <c r="P804" s="310">
        <f t="shared" ca="1" si="366"/>
        <v>23</v>
      </c>
      <c r="Q804" s="304">
        <f t="shared" ca="1" si="367"/>
        <v>0</v>
      </c>
      <c r="R804" s="306">
        <f t="shared" ca="1" si="368"/>
        <v>0</v>
      </c>
      <c r="S804" s="307">
        <f t="shared" ca="1" si="369"/>
        <v>4.341000000000002</v>
      </c>
      <c r="T804" s="304">
        <f t="shared" ca="1" si="349"/>
        <v>42.585210000000025</v>
      </c>
      <c r="U804" s="311">
        <f t="shared" ca="1" si="350"/>
        <v>0</v>
      </c>
      <c r="V804" s="306">
        <f t="shared" ca="1" si="351"/>
        <v>1.2258635118402672</v>
      </c>
      <c r="W804" s="304">
        <f t="shared" ca="1" si="352"/>
        <v>38.796765824015338</v>
      </c>
      <c r="Y804" s="314" t="str">
        <f t="shared" ca="1" si="370"/>
        <v/>
      </c>
      <c r="Z804" s="315" t="str">
        <f t="shared" ca="1" si="371"/>
        <v/>
      </c>
      <c r="AA804" s="316" t="str">
        <f t="shared" ca="1" si="372"/>
        <v/>
      </c>
      <c r="AC804" s="310" t="e">
        <f t="shared" ca="1" si="373"/>
        <v>#N/A</v>
      </c>
      <c r="AD804" s="323" t="e">
        <f t="shared" ca="1" si="374"/>
        <v>#N/A</v>
      </c>
      <c r="AE804" s="324" t="e">
        <f t="shared" ca="1" si="353"/>
        <v>#N/A</v>
      </c>
      <c r="AG804" s="306">
        <f t="shared" ca="1" si="375"/>
        <v>0.84610977027109158</v>
      </c>
      <c r="AH804" s="304">
        <f t="shared" ca="1" si="376"/>
        <v>-8.9372635653211123</v>
      </c>
    </row>
    <row r="805" spans="1:34" x14ac:dyDescent="0.2">
      <c r="A805" s="347">
        <f t="shared" ca="1" si="354"/>
        <v>1E-4</v>
      </c>
      <c r="B805" s="304">
        <f t="shared" ca="1" si="355"/>
        <v>28.642500000000041</v>
      </c>
      <c r="D805" s="306">
        <f t="shared" ca="1" si="356"/>
        <v>-0.65802958116521471</v>
      </c>
      <c r="E805" s="307">
        <f t="shared" ca="1" si="357"/>
        <v>-0.89696975397611567</v>
      </c>
      <c r="F805" s="304">
        <f t="shared" ca="1" si="358"/>
        <v>1.1124556931565595</v>
      </c>
      <c r="G805" s="306">
        <f t="shared" ca="1" si="359"/>
        <v>7.2717885664936048</v>
      </c>
      <c r="H805" s="307">
        <f t="shared" ca="1" si="360"/>
        <v>-98.497573388868844</v>
      </c>
      <c r="I805" s="304">
        <f t="shared" ca="1" si="361"/>
        <v>98.765636090957216</v>
      </c>
      <c r="J805" s="306">
        <f t="shared" ca="1" si="362"/>
        <v>678.53524446899166</v>
      </c>
      <c r="K805" s="307">
        <f t="shared" ca="1" si="363"/>
        <v>-7.0564424014895266</v>
      </c>
      <c r="L805" s="304">
        <f t="shared" ca="1" si="348"/>
        <v>678.57193529202175</v>
      </c>
      <c r="M805" s="306">
        <f t="shared" ca="1" si="364"/>
        <v>-1.4971029364290414</v>
      </c>
      <c r="N805" s="304">
        <f t="shared" ca="1" si="365"/>
        <v>-85.777679754026451</v>
      </c>
      <c r="P805" s="310">
        <f t="shared" ca="1" si="366"/>
        <v>23</v>
      </c>
      <c r="Q805" s="304">
        <f t="shared" ca="1" si="367"/>
        <v>0</v>
      </c>
      <c r="R805" s="306">
        <f t="shared" ca="1" si="368"/>
        <v>0</v>
      </c>
      <c r="S805" s="307">
        <f t="shared" ca="1" si="369"/>
        <v>4.341000000000002</v>
      </c>
      <c r="T805" s="304">
        <f t="shared" ca="1" si="349"/>
        <v>42.585210000000025</v>
      </c>
      <c r="U805" s="311">
        <f t="shared" ca="1" si="350"/>
        <v>0</v>
      </c>
      <c r="V805" s="306">
        <f t="shared" ca="1" si="351"/>
        <v>1.2258647192862744</v>
      </c>
      <c r="W805" s="304">
        <f t="shared" ca="1" si="352"/>
        <v>38.796870509378913</v>
      </c>
      <c r="Y805" s="314" t="str">
        <f t="shared" ca="1" si="370"/>
        <v/>
      </c>
      <c r="Z805" s="315" t="str">
        <f t="shared" ca="1" si="371"/>
        <v/>
      </c>
      <c r="AA805" s="316" t="str">
        <f t="shared" ca="1" si="372"/>
        <v/>
      </c>
      <c r="AC805" s="310" t="e">
        <f t="shared" ca="1" si="373"/>
        <v>#N/A</v>
      </c>
      <c r="AD805" s="323" t="e">
        <f t="shared" ca="1" si="374"/>
        <v>#N/A</v>
      </c>
      <c r="AE805" s="324" t="e">
        <f t="shared" ca="1" si="353"/>
        <v>#N/A</v>
      </c>
      <c r="AG805" s="306">
        <f t="shared" ca="1" si="375"/>
        <v>0.84608618263347068</v>
      </c>
      <c r="AH805" s="304">
        <f t="shared" ca="1" si="376"/>
        <v>-8.9372876811829816</v>
      </c>
    </row>
    <row r="806" spans="1:34" x14ac:dyDescent="0.2">
      <c r="A806" s="347">
        <f t="shared" ca="1" si="354"/>
        <v>1E-4</v>
      </c>
      <c r="B806" s="304">
        <f t="shared" ca="1" si="355"/>
        <v>28.642600000000041</v>
      </c>
      <c r="D806" s="306">
        <f t="shared" ca="1" si="356"/>
        <v>-0.65802483850171289</v>
      </c>
      <c r="E806" s="307">
        <f t="shared" ca="1" si="357"/>
        <v>-0.89694522271105548</v>
      </c>
      <c r="F806" s="304">
        <f t="shared" ca="1" si="358"/>
        <v>1.1124331083842256</v>
      </c>
      <c r="G806" s="306">
        <f t="shared" ca="1" si="359"/>
        <v>7.2717227640097546</v>
      </c>
      <c r="H806" s="307">
        <f t="shared" ca="1" si="360"/>
        <v>-98.497663083391117</v>
      </c>
      <c r="I806" s="304">
        <f t="shared" ca="1" si="361"/>
        <v>98.765720697243168</v>
      </c>
      <c r="J806" s="306">
        <f t="shared" ca="1" si="362"/>
        <v>678.53524446899166</v>
      </c>
      <c r="K806" s="307">
        <f t="shared" ca="1" si="363"/>
        <v>-7.0662921633131397</v>
      </c>
      <c r="L806" s="304">
        <f t="shared" ca="1" si="348"/>
        <v>678.57203779077986</v>
      </c>
      <c r="M806" s="306">
        <f t="shared" ca="1" si="364"/>
        <v>-1.4971036677333769</v>
      </c>
      <c r="N806" s="304">
        <f t="shared" ca="1" si="365"/>
        <v>-85.777721654678416</v>
      </c>
      <c r="P806" s="310">
        <f t="shared" ca="1" si="366"/>
        <v>23</v>
      </c>
      <c r="Q806" s="304">
        <f t="shared" ca="1" si="367"/>
        <v>0</v>
      </c>
      <c r="R806" s="306">
        <f t="shared" ca="1" si="368"/>
        <v>0</v>
      </c>
      <c r="S806" s="307">
        <f t="shared" ca="1" si="369"/>
        <v>4.341000000000002</v>
      </c>
      <c r="T806" s="304">
        <f t="shared" ca="1" si="349"/>
        <v>42.585210000000025</v>
      </c>
      <c r="U806" s="311">
        <f t="shared" ca="1" si="350"/>
        <v>0</v>
      </c>
      <c r="V806" s="306">
        <f t="shared" ca="1" si="351"/>
        <v>1.2258659267345706</v>
      </c>
      <c r="W806" s="304">
        <f t="shared" ca="1" si="352"/>
        <v>38.796975193149734</v>
      </c>
      <c r="Y806" s="314" t="str">
        <f t="shared" ca="1" si="370"/>
        <v/>
      </c>
      <c r="Z806" s="315" t="str">
        <f t="shared" ca="1" si="371"/>
        <v/>
      </c>
      <c r="AA806" s="316" t="str">
        <f t="shared" ca="1" si="372"/>
        <v/>
      </c>
      <c r="AC806" s="310" t="e">
        <f t="shared" ca="1" si="373"/>
        <v>#N/A</v>
      </c>
      <c r="AD806" s="323" t="e">
        <f t="shared" ca="1" si="374"/>
        <v>#N/A</v>
      </c>
      <c r="AE806" s="324" t="e">
        <f t="shared" ca="1" si="353"/>
        <v>#N/A</v>
      </c>
      <c r="AG806" s="306">
        <f t="shared" ca="1" si="375"/>
        <v>0.84606259535185302</v>
      </c>
      <c r="AH806" s="304">
        <f t="shared" ca="1" si="376"/>
        <v>-8.9373117966779301</v>
      </c>
    </row>
    <row r="807" spans="1:34" x14ac:dyDescent="0.2">
      <c r="A807" s="347">
        <f t="shared" ca="1" si="354"/>
        <v>1E-4</v>
      </c>
      <c r="B807" s="304">
        <f t="shared" ca="1" si="355"/>
        <v>28.64270000000004</v>
      </c>
      <c r="D807" s="306">
        <f t="shared" ca="1" si="356"/>
        <v>-0.65802009584581844</v>
      </c>
      <c r="E807" s="307">
        <f t="shared" ca="1" si="357"/>
        <v>-0.8969206918192576</v>
      </c>
      <c r="F807" s="304">
        <f t="shared" ca="1" si="358"/>
        <v>1.1124105240200111</v>
      </c>
      <c r="G807" s="306">
        <f t="shared" ca="1" si="359"/>
        <v>7.2716569620001703</v>
      </c>
      <c r="H807" s="307">
        <f t="shared" ca="1" si="360"/>
        <v>-98.497752775460299</v>
      </c>
      <c r="I807" s="304">
        <f t="shared" ca="1" si="361"/>
        <v>98.765805301170417</v>
      </c>
      <c r="J807" s="306">
        <f t="shared" ca="1" si="362"/>
        <v>678.53524446899166</v>
      </c>
      <c r="K807" s="307">
        <f t="shared" ca="1" si="363"/>
        <v>-7.0761419341060821</v>
      </c>
      <c r="L807" s="304">
        <f t="shared" ca="1" si="348"/>
        <v>678.57214043258944</v>
      </c>
      <c r="M807" s="306">
        <f t="shared" ca="1" si="364"/>
        <v>-1.4971043990298416</v>
      </c>
      <c r="N807" s="304">
        <f t="shared" ca="1" si="365"/>
        <v>-85.777763554879428</v>
      </c>
      <c r="P807" s="310">
        <f t="shared" ca="1" si="366"/>
        <v>23</v>
      </c>
      <c r="Q807" s="304">
        <f t="shared" ca="1" si="367"/>
        <v>0</v>
      </c>
      <c r="R807" s="306">
        <f t="shared" ca="1" si="368"/>
        <v>0</v>
      </c>
      <c r="S807" s="307">
        <f t="shared" ca="1" si="369"/>
        <v>4.341000000000002</v>
      </c>
      <c r="T807" s="304">
        <f t="shared" ca="1" si="349"/>
        <v>42.585210000000025</v>
      </c>
      <c r="U807" s="311">
        <f t="shared" ca="1" si="350"/>
        <v>0</v>
      </c>
      <c r="V807" s="306">
        <f t="shared" ca="1" si="351"/>
        <v>1.2258671341851568</v>
      </c>
      <c r="W807" s="304">
        <f t="shared" ca="1" si="352"/>
        <v>38.797079875327825</v>
      </c>
      <c r="Y807" s="314" t="str">
        <f t="shared" ca="1" si="370"/>
        <v/>
      </c>
      <c r="Z807" s="315" t="str">
        <f t="shared" ca="1" si="371"/>
        <v/>
      </c>
      <c r="AA807" s="316" t="str">
        <f t="shared" ca="1" si="372"/>
        <v/>
      </c>
      <c r="AC807" s="310" t="e">
        <f t="shared" ca="1" si="373"/>
        <v>#N/A</v>
      </c>
      <c r="AD807" s="323" t="e">
        <f t="shared" ca="1" si="374"/>
        <v>#N/A</v>
      </c>
      <c r="AE807" s="324" t="e">
        <f t="shared" ca="1" si="353"/>
        <v>#N/A</v>
      </c>
      <c r="AG807" s="306">
        <f t="shared" ca="1" si="375"/>
        <v>0.8460390084262297</v>
      </c>
      <c r="AH807" s="304">
        <f t="shared" ca="1" si="376"/>
        <v>-8.9373359118059703</v>
      </c>
    </row>
    <row r="808" spans="1:34" x14ac:dyDescent="0.2">
      <c r="A808" s="347">
        <f t="shared" ca="1" si="354"/>
        <v>1E-4</v>
      </c>
      <c r="B808" s="304">
        <f t="shared" ca="1" si="355"/>
        <v>28.64280000000004</v>
      </c>
      <c r="D808" s="306">
        <f t="shared" ca="1" si="356"/>
        <v>-0.65801535319753646</v>
      </c>
      <c r="E808" s="307">
        <f t="shared" ca="1" si="357"/>
        <v>-0.8968961613007167</v>
      </c>
      <c r="F808" s="304">
        <f t="shared" ca="1" si="358"/>
        <v>1.1123879400639149</v>
      </c>
      <c r="G808" s="306">
        <f t="shared" ca="1" si="359"/>
        <v>7.2715911604648502</v>
      </c>
      <c r="H808" s="307">
        <f t="shared" ca="1" si="360"/>
        <v>-98.497842465076431</v>
      </c>
      <c r="I808" s="304">
        <f t="shared" ca="1" si="361"/>
        <v>98.765889902739019</v>
      </c>
      <c r="J808" s="306">
        <f t="shared" ca="1" si="362"/>
        <v>678.53524446899166</v>
      </c>
      <c r="K808" s="307">
        <f t="shared" ca="1" si="363"/>
        <v>-7.0859917138681086</v>
      </c>
      <c r="L808" s="304">
        <f t="shared" ca="1" si="348"/>
        <v>678.57224321745082</v>
      </c>
      <c r="M808" s="306">
        <f t="shared" ca="1" si="364"/>
        <v>-1.4971051303184362</v>
      </c>
      <c r="N808" s="304">
        <f t="shared" ca="1" si="365"/>
        <v>-85.777805454629501</v>
      </c>
      <c r="P808" s="310">
        <f t="shared" ca="1" si="366"/>
        <v>23</v>
      </c>
      <c r="Q808" s="304">
        <f t="shared" ca="1" si="367"/>
        <v>0</v>
      </c>
      <c r="R808" s="306">
        <f t="shared" ca="1" si="368"/>
        <v>0</v>
      </c>
      <c r="S808" s="307">
        <f t="shared" ca="1" si="369"/>
        <v>4.341000000000002</v>
      </c>
      <c r="T808" s="304">
        <f t="shared" ca="1" si="349"/>
        <v>42.585210000000025</v>
      </c>
      <c r="U808" s="311">
        <f t="shared" ca="1" si="350"/>
        <v>0</v>
      </c>
      <c r="V808" s="306">
        <f t="shared" ca="1" si="351"/>
        <v>1.2258683416380318</v>
      </c>
      <c r="W808" s="304">
        <f t="shared" ca="1" si="352"/>
        <v>38.797184555913184</v>
      </c>
      <c r="Y808" s="314" t="str">
        <f t="shared" ca="1" si="370"/>
        <v/>
      </c>
      <c r="Z808" s="315" t="str">
        <f t="shared" ca="1" si="371"/>
        <v/>
      </c>
      <c r="AA808" s="316" t="str">
        <f t="shared" ca="1" si="372"/>
        <v/>
      </c>
      <c r="AC808" s="310" t="e">
        <f t="shared" ca="1" si="373"/>
        <v>#N/A</v>
      </c>
      <c r="AD808" s="323" t="e">
        <f t="shared" ca="1" si="374"/>
        <v>#N/A</v>
      </c>
      <c r="AE808" s="324" t="e">
        <f t="shared" ca="1" si="353"/>
        <v>#N/A</v>
      </c>
      <c r="AG808" s="306">
        <f t="shared" ca="1" si="375"/>
        <v>0.84601542185659007</v>
      </c>
      <c r="AH808" s="304">
        <f t="shared" ca="1" si="376"/>
        <v>-8.9373600265671058</v>
      </c>
    </row>
    <row r="809" spans="1:34" x14ac:dyDescent="0.2">
      <c r="A809" s="347">
        <f t="shared" ca="1" si="354"/>
        <v>1E-4</v>
      </c>
      <c r="B809" s="304">
        <f t="shared" ca="1" si="355"/>
        <v>28.64290000000004</v>
      </c>
      <c r="D809" s="306">
        <f t="shared" ca="1" si="356"/>
        <v>-0.65801061055686294</v>
      </c>
      <c r="E809" s="307">
        <f t="shared" ca="1" si="357"/>
        <v>-0.89687163115543456</v>
      </c>
      <c r="F809" s="304">
        <f t="shared" ca="1" si="358"/>
        <v>1.1123653565159362</v>
      </c>
      <c r="G809" s="306">
        <f t="shared" ca="1" si="359"/>
        <v>7.2715253594037943</v>
      </c>
      <c r="H809" s="307">
        <f t="shared" ca="1" si="360"/>
        <v>-98.497932152239542</v>
      </c>
      <c r="I809" s="304">
        <f t="shared" ca="1" si="361"/>
        <v>98.765974501948989</v>
      </c>
      <c r="J809" s="306">
        <f t="shared" ca="1" si="362"/>
        <v>678.53524446899166</v>
      </c>
      <c r="K809" s="307">
        <f t="shared" ca="1" si="363"/>
        <v>-7.0958415025989741</v>
      </c>
      <c r="L809" s="304">
        <f t="shared" ca="1" si="348"/>
        <v>678.57234614536446</v>
      </c>
      <c r="M809" s="306">
        <f t="shared" ca="1" si="364"/>
        <v>-1.4971058615991604</v>
      </c>
      <c r="N809" s="304">
        <f t="shared" ca="1" si="365"/>
        <v>-85.777847353928635</v>
      </c>
      <c r="P809" s="310">
        <f t="shared" ca="1" si="366"/>
        <v>23</v>
      </c>
      <c r="Q809" s="304">
        <f t="shared" ca="1" si="367"/>
        <v>0</v>
      </c>
      <c r="R809" s="306">
        <f t="shared" ca="1" si="368"/>
        <v>0</v>
      </c>
      <c r="S809" s="307">
        <f t="shared" ca="1" si="369"/>
        <v>4.341000000000002</v>
      </c>
      <c r="T809" s="304">
        <f t="shared" ca="1" si="349"/>
        <v>42.585210000000025</v>
      </c>
      <c r="U809" s="311">
        <f t="shared" ca="1" si="350"/>
        <v>0</v>
      </c>
      <c r="V809" s="306">
        <f t="shared" ca="1" si="351"/>
        <v>1.2258695490931959</v>
      </c>
      <c r="W809" s="304">
        <f t="shared" ca="1" si="352"/>
        <v>38.797289234905818</v>
      </c>
      <c r="Y809" s="314" t="str">
        <f t="shared" ca="1" si="370"/>
        <v/>
      </c>
      <c r="Z809" s="315" t="str">
        <f t="shared" ca="1" si="371"/>
        <v/>
      </c>
      <c r="AA809" s="316" t="str">
        <f t="shared" ca="1" si="372"/>
        <v/>
      </c>
      <c r="AC809" s="310" t="e">
        <f t="shared" ca="1" si="373"/>
        <v>#N/A</v>
      </c>
      <c r="AD809" s="323" t="e">
        <f t="shared" ca="1" si="374"/>
        <v>#N/A</v>
      </c>
      <c r="AE809" s="324" t="e">
        <f t="shared" ca="1" si="353"/>
        <v>#N/A</v>
      </c>
      <c r="AG809" s="306">
        <f t="shared" ca="1" si="375"/>
        <v>0.84599183564294123</v>
      </c>
      <c r="AH809" s="304">
        <f t="shared" ca="1" si="376"/>
        <v>-8.9373841409613366</v>
      </c>
    </row>
    <row r="810" spans="1:34" x14ac:dyDescent="0.2">
      <c r="A810" s="347">
        <f t="shared" ca="1" si="354"/>
        <v>1E-4</v>
      </c>
      <c r="B810" s="304">
        <f t="shared" ca="1" si="355"/>
        <v>28.64300000000004</v>
      </c>
      <c r="D810" s="306">
        <f t="shared" ca="1" si="356"/>
        <v>-0.65800586792380111</v>
      </c>
      <c r="E810" s="307">
        <f t="shared" ca="1" si="357"/>
        <v>-0.89684710138340584</v>
      </c>
      <c r="F810" s="304">
        <f t="shared" ca="1" si="358"/>
        <v>1.1123427733760722</v>
      </c>
      <c r="G810" s="306">
        <f t="shared" ca="1" si="359"/>
        <v>7.2714595588170017</v>
      </c>
      <c r="H810" s="307">
        <f t="shared" ca="1" si="360"/>
        <v>-98.498021836949675</v>
      </c>
      <c r="I810" s="304">
        <f t="shared" ca="1" si="361"/>
        <v>98.766059098800369</v>
      </c>
      <c r="J810" s="306">
        <f t="shared" ca="1" si="362"/>
        <v>678.53524446899166</v>
      </c>
      <c r="K810" s="307">
        <f t="shared" ca="1" si="363"/>
        <v>-7.1056913002984334</v>
      </c>
      <c r="L810" s="304">
        <f t="shared" ca="1" si="348"/>
        <v>678.57244921633048</v>
      </c>
      <c r="M810" s="306">
        <f t="shared" ca="1" si="364"/>
        <v>-1.4971065928720146</v>
      </c>
      <c r="N810" s="304">
        <f t="shared" ca="1" si="365"/>
        <v>-85.777889252776859</v>
      </c>
      <c r="P810" s="310">
        <f t="shared" ca="1" si="366"/>
        <v>23</v>
      </c>
      <c r="Q810" s="304">
        <f t="shared" ca="1" si="367"/>
        <v>0</v>
      </c>
      <c r="R810" s="306">
        <f t="shared" ca="1" si="368"/>
        <v>0</v>
      </c>
      <c r="S810" s="307">
        <f t="shared" ca="1" si="369"/>
        <v>4.341000000000002</v>
      </c>
      <c r="T810" s="304">
        <f t="shared" ca="1" si="349"/>
        <v>42.585210000000025</v>
      </c>
      <c r="U810" s="311">
        <f t="shared" ca="1" si="350"/>
        <v>0</v>
      </c>
      <c r="V810" s="306">
        <f t="shared" ca="1" si="351"/>
        <v>1.2258707565506488</v>
      </c>
      <c r="W810" s="304">
        <f t="shared" ca="1" si="352"/>
        <v>38.797393912305751</v>
      </c>
      <c r="Y810" s="314" t="str">
        <f t="shared" ca="1" si="370"/>
        <v/>
      </c>
      <c r="Z810" s="315" t="str">
        <f t="shared" ca="1" si="371"/>
        <v/>
      </c>
      <c r="AA810" s="316" t="str">
        <f t="shared" ca="1" si="372"/>
        <v/>
      </c>
      <c r="AC810" s="310" t="e">
        <f t="shared" ca="1" si="373"/>
        <v>#N/A</v>
      </c>
      <c r="AD810" s="323" t="e">
        <f t="shared" ca="1" si="374"/>
        <v>#N/A</v>
      </c>
      <c r="AE810" s="324" t="e">
        <f t="shared" ca="1" si="353"/>
        <v>#N/A</v>
      </c>
      <c r="AG810" s="306">
        <f t="shared" ca="1" si="375"/>
        <v>0.84596824978527785</v>
      </c>
      <c r="AH810" s="304">
        <f t="shared" ca="1" si="376"/>
        <v>-8.9374082549886662</v>
      </c>
    </row>
    <row r="811" spans="1:34" x14ac:dyDescent="0.2">
      <c r="A811" s="347">
        <f t="shared" ca="1" si="354"/>
        <v>1E-4</v>
      </c>
      <c r="B811" s="304">
        <f t="shared" ca="1" si="355"/>
        <v>28.64310000000004</v>
      </c>
      <c r="D811" s="306">
        <f t="shared" ca="1" si="356"/>
        <v>-0.65800112529834887</v>
      </c>
      <c r="E811" s="307">
        <f t="shared" ca="1" si="357"/>
        <v>-0.896822571984627</v>
      </c>
      <c r="F811" s="304">
        <f t="shared" ca="1" si="358"/>
        <v>1.1123201906443192</v>
      </c>
      <c r="G811" s="306">
        <f t="shared" ca="1" si="359"/>
        <v>7.2713937587044715</v>
      </c>
      <c r="H811" s="307">
        <f t="shared" ca="1" si="360"/>
        <v>-98.498111519206873</v>
      </c>
      <c r="I811" s="304">
        <f t="shared" ca="1" si="361"/>
        <v>98.766143693293202</v>
      </c>
      <c r="J811" s="306">
        <f t="shared" ca="1" si="362"/>
        <v>678.53524446899166</v>
      </c>
      <c r="K811" s="307">
        <f t="shared" ca="1" si="363"/>
        <v>-7.1155411069662415</v>
      </c>
      <c r="L811" s="304">
        <f t="shared" ca="1" si="348"/>
        <v>678.57255243034933</v>
      </c>
      <c r="M811" s="306">
        <f t="shared" ca="1" si="364"/>
        <v>-1.4971073241369985</v>
      </c>
      <c r="N811" s="304">
        <f t="shared" ca="1" si="365"/>
        <v>-85.777931151174144</v>
      </c>
      <c r="P811" s="310">
        <f t="shared" ca="1" si="366"/>
        <v>23</v>
      </c>
      <c r="Q811" s="304">
        <f t="shared" ca="1" si="367"/>
        <v>0</v>
      </c>
      <c r="R811" s="306">
        <f t="shared" ca="1" si="368"/>
        <v>0</v>
      </c>
      <c r="S811" s="307">
        <f t="shared" ca="1" si="369"/>
        <v>4.341000000000002</v>
      </c>
      <c r="T811" s="304">
        <f t="shared" ca="1" si="349"/>
        <v>42.585210000000025</v>
      </c>
      <c r="U811" s="311">
        <f t="shared" ca="1" si="350"/>
        <v>0</v>
      </c>
      <c r="V811" s="306">
        <f t="shared" ca="1" si="351"/>
        <v>1.2258719640103914</v>
      </c>
      <c r="W811" s="304">
        <f t="shared" ca="1" si="352"/>
        <v>38.797498588113022</v>
      </c>
      <c r="Y811" s="314" t="str">
        <f t="shared" ca="1" si="370"/>
        <v/>
      </c>
      <c r="Z811" s="315" t="str">
        <f t="shared" ca="1" si="371"/>
        <v/>
      </c>
      <c r="AA811" s="316" t="str">
        <f t="shared" ca="1" si="372"/>
        <v/>
      </c>
      <c r="AC811" s="310" t="e">
        <f t="shared" ca="1" si="373"/>
        <v>#N/A</v>
      </c>
      <c r="AD811" s="323" t="e">
        <f t="shared" ca="1" si="374"/>
        <v>#N/A</v>
      </c>
      <c r="AE811" s="324" t="e">
        <f t="shared" ca="1" si="353"/>
        <v>#N/A</v>
      </c>
      <c r="AG811" s="306">
        <f t="shared" ca="1" si="375"/>
        <v>0.84594466428359461</v>
      </c>
      <c r="AH811" s="304">
        <f t="shared" ca="1" si="376"/>
        <v>-8.9374323686490982</v>
      </c>
    </row>
    <row r="812" spans="1:34" x14ac:dyDescent="0.2">
      <c r="A812" s="347">
        <f t="shared" ca="1" si="354"/>
        <v>1E-4</v>
      </c>
      <c r="B812" s="304">
        <f t="shared" ca="1" si="355"/>
        <v>28.643200000000039</v>
      </c>
      <c r="D812" s="306">
        <f t="shared" ca="1" si="356"/>
        <v>-0.65799638268051208</v>
      </c>
      <c r="E812" s="307">
        <f t="shared" ca="1" si="357"/>
        <v>-0.89679804295909094</v>
      </c>
      <c r="F812" s="304">
        <f t="shared" ca="1" si="358"/>
        <v>1.1122976083206753</v>
      </c>
      <c r="G812" s="306">
        <f t="shared" ca="1" si="359"/>
        <v>7.2713279590662037</v>
      </c>
      <c r="H812" s="307">
        <f t="shared" ca="1" si="360"/>
        <v>-98.498201199011163</v>
      </c>
      <c r="I812" s="304">
        <f t="shared" ca="1" si="361"/>
        <v>98.766228285427516</v>
      </c>
      <c r="J812" s="306">
        <f t="shared" ca="1" si="362"/>
        <v>678.53524446899166</v>
      </c>
      <c r="K812" s="307">
        <f t="shared" ca="1" si="363"/>
        <v>-7.1253909226021523</v>
      </c>
      <c r="L812" s="304">
        <f t="shared" ca="1" si="348"/>
        <v>678.57265578742135</v>
      </c>
      <c r="M812" s="306">
        <f t="shared" ca="1" si="364"/>
        <v>-1.4971080553941127</v>
      </c>
      <c r="N812" s="304">
        <f t="shared" ca="1" si="365"/>
        <v>-85.777973049120519</v>
      </c>
      <c r="P812" s="310">
        <f t="shared" ca="1" si="366"/>
        <v>23</v>
      </c>
      <c r="Q812" s="304">
        <f t="shared" ca="1" si="367"/>
        <v>0</v>
      </c>
      <c r="R812" s="306">
        <f t="shared" ca="1" si="368"/>
        <v>0</v>
      </c>
      <c r="S812" s="307">
        <f t="shared" ca="1" si="369"/>
        <v>4.341000000000002</v>
      </c>
      <c r="T812" s="304">
        <f t="shared" ca="1" si="349"/>
        <v>42.585210000000025</v>
      </c>
      <c r="U812" s="311">
        <f t="shared" ca="1" si="350"/>
        <v>0</v>
      </c>
      <c r="V812" s="306">
        <f t="shared" ca="1" si="351"/>
        <v>1.2258731714724231</v>
      </c>
      <c r="W812" s="304">
        <f t="shared" ca="1" si="352"/>
        <v>38.797603262327641</v>
      </c>
      <c r="Y812" s="314" t="str">
        <f t="shared" ca="1" si="370"/>
        <v/>
      </c>
      <c r="Z812" s="315" t="str">
        <f t="shared" ca="1" si="371"/>
        <v/>
      </c>
      <c r="AA812" s="316" t="str">
        <f t="shared" ca="1" si="372"/>
        <v/>
      </c>
      <c r="AC812" s="310" t="e">
        <f t="shared" ca="1" si="373"/>
        <v>#N/A</v>
      </c>
      <c r="AD812" s="323" t="e">
        <f t="shared" ca="1" si="374"/>
        <v>#N/A</v>
      </c>
      <c r="AE812" s="324" t="e">
        <f t="shared" ca="1" si="353"/>
        <v>#N/A</v>
      </c>
      <c r="AG812" s="306">
        <f t="shared" ca="1" si="375"/>
        <v>0.84592107913788439</v>
      </c>
      <c r="AH812" s="304">
        <f t="shared" ca="1" si="376"/>
        <v>-8.9374564819426414</v>
      </c>
    </row>
    <row r="813" spans="1:34" x14ac:dyDescent="0.2">
      <c r="A813" s="347">
        <f t="shared" ca="1" si="354"/>
        <v>1E-4</v>
      </c>
      <c r="B813" s="304">
        <f t="shared" ca="1" si="355"/>
        <v>28.643300000000039</v>
      </c>
      <c r="D813" s="306">
        <f t="shared" ca="1" si="356"/>
        <v>-0.65799164007028643</v>
      </c>
      <c r="E813" s="307">
        <f t="shared" ca="1" si="357"/>
        <v>-0.89677351430679408</v>
      </c>
      <c r="F813" s="304">
        <f t="shared" ca="1" si="358"/>
        <v>1.1122750264051346</v>
      </c>
      <c r="G813" s="306">
        <f t="shared" ca="1" si="359"/>
        <v>7.2712621599021965</v>
      </c>
      <c r="H813" s="307">
        <f t="shared" ca="1" si="360"/>
        <v>-98.498290876362589</v>
      </c>
      <c r="I813" s="304">
        <f t="shared" ca="1" si="361"/>
        <v>98.766312875203354</v>
      </c>
      <c r="J813" s="306">
        <f t="shared" ca="1" si="362"/>
        <v>678.53524446899166</v>
      </c>
      <c r="K813" s="307">
        <f t="shared" ca="1" si="363"/>
        <v>-7.1352407472059207</v>
      </c>
      <c r="L813" s="304">
        <f t="shared" ca="1" si="348"/>
        <v>678.57275928754677</v>
      </c>
      <c r="M813" s="306">
        <f t="shared" ca="1" si="364"/>
        <v>-1.497108786643357</v>
      </c>
      <c r="N813" s="304">
        <f t="shared" ca="1" si="365"/>
        <v>-85.778014946615983</v>
      </c>
      <c r="P813" s="310">
        <f t="shared" ca="1" si="366"/>
        <v>23</v>
      </c>
      <c r="Q813" s="304">
        <f t="shared" ca="1" si="367"/>
        <v>0</v>
      </c>
      <c r="R813" s="306">
        <f t="shared" ca="1" si="368"/>
        <v>0</v>
      </c>
      <c r="S813" s="307">
        <f t="shared" ca="1" si="369"/>
        <v>4.341000000000002</v>
      </c>
      <c r="T813" s="304">
        <f t="shared" ca="1" si="349"/>
        <v>42.585210000000025</v>
      </c>
      <c r="U813" s="311">
        <f t="shared" ca="1" si="350"/>
        <v>0</v>
      </c>
      <c r="V813" s="306">
        <f t="shared" ca="1" si="351"/>
        <v>1.2258743789367439</v>
      </c>
      <c r="W813" s="304">
        <f t="shared" ca="1" si="352"/>
        <v>38.797707934949614</v>
      </c>
      <c r="Y813" s="314" t="str">
        <f t="shared" ca="1" si="370"/>
        <v/>
      </c>
      <c r="Z813" s="315" t="str">
        <f t="shared" ca="1" si="371"/>
        <v/>
      </c>
      <c r="AA813" s="316" t="str">
        <f t="shared" ca="1" si="372"/>
        <v/>
      </c>
      <c r="AC813" s="310" t="e">
        <f t="shared" ca="1" si="373"/>
        <v>#N/A</v>
      </c>
      <c r="AD813" s="323" t="e">
        <f t="shared" ca="1" si="374"/>
        <v>#N/A</v>
      </c>
      <c r="AE813" s="324" t="e">
        <f t="shared" ca="1" si="353"/>
        <v>#N/A</v>
      </c>
      <c r="AG813" s="306">
        <f t="shared" ca="1" si="375"/>
        <v>0.84589749434814543</v>
      </c>
      <c r="AH813" s="304">
        <f t="shared" ca="1" si="376"/>
        <v>-8.9374805948692977</v>
      </c>
    </row>
    <row r="814" spans="1:34" x14ac:dyDescent="0.2">
      <c r="A814" s="347">
        <f t="shared" ca="1" si="354"/>
        <v>1E-4</v>
      </c>
      <c r="B814" s="304">
        <f t="shared" ca="1" si="355"/>
        <v>28.643400000000039</v>
      </c>
      <c r="D814" s="306">
        <f t="shared" ca="1" si="356"/>
        <v>-0.65798689746767547</v>
      </c>
      <c r="E814" s="307">
        <f t="shared" ca="1" si="357"/>
        <v>-0.8967489860277329</v>
      </c>
      <c r="F814" s="304">
        <f t="shared" ca="1" si="358"/>
        <v>1.1122524448976969</v>
      </c>
      <c r="G814" s="306">
        <f t="shared" ca="1" si="359"/>
        <v>7.2711963612124499</v>
      </c>
      <c r="H814" s="307">
        <f t="shared" ca="1" si="360"/>
        <v>-98.498380551261192</v>
      </c>
      <c r="I814" s="304">
        <f t="shared" ca="1" si="361"/>
        <v>98.766397462620745</v>
      </c>
      <c r="J814" s="306">
        <f t="shared" ca="1" si="362"/>
        <v>678.53524446899166</v>
      </c>
      <c r="K814" s="307">
        <f t="shared" ca="1" si="363"/>
        <v>-7.1450905807773015</v>
      </c>
      <c r="L814" s="304">
        <f t="shared" ca="1" si="348"/>
        <v>678.57286293072593</v>
      </c>
      <c r="M814" s="306">
        <f t="shared" ca="1" si="364"/>
        <v>-1.4971095178847316</v>
      </c>
      <c r="N814" s="304">
        <f t="shared" ca="1" si="365"/>
        <v>-85.778056843660551</v>
      </c>
      <c r="P814" s="310">
        <f t="shared" ca="1" si="366"/>
        <v>23</v>
      </c>
      <c r="Q814" s="304">
        <f t="shared" ca="1" si="367"/>
        <v>0</v>
      </c>
      <c r="R814" s="306">
        <f t="shared" ca="1" si="368"/>
        <v>0</v>
      </c>
      <c r="S814" s="307">
        <f t="shared" ca="1" si="369"/>
        <v>4.341000000000002</v>
      </c>
      <c r="T814" s="304">
        <f t="shared" ca="1" si="349"/>
        <v>42.585210000000025</v>
      </c>
      <c r="U814" s="311">
        <f t="shared" ca="1" si="350"/>
        <v>0</v>
      </c>
      <c r="V814" s="306">
        <f t="shared" ca="1" si="351"/>
        <v>1.2258755864033535</v>
      </c>
      <c r="W814" s="304">
        <f t="shared" ca="1" si="352"/>
        <v>38.797812605978969</v>
      </c>
      <c r="Y814" s="314" t="str">
        <f t="shared" ca="1" si="370"/>
        <v/>
      </c>
      <c r="Z814" s="315" t="str">
        <f t="shared" ca="1" si="371"/>
        <v/>
      </c>
      <c r="AA814" s="316" t="str">
        <f t="shared" ca="1" si="372"/>
        <v/>
      </c>
      <c r="AC814" s="310" t="e">
        <f t="shared" ca="1" si="373"/>
        <v>#N/A</v>
      </c>
      <c r="AD814" s="323" t="e">
        <f t="shared" ca="1" si="374"/>
        <v>#N/A</v>
      </c>
      <c r="AE814" s="324" t="e">
        <f t="shared" ca="1" si="353"/>
        <v>#N/A</v>
      </c>
      <c r="AG814" s="306">
        <f t="shared" ca="1" si="375"/>
        <v>0.84587390991437417</v>
      </c>
      <c r="AH814" s="304">
        <f t="shared" ca="1" si="376"/>
        <v>-8.9375047074290705</v>
      </c>
    </row>
    <row r="815" spans="1:34" x14ac:dyDescent="0.2">
      <c r="A815" s="347">
        <f t="shared" ca="1" si="354"/>
        <v>1E-4</v>
      </c>
      <c r="B815" s="304">
        <f t="shared" ca="1" si="355"/>
        <v>28.643500000000039</v>
      </c>
      <c r="D815" s="306">
        <f t="shared" ca="1" si="356"/>
        <v>-0.65798215487267897</v>
      </c>
      <c r="E815" s="307">
        <f t="shared" ca="1" si="357"/>
        <v>-0.89672445812190205</v>
      </c>
      <c r="F815" s="304">
        <f t="shared" ca="1" si="358"/>
        <v>1.1122298637983574</v>
      </c>
      <c r="G815" s="306">
        <f t="shared" ca="1" si="359"/>
        <v>7.2711305629969623</v>
      </c>
      <c r="H815" s="307">
        <f t="shared" ca="1" si="360"/>
        <v>-98.498470223707002</v>
      </c>
      <c r="I815" s="304">
        <f t="shared" ca="1" si="361"/>
        <v>98.76648204767973</v>
      </c>
      <c r="J815" s="306">
        <f t="shared" ca="1" si="362"/>
        <v>678.53524446899166</v>
      </c>
      <c r="K815" s="307">
        <f t="shared" ca="1" si="363"/>
        <v>-7.1549404233160496</v>
      </c>
      <c r="L815" s="304">
        <f t="shared" ca="1" si="348"/>
        <v>678.57296671695929</v>
      </c>
      <c r="M815" s="306">
        <f t="shared" ca="1" si="364"/>
        <v>-1.4971102491182366</v>
      </c>
      <c r="N815" s="304">
        <f t="shared" ca="1" si="365"/>
        <v>-85.778098740254237</v>
      </c>
      <c r="P815" s="310">
        <f t="shared" ca="1" si="366"/>
        <v>23</v>
      </c>
      <c r="Q815" s="304">
        <f t="shared" ca="1" si="367"/>
        <v>0</v>
      </c>
      <c r="R815" s="306">
        <f t="shared" ca="1" si="368"/>
        <v>0</v>
      </c>
      <c r="S815" s="307">
        <f t="shared" ca="1" si="369"/>
        <v>4.341000000000002</v>
      </c>
      <c r="T815" s="304">
        <f t="shared" ca="1" si="349"/>
        <v>42.585210000000025</v>
      </c>
      <c r="U815" s="311">
        <f t="shared" ca="1" si="350"/>
        <v>0</v>
      </c>
      <c r="V815" s="306">
        <f t="shared" ca="1" si="351"/>
        <v>1.2258767938722521</v>
      </c>
      <c r="W815" s="304">
        <f t="shared" ca="1" si="352"/>
        <v>38.797917275415706</v>
      </c>
      <c r="Y815" s="314" t="str">
        <f t="shared" ca="1" si="370"/>
        <v/>
      </c>
      <c r="Z815" s="315" t="str">
        <f t="shared" ca="1" si="371"/>
        <v/>
      </c>
      <c r="AA815" s="316" t="str">
        <f t="shared" ca="1" si="372"/>
        <v/>
      </c>
      <c r="AC815" s="310" t="e">
        <f t="shared" ca="1" si="373"/>
        <v>#N/A</v>
      </c>
      <c r="AD815" s="323" t="e">
        <f t="shared" ca="1" si="374"/>
        <v>#N/A</v>
      </c>
      <c r="AE815" s="324" t="e">
        <f t="shared" ca="1" si="353"/>
        <v>#N/A</v>
      </c>
      <c r="AG815" s="306">
        <f t="shared" ca="1" si="375"/>
        <v>0.84585032583656883</v>
      </c>
      <c r="AH815" s="304">
        <f t="shared" ca="1" si="376"/>
        <v>-8.9375288196219653</v>
      </c>
    </row>
    <row r="816" spans="1:34" x14ac:dyDescent="0.2">
      <c r="A816" s="347">
        <f t="shared" ca="1" si="354"/>
        <v>1E-4</v>
      </c>
      <c r="B816" s="304">
        <f t="shared" ca="1" si="355"/>
        <v>28.643600000000038</v>
      </c>
      <c r="D816" s="306">
        <f t="shared" ca="1" si="356"/>
        <v>-0.65797741228529649</v>
      </c>
      <c r="E816" s="307">
        <f t="shared" ca="1" si="357"/>
        <v>-0.89669993058930153</v>
      </c>
      <c r="F816" s="304">
        <f t="shared" ca="1" si="358"/>
        <v>1.1122072831071164</v>
      </c>
      <c r="G816" s="306">
        <f t="shared" ca="1" si="359"/>
        <v>7.2710647652557334</v>
      </c>
      <c r="H816" s="307">
        <f t="shared" ca="1" si="360"/>
        <v>-98.498559893700062</v>
      </c>
      <c r="I816" s="304">
        <f t="shared" ca="1" si="361"/>
        <v>98.766566630380353</v>
      </c>
      <c r="J816" s="306">
        <f t="shared" ca="1" si="362"/>
        <v>678.53524446899166</v>
      </c>
      <c r="K816" s="307">
        <f t="shared" ca="1" si="363"/>
        <v>-7.1647902748219199</v>
      </c>
      <c r="L816" s="304">
        <f t="shared" ca="1" si="348"/>
        <v>678.57307064624695</v>
      </c>
      <c r="M816" s="306">
        <f t="shared" ca="1" si="364"/>
        <v>-1.497110980343872</v>
      </c>
      <c r="N816" s="304">
        <f t="shared" ca="1" si="365"/>
        <v>-85.778140636397012</v>
      </c>
      <c r="P816" s="310">
        <f t="shared" ca="1" si="366"/>
        <v>23</v>
      </c>
      <c r="Q816" s="304">
        <f t="shared" ca="1" si="367"/>
        <v>0</v>
      </c>
      <c r="R816" s="306">
        <f t="shared" ca="1" si="368"/>
        <v>0</v>
      </c>
      <c r="S816" s="307">
        <f t="shared" ca="1" si="369"/>
        <v>4.341000000000002</v>
      </c>
      <c r="T816" s="304">
        <f t="shared" ca="1" si="349"/>
        <v>42.585210000000025</v>
      </c>
      <c r="U816" s="311">
        <f t="shared" ca="1" si="350"/>
        <v>0</v>
      </c>
      <c r="V816" s="306">
        <f t="shared" ca="1" si="351"/>
        <v>1.2258780013434403</v>
      </c>
      <c r="W816" s="304">
        <f t="shared" ca="1" si="352"/>
        <v>38.798021943259897</v>
      </c>
      <c r="Y816" s="314" t="str">
        <f t="shared" ca="1" si="370"/>
        <v/>
      </c>
      <c r="Z816" s="315" t="str">
        <f t="shared" ca="1" si="371"/>
        <v/>
      </c>
      <c r="AA816" s="316" t="str">
        <f t="shared" ca="1" si="372"/>
        <v/>
      </c>
      <c r="AC816" s="310" t="e">
        <f t="shared" ca="1" si="373"/>
        <v>#N/A</v>
      </c>
      <c r="AD816" s="323" t="e">
        <f t="shared" ca="1" si="374"/>
        <v>#N/A</v>
      </c>
      <c r="AE816" s="324" t="e">
        <f t="shared" ca="1" si="353"/>
        <v>#N/A</v>
      </c>
      <c r="AG816" s="306">
        <f t="shared" ca="1" si="375"/>
        <v>0.84582674211472408</v>
      </c>
      <c r="AH816" s="304">
        <f t="shared" ca="1" si="376"/>
        <v>-8.937552931447982</v>
      </c>
    </row>
    <row r="817" spans="1:34" x14ac:dyDescent="0.2">
      <c r="A817" s="347">
        <f t="shared" ca="1" si="354"/>
        <v>1E-4</v>
      </c>
      <c r="B817" s="304">
        <f t="shared" ca="1" si="355"/>
        <v>28.643700000000038</v>
      </c>
      <c r="D817" s="306">
        <f t="shared" ca="1" si="356"/>
        <v>-0.65797266970553225</v>
      </c>
      <c r="E817" s="307">
        <f t="shared" ca="1" si="357"/>
        <v>-0.89667540342991714</v>
      </c>
      <c r="F817" s="304">
        <f t="shared" ca="1" si="358"/>
        <v>1.1121847028239644</v>
      </c>
      <c r="G817" s="306">
        <f t="shared" ca="1" si="359"/>
        <v>7.2709989679887626</v>
      </c>
      <c r="H817" s="307">
        <f t="shared" ca="1" si="360"/>
        <v>-98.498649561240398</v>
      </c>
      <c r="I817" s="304">
        <f t="shared" ca="1" si="361"/>
        <v>98.766651210722628</v>
      </c>
      <c r="J817" s="306">
        <f t="shared" ca="1" si="362"/>
        <v>678.53524446899166</v>
      </c>
      <c r="K817" s="307">
        <f t="shared" ca="1" si="363"/>
        <v>-7.1746401352946672</v>
      </c>
      <c r="L817" s="304">
        <f t="shared" ca="1" si="348"/>
        <v>678.57317471858948</v>
      </c>
      <c r="M817" s="306">
        <f t="shared" ca="1" si="364"/>
        <v>-1.4971117115616381</v>
      </c>
      <c r="N817" s="304">
        <f t="shared" ca="1" si="365"/>
        <v>-85.77818253208892</v>
      </c>
      <c r="P817" s="310">
        <f t="shared" ca="1" si="366"/>
        <v>23</v>
      </c>
      <c r="Q817" s="304">
        <f t="shared" ca="1" si="367"/>
        <v>0</v>
      </c>
      <c r="R817" s="306">
        <f t="shared" ca="1" si="368"/>
        <v>0</v>
      </c>
      <c r="S817" s="307">
        <f t="shared" ca="1" si="369"/>
        <v>4.341000000000002</v>
      </c>
      <c r="T817" s="304">
        <f t="shared" ca="1" si="349"/>
        <v>42.585210000000025</v>
      </c>
      <c r="U817" s="311">
        <f t="shared" ca="1" si="350"/>
        <v>0</v>
      </c>
      <c r="V817" s="306">
        <f t="shared" ca="1" si="351"/>
        <v>1.2258792088169168</v>
      </c>
      <c r="W817" s="304">
        <f t="shared" ca="1" si="352"/>
        <v>38.798126609511471</v>
      </c>
      <c r="Y817" s="314" t="str">
        <f t="shared" ca="1" si="370"/>
        <v/>
      </c>
      <c r="Z817" s="315" t="str">
        <f t="shared" ca="1" si="371"/>
        <v/>
      </c>
      <c r="AA817" s="316" t="str">
        <f t="shared" ca="1" si="372"/>
        <v/>
      </c>
      <c r="AC817" s="310" t="e">
        <f t="shared" ca="1" si="373"/>
        <v>#N/A</v>
      </c>
      <c r="AD817" s="323" t="e">
        <f t="shared" ca="1" si="374"/>
        <v>#N/A</v>
      </c>
      <c r="AE817" s="324" t="e">
        <f t="shared" ca="1" si="353"/>
        <v>#N/A</v>
      </c>
      <c r="AG817" s="306">
        <f t="shared" ca="1" si="375"/>
        <v>0.8458031587488275</v>
      </c>
      <c r="AH817" s="304">
        <f t="shared" ca="1" si="376"/>
        <v>-8.9375770429071366</v>
      </c>
    </row>
    <row r="818" spans="1:34" x14ac:dyDescent="0.2">
      <c r="A818" s="347">
        <f t="shared" ca="1" si="354"/>
        <v>1E-4</v>
      </c>
      <c r="B818" s="304">
        <f t="shared" ca="1" si="355"/>
        <v>28.643800000000038</v>
      </c>
      <c r="D818" s="306">
        <f t="shared" ca="1" si="356"/>
        <v>-0.65796792713338292</v>
      </c>
      <c r="E818" s="307">
        <f t="shared" ca="1" si="357"/>
        <v>-0.89665087664376131</v>
      </c>
      <c r="F818" s="304">
        <f t="shared" ca="1" si="358"/>
        <v>1.11216212294891</v>
      </c>
      <c r="G818" s="306">
        <f t="shared" ca="1" si="359"/>
        <v>7.2709331711960496</v>
      </c>
      <c r="H818" s="307">
        <f t="shared" ca="1" si="360"/>
        <v>-98.49873922632807</v>
      </c>
      <c r="I818" s="304">
        <f t="shared" ca="1" si="361"/>
        <v>98.766735788706612</v>
      </c>
      <c r="J818" s="306">
        <f t="shared" ca="1" si="362"/>
        <v>678.53524446899166</v>
      </c>
      <c r="K818" s="307">
        <f t="shared" ca="1" si="363"/>
        <v>-7.1844900047340454</v>
      </c>
      <c r="L818" s="304">
        <f t="shared" ca="1" si="348"/>
        <v>678.5732789339869</v>
      </c>
      <c r="M818" s="306">
        <f t="shared" ca="1" si="364"/>
        <v>-1.497112442771535</v>
      </c>
      <c r="N818" s="304">
        <f t="shared" ca="1" si="365"/>
        <v>-85.778224427329945</v>
      </c>
      <c r="P818" s="310">
        <f t="shared" ca="1" si="366"/>
        <v>23</v>
      </c>
      <c r="Q818" s="304">
        <f t="shared" ca="1" si="367"/>
        <v>0</v>
      </c>
      <c r="R818" s="306">
        <f t="shared" ca="1" si="368"/>
        <v>0</v>
      </c>
      <c r="S818" s="307">
        <f t="shared" ca="1" si="369"/>
        <v>4.341000000000002</v>
      </c>
      <c r="T818" s="304">
        <f t="shared" ca="1" si="349"/>
        <v>42.585210000000025</v>
      </c>
      <c r="U818" s="311">
        <f t="shared" ca="1" si="350"/>
        <v>0</v>
      </c>
      <c r="V818" s="306">
        <f t="shared" ca="1" si="351"/>
        <v>1.2258804162926826</v>
      </c>
      <c r="W818" s="304">
        <f t="shared" ca="1" si="352"/>
        <v>38.798231274170519</v>
      </c>
      <c r="Y818" s="314" t="str">
        <f t="shared" ca="1" si="370"/>
        <v/>
      </c>
      <c r="Z818" s="315" t="str">
        <f t="shared" ca="1" si="371"/>
        <v/>
      </c>
      <c r="AA818" s="316" t="str">
        <f t="shared" ca="1" si="372"/>
        <v/>
      </c>
      <c r="AC818" s="310" t="e">
        <f t="shared" ca="1" si="373"/>
        <v>#N/A</v>
      </c>
      <c r="AD818" s="323" t="e">
        <f t="shared" ca="1" si="374"/>
        <v>#N/A</v>
      </c>
      <c r="AE818" s="324" t="e">
        <f t="shared" ca="1" si="353"/>
        <v>#N/A</v>
      </c>
      <c r="AG818" s="306">
        <f t="shared" ca="1" si="375"/>
        <v>0.84577957573889506</v>
      </c>
      <c r="AH818" s="304">
        <f t="shared" ca="1" si="376"/>
        <v>-8.9376011539994131</v>
      </c>
    </row>
    <row r="819" spans="1:34" x14ac:dyDescent="0.2">
      <c r="A819" s="347">
        <f t="shared" ca="1" si="354"/>
        <v>1E-4</v>
      </c>
      <c r="B819" s="304">
        <f t="shared" ca="1" si="355"/>
        <v>28.643900000000038</v>
      </c>
      <c r="D819" s="306">
        <f t="shared" ca="1" si="356"/>
        <v>-0.65796318456885106</v>
      </c>
      <c r="E819" s="307">
        <f t="shared" ca="1" si="357"/>
        <v>-0.8966263502308145</v>
      </c>
      <c r="F819" s="304">
        <f t="shared" ca="1" si="358"/>
        <v>1.1121395434819388</v>
      </c>
      <c r="G819" s="306">
        <f t="shared" ca="1" si="359"/>
        <v>7.2708673748775929</v>
      </c>
      <c r="H819" s="307">
        <f t="shared" ca="1" si="360"/>
        <v>-98.498828888963089</v>
      </c>
      <c r="I819" s="304">
        <f t="shared" ca="1" si="361"/>
        <v>98.766820364332318</v>
      </c>
      <c r="J819" s="306">
        <f t="shared" ca="1" si="362"/>
        <v>678.53524446899166</v>
      </c>
      <c r="K819" s="307">
        <f t="shared" ca="1" si="363"/>
        <v>-7.1943398831398095</v>
      </c>
      <c r="L819" s="304">
        <f t="shared" ca="1" si="348"/>
        <v>678.57338329243987</v>
      </c>
      <c r="M819" s="306">
        <f t="shared" ca="1" si="364"/>
        <v>-1.4971131739735628</v>
      </c>
      <c r="N819" s="304">
        <f t="shared" ca="1" si="365"/>
        <v>-85.778266322120118</v>
      </c>
      <c r="P819" s="310">
        <f t="shared" ca="1" si="366"/>
        <v>23</v>
      </c>
      <c r="Q819" s="304">
        <f t="shared" ca="1" si="367"/>
        <v>0</v>
      </c>
      <c r="R819" s="306">
        <f t="shared" ca="1" si="368"/>
        <v>0</v>
      </c>
      <c r="S819" s="307">
        <f t="shared" ca="1" si="369"/>
        <v>4.341000000000002</v>
      </c>
      <c r="T819" s="304">
        <f t="shared" ca="1" si="349"/>
        <v>42.585210000000025</v>
      </c>
      <c r="U819" s="311">
        <f t="shared" ca="1" si="350"/>
        <v>0</v>
      </c>
      <c r="V819" s="306">
        <f t="shared" ca="1" si="351"/>
        <v>1.2258816237707375</v>
      </c>
      <c r="W819" s="304">
        <f t="shared" ca="1" si="352"/>
        <v>38.798335937237027</v>
      </c>
      <c r="Y819" s="314" t="str">
        <f t="shared" ca="1" si="370"/>
        <v/>
      </c>
      <c r="Z819" s="315" t="str">
        <f t="shared" ca="1" si="371"/>
        <v/>
      </c>
      <c r="AA819" s="316" t="str">
        <f t="shared" ca="1" si="372"/>
        <v/>
      </c>
      <c r="AC819" s="310" t="e">
        <f t="shared" ca="1" si="373"/>
        <v>#N/A</v>
      </c>
      <c r="AD819" s="323" t="e">
        <f t="shared" ca="1" si="374"/>
        <v>#N/A</v>
      </c>
      <c r="AE819" s="324" t="e">
        <f t="shared" ca="1" si="353"/>
        <v>#N/A</v>
      </c>
      <c r="AG819" s="306">
        <f t="shared" ca="1" si="375"/>
        <v>0.84575599308490546</v>
      </c>
      <c r="AH819" s="304">
        <f t="shared" ca="1" si="376"/>
        <v>-8.9376252647248329</v>
      </c>
    </row>
    <row r="820" spans="1:34" x14ac:dyDescent="0.2">
      <c r="A820" s="347">
        <f t="shared" ca="1" si="354"/>
        <v>1E-4</v>
      </c>
      <c r="B820" s="304">
        <f t="shared" ca="1" si="355"/>
        <v>28.644000000000037</v>
      </c>
      <c r="D820" s="306">
        <f t="shared" ca="1" si="356"/>
        <v>-0.6579584420119361</v>
      </c>
      <c r="E820" s="307">
        <f t="shared" ca="1" si="357"/>
        <v>-0.89660182419108025</v>
      </c>
      <c r="F820" s="304">
        <f t="shared" ca="1" si="358"/>
        <v>1.1121169644230535</v>
      </c>
      <c r="G820" s="306">
        <f t="shared" ca="1" si="359"/>
        <v>7.2708015790333915</v>
      </c>
      <c r="H820" s="307">
        <f t="shared" ca="1" si="360"/>
        <v>-98.498918549145515</v>
      </c>
      <c r="I820" s="304">
        <f t="shared" ca="1" si="361"/>
        <v>98.766904937599804</v>
      </c>
      <c r="J820" s="306">
        <f t="shared" ca="1" si="362"/>
        <v>678.53524446899166</v>
      </c>
      <c r="K820" s="307">
        <f t="shared" ca="1" si="363"/>
        <v>-7.2041897705117153</v>
      </c>
      <c r="L820" s="304">
        <f t="shared" ca="1" si="348"/>
        <v>678.5734877939484</v>
      </c>
      <c r="M820" s="306">
        <f t="shared" ca="1" si="364"/>
        <v>-1.4971139051677214</v>
      </c>
      <c r="N820" s="304">
        <f t="shared" ca="1" si="365"/>
        <v>-85.778308216459408</v>
      </c>
      <c r="P820" s="310">
        <f t="shared" ca="1" si="366"/>
        <v>23</v>
      </c>
      <c r="Q820" s="304">
        <f t="shared" ca="1" si="367"/>
        <v>0</v>
      </c>
      <c r="R820" s="306">
        <f t="shared" ca="1" si="368"/>
        <v>0</v>
      </c>
      <c r="S820" s="307">
        <f t="shared" ca="1" si="369"/>
        <v>4.341000000000002</v>
      </c>
      <c r="T820" s="304">
        <f t="shared" ca="1" si="349"/>
        <v>42.585210000000025</v>
      </c>
      <c r="U820" s="311">
        <f t="shared" ca="1" si="350"/>
        <v>0</v>
      </c>
      <c r="V820" s="306">
        <f t="shared" ca="1" si="351"/>
        <v>1.2258828312510812</v>
      </c>
      <c r="W820" s="304">
        <f t="shared" ca="1" si="352"/>
        <v>38.798440598711032</v>
      </c>
      <c r="Y820" s="314" t="str">
        <f t="shared" ca="1" si="370"/>
        <v/>
      </c>
      <c r="Z820" s="315" t="str">
        <f t="shared" ca="1" si="371"/>
        <v/>
      </c>
      <c r="AA820" s="316" t="str">
        <f t="shared" ca="1" si="372"/>
        <v/>
      </c>
      <c r="AC820" s="310" t="e">
        <f t="shared" ca="1" si="373"/>
        <v>#N/A</v>
      </c>
      <c r="AD820" s="323" t="e">
        <f t="shared" ca="1" si="374"/>
        <v>#N/A</v>
      </c>
      <c r="AE820" s="324" t="e">
        <f t="shared" ca="1" si="353"/>
        <v>#N/A</v>
      </c>
      <c r="AG820" s="306">
        <f t="shared" ca="1" si="375"/>
        <v>0.84573241078686223</v>
      </c>
      <c r="AH820" s="304">
        <f t="shared" ca="1" si="376"/>
        <v>-8.9376493750833923</v>
      </c>
    </row>
    <row r="821" spans="1:34" x14ac:dyDescent="0.2">
      <c r="A821" s="347">
        <f t="shared" ca="1" si="354"/>
        <v>1E-4</v>
      </c>
      <c r="B821" s="304">
        <f t="shared" ca="1" si="355"/>
        <v>28.644100000000037</v>
      </c>
      <c r="D821" s="306">
        <f t="shared" ca="1" si="356"/>
        <v>-0.65795369946264204</v>
      </c>
      <c r="E821" s="307">
        <f t="shared" ca="1" si="357"/>
        <v>-0.8965772985245497</v>
      </c>
      <c r="F821" s="304">
        <f t="shared" ca="1" si="358"/>
        <v>1.1120943857722492</v>
      </c>
      <c r="G821" s="306">
        <f t="shared" ca="1" si="359"/>
        <v>7.2707357836634454</v>
      </c>
      <c r="H821" s="307">
        <f t="shared" ca="1" si="360"/>
        <v>-98.499008206875374</v>
      </c>
      <c r="I821" s="304">
        <f t="shared" ca="1" si="361"/>
        <v>98.766989508509099</v>
      </c>
      <c r="J821" s="306">
        <f t="shared" ca="1" si="362"/>
        <v>678.53524446899166</v>
      </c>
      <c r="K821" s="307">
        <f t="shared" ca="1" si="363"/>
        <v>-7.2140396668495166</v>
      </c>
      <c r="L821" s="304">
        <f t="shared" ca="1" si="348"/>
        <v>678.57359243851306</v>
      </c>
      <c r="M821" s="306">
        <f t="shared" ca="1" si="364"/>
        <v>-1.4971146363540109</v>
      </c>
      <c r="N821" s="304">
        <f t="shared" ca="1" si="365"/>
        <v>-85.77835011034783</v>
      </c>
      <c r="P821" s="310">
        <f t="shared" ca="1" si="366"/>
        <v>23</v>
      </c>
      <c r="Q821" s="304">
        <f t="shared" ca="1" si="367"/>
        <v>0</v>
      </c>
      <c r="R821" s="306">
        <f t="shared" ca="1" si="368"/>
        <v>0</v>
      </c>
      <c r="S821" s="307">
        <f t="shared" ca="1" si="369"/>
        <v>4.341000000000002</v>
      </c>
      <c r="T821" s="304">
        <f t="shared" ca="1" si="349"/>
        <v>42.585210000000025</v>
      </c>
      <c r="U821" s="311">
        <f t="shared" ca="1" si="350"/>
        <v>0</v>
      </c>
      <c r="V821" s="306">
        <f t="shared" ca="1" si="351"/>
        <v>1.2258840387337138</v>
      </c>
      <c r="W821" s="304">
        <f t="shared" ca="1" si="352"/>
        <v>38.798545258592519</v>
      </c>
      <c r="Y821" s="314" t="str">
        <f t="shared" ca="1" si="370"/>
        <v/>
      </c>
      <c r="Z821" s="315" t="str">
        <f t="shared" ca="1" si="371"/>
        <v/>
      </c>
      <c r="AA821" s="316" t="str">
        <f t="shared" ca="1" si="372"/>
        <v/>
      </c>
      <c r="AC821" s="310" t="e">
        <f t="shared" ca="1" si="373"/>
        <v>#N/A</v>
      </c>
      <c r="AD821" s="323" t="e">
        <f t="shared" ca="1" si="374"/>
        <v>#N/A</v>
      </c>
      <c r="AE821" s="324" t="e">
        <f t="shared" ca="1" si="353"/>
        <v>#N/A</v>
      </c>
      <c r="AG821" s="306">
        <f t="shared" ca="1" si="375"/>
        <v>0.84570882884475296</v>
      </c>
      <c r="AH821" s="304">
        <f t="shared" ca="1" si="376"/>
        <v>-8.9376734850751021</v>
      </c>
    </row>
    <row r="822" spans="1:34" x14ac:dyDescent="0.2">
      <c r="A822" s="347">
        <f t="shared" ca="1" si="354"/>
        <v>1E-4</v>
      </c>
      <c r="B822" s="304">
        <f t="shared" ca="1" si="355"/>
        <v>28.644200000000037</v>
      </c>
      <c r="D822" s="306">
        <f t="shared" ca="1" si="356"/>
        <v>-0.65794895692096789</v>
      </c>
      <c r="E822" s="307">
        <f t="shared" ca="1" si="357"/>
        <v>-0.89655277323122462</v>
      </c>
      <c r="F822" s="304">
        <f t="shared" ca="1" si="358"/>
        <v>1.1120718075295271</v>
      </c>
      <c r="G822" s="306">
        <f t="shared" ca="1" si="359"/>
        <v>7.2706699887677537</v>
      </c>
      <c r="H822" s="307">
        <f t="shared" ca="1" si="360"/>
        <v>-98.499097862152695</v>
      </c>
      <c r="I822" s="304">
        <f t="shared" ca="1" si="361"/>
        <v>98.767074077060229</v>
      </c>
      <c r="J822" s="306">
        <f t="shared" ca="1" si="362"/>
        <v>678.53524446899166</v>
      </c>
      <c r="K822" s="307">
        <f t="shared" ca="1" si="363"/>
        <v>-7.2238895721529683</v>
      </c>
      <c r="L822" s="304">
        <f t="shared" ca="1" si="348"/>
        <v>678.57369722613396</v>
      </c>
      <c r="M822" s="306">
        <f t="shared" ca="1" si="364"/>
        <v>-1.4971153675324318</v>
      </c>
      <c r="N822" s="304">
        <f t="shared" ca="1" si="365"/>
        <v>-85.778392003785413</v>
      </c>
      <c r="P822" s="310">
        <f t="shared" ca="1" si="366"/>
        <v>23</v>
      </c>
      <c r="Q822" s="304">
        <f t="shared" ca="1" si="367"/>
        <v>0</v>
      </c>
      <c r="R822" s="306">
        <f t="shared" ca="1" si="368"/>
        <v>0</v>
      </c>
      <c r="S822" s="307">
        <f t="shared" ca="1" si="369"/>
        <v>4.341000000000002</v>
      </c>
      <c r="T822" s="304">
        <f t="shared" ca="1" si="349"/>
        <v>42.585210000000025</v>
      </c>
      <c r="U822" s="311">
        <f t="shared" ca="1" si="350"/>
        <v>0</v>
      </c>
      <c r="V822" s="306">
        <f t="shared" ca="1" si="351"/>
        <v>1.2258852462186351</v>
      </c>
      <c r="W822" s="304">
        <f t="shared" ca="1" si="352"/>
        <v>38.798649916881537</v>
      </c>
      <c r="Y822" s="314" t="str">
        <f t="shared" ca="1" si="370"/>
        <v/>
      </c>
      <c r="Z822" s="315" t="str">
        <f t="shared" ca="1" si="371"/>
        <v/>
      </c>
      <c r="AA822" s="316" t="str">
        <f t="shared" ca="1" si="372"/>
        <v/>
      </c>
      <c r="AC822" s="310" t="e">
        <f t="shared" ca="1" si="373"/>
        <v>#N/A</v>
      </c>
      <c r="AD822" s="323" t="e">
        <f t="shared" ca="1" si="374"/>
        <v>#N/A</v>
      </c>
      <c r="AE822" s="324" t="e">
        <f t="shared" ca="1" si="353"/>
        <v>#N/A</v>
      </c>
      <c r="AG822" s="306">
        <f t="shared" ca="1" si="375"/>
        <v>0.84568524725859007</v>
      </c>
      <c r="AH822" s="304">
        <f t="shared" ca="1" si="376"/>
        <v>-8.9376975946999551</v>
      </c>
    </row>
    <row r="823" spans="1:34" x14ac:dyDescent="0.2">
      <c r="A823" s="347">
        <f t="shared" ca="1" si="354"/>
        <v>1E-4</v>
      </c>
      <c r="B823" s="304">
        <f t="shared" ca="1" si="355"/>
        <v>28.644300000000037</v>
      </c>
      <c r="D823" s="306">
        <f t="shared" ca="1" si="356"/>
        <v>-0.65794421438691175</v>
      </c>
      <c r="E823" s="307">
        <f t="shared" ca="1" si="357"/>
        <v>-0.8965282483110979</v>
      </c>
      <c r="F823" s="304">
        <f t="shared" ca="1" si="358"/>
        <v>1.1120492296948801</v>
      </c>
      <c r="G823" s="306">
        <f t="shared" ca="1" si="359"/>
        <v>7.2706041943463147</v>
      </c>
      <c r="H823" s="307">
        <f t="shared" ca="1" si="360"/>
        <v>-98.499187514977521</v>
      </c>
      <c r="I823" s="304">
        <f t="shared" ca="1" si="361"/>
        <v>98.767158643253225</v>
      </c>
      <c r="J823" s="306">
        <f t="shared" ca="1" si="362"/>
        <v>678.53524446899166</v>
      </c>
      <c r="K823" s="307">
        <f t="shared" ca="1" si="363"/>
        <v>-7.2337394864218245</v>
      </c>
      <c r="L823" s="304">
        <f t="shared" ca="1" si="348"/>
        <v>678.57380215681155</v>
      </c>
      <c r="M823" s="306">
        <f t="shared" ca="1" si="364"/>
        <v>-1.4971160987029839</v>
      </c>
      <c r="N823" s="304">
        <f t="shared" ca="1" si="365"/>
        <v>-85.778433896772157</v>
      </c>
      <c r="P823" s="310">
        <f t="shared" ca="1" si="366"/>
        <v>23</v>
      </c>
      <c r="Q823" s="304">
        <f t="shared" ca="1" si="367"/>
        <v>0</v>
      </c>
      <c r="R823" s="306">
        <f t="shared" ca="1" si="368"/>
        <v>0</v>
      </c>
      <c r="S823" s="307">
        <f t="shared" ca="1" si="369"/>
        <v>4.341000000000002</v>
      </c>
      <c r="T823" s="304">
        <f t="shared" ca="1" si="349"/>
        <v>42.585210000000025</v>
      </c>
      <c r="U823" s="311">
        <f t="shared" ca="1" si="350"/>
        <v>0</v>
      </c>
      <c r="V823" s="306">
        <f t="shared" ca="1" si="351"/>
        <v>1.2258864537058456</v>
      </c>
      <c r="W823" s="304">
        <f t="shared" ca="1" si="352"/>
        <v>38.79875457357808</v>
      </c>
      <c r="Y823" s="314" t="str">
        <f t="shared" ca="1" si="370"/>
        <v/>
      </c>
      <c r="Z823" s="315" t="str">
        <f t="shared" ca="1" si="371"/>
        <v/>
      </c>
      <c r="AA823" s="316" t="str">
        <f t="shared" ca="1" si="372"/>
        <v/>
      </c>
      <c r="AC823" s="310" t="e">
        <f t="shared" ca="1" si="373"/>
        <v>#N/A</v>
      </c>
      <c r="AD823" s="323" t="e">
        <f t="shared" ca="1" si="374"/>
        <v>#N/A</v>
      </c>
      <c r="AE823" s="324" t="e">
        <f t="shared" ca="1" si="353"/>
        <v>#N/A</v>
      </c>
      <c r="AG823" s="306">
        <f t="shared" ca="1" si="375"/>
        <v>0.84566166602835757</v>
      </c>
      <c r="AH823" s="304">
        <f t="shared" ca="1" si="376"/>
        <v>-8.9377217039579637</v>
      </c>
    </row>
    <row r="824" spans="1:34" x14ac:dyDescent="0.2">
      <c r="A824" s="347">
        <f t="shared" ca="1" si="354"/>
        <v>1E-4</v>
      </c>
      <c r="B824" s="304">
        <f t="shared" ca="1" si="355"/>
        <v>28.644400000000036</v>
      </c>
      <c r="D824" s="306">
        <f t="shared" ca="1" si="356"/>
        <v>-0.65793947186047719</v>
      </c>
      <c r="E824" s="307">
        <f t="shared" ca="1" si="357"/>
        <v>-0.89650372376416776</v>
      </c>
      <c r="F824" s="304">
        <f t="shared" ca="1" si="358"/>
        <v>1.1120266522683091</v>
      </c>
      <c r="G824" s="306">
        <f t="shared" ca="1" si="359"/>
        <v>7.2705384003991282</v>
      </c>
      <c r="H824" s="307">
        <f t="shared" ca="1" si="360"/>
        <v>-98.499277165349895</v>
      </c>
      <c r="I824" s="304">
        <f t="shared" ca="1" si="361"/>
        <v>98.767243207088143</v>
      </c>
      <c r="J824" s="306">
        <f t="shared" ca="1" si="362"/>
        <v>678.53524446899166</v>
      </c>
      <c r="K824" s="307">
        <f t="shared" ca="1" si="363"/>
        <v>-7.2435894096558409</v>
      </c>
      <c r="L824" s="304">
        <f t="shared" ca="1" si="348"/>
        <v>678.57390723054618</v>
      </c>
      <c r="M824" s="306">
        <f t="shared" ca="1" si="364"/>
        <v>-1.4971168298656672</v>
      </c>
      <c r="N824" s="304">
        <f t="shared" ca="1" si="365"/>
        <v>-85.778475789308047</v>
      </c>
      <c r="P824" s="310">
        <f t="shared" ca="1" si="366"/>
        <v>23</v>
      </c>
      <c r="Q824" s="304">
        <f t="shared" ca="1" si="367"/>
        <v>0</v>
      </c>
      <c r="R824" s="306">
        <f t="shared" ca="1" si="368"/>
        <v>0</v>
      </c>
      <c r="S824" s="307">
        <f t="shared" ca="1" si="369"/>
        <v>4.341000000000002</v>
      </c>
      <c r="T824" s="304">
        <f t="shared" ca="1" si="349"/>
        <v>42.585210000000025</v>
      </c>
      <c r="U824" s="311">
        <f t="shared" ca="1" si="350"/>
        <v>0</v>
      </c>
      <c r="V824" s="306">
        <f t="shared" ca="1" si="351"/>
        <v>1.2258876611953446</v>
      </c>
      <c r="W824" s="304">
        <f t="shared" ca="1" si="352"/>
        <v>38.798859228682176</v>
      </c>
      <c r="Y824" s="314" t="str">
        <f t="shared" ca="1" si="370"/>
        <v/>
      </c>
      <c r="Z824" s="315" t="str">
        <f t="shared" ca="1" si="371"/>
        <v/>
      </c>
      <c r="AA824" s="316" t="str">
        <f t="shared" ca="1" si="372"/>
        <v/>
      </c>
      <c r="AC824" s="310" t="e">
        <f t="shared" ca="1" si="373"/>
        <v>#N/A</v>
      </c>
      <c r="AD824" s="323" t="e">
        <f t="shared" ca="1" si="374"/>
        <v>#N/A</v>
      </c>
      <c r="AE824" s="324" t="e">
        <f t="shared" ca="1" si="353"/>
        <v>#N/A</v>
      </c>
      <c r="AG824" s="306">
        <f t="shared" ca="1" si="375"/>
        <v>0.84563808515405547</v>
      </c>
      <c r="AH824" s="304">
        <f t="shared" ca="1" si="376"/>
        <v>-8.9377458128491281</v>
      </c>
    </row>
    <row r="825" spans="1:34" x14ac:dyDescent="0.2">
      <c r="A825" s="347">
        <f t="shared" ca="1" si="354"/>
        <v>1E-4</v>
      </c>
      <c r="B825" s="304">
        <f t="shared" ca="1" si="355"/>
        <v>28.644500000000036</v>
      </c>
      <c r="D825" s="306">
        <f t="shared" ca="1" si="356"/>
        <v>-0.65793472934166575</v>
      </c>
      <c r="E825" s="307">
        <f t="shared" ca="1" si="357"/>
        <v>-0.89647919959042532</v>
      </c>
      <c r="F825" s="304">
        <f t="shared" ca="1" si="358"/>
        <v>1.1120040752498079</v>
      </c>
      <c r="G825" s="306">
        <f t="shared" ca="1" si="359"/>
        <v>7.2704726069261945</v>
      </c>
      <c r="H825" s="307">
        <f t="shared" ca="1" si="360"/>
        <v>-98.499366813269859</v>
      </c>
      <c r="I825" s="304">
        <f t="shared" ca="1" si="361"/>
        <v>98.767327768564996</v>
      </c>
      <c r="J825" s="306">
        <f t="shared" ca="1" si="362"/>
        <v>678.53524446899166</v>
      </c>
      <c r="K825" s="307">
        <f t="shared" ca="1" si="363"/>
        <v>-7.2534393418547722</v>
      </c>
      <c r="L825" s="304">
        <f t="shared" ca="1" si="348"/>
        <v>678.57401244733819</v>
      </c>
      <c r="M825" s="306">
        <f t="shared" ca="1" si="364"/>
        <v>-1.4971175610204821</v>
      </c>
      <c r="N825" s="304">
        <f t="shared" ca="1" si="365"/>
        <v>-85.778517681393112</v>
      </c>
      <c r="P825" s="310">
        <f t="shared" ca="1" si="366"/>
        <v>23</v>
      </c>
      <c r="Q825" s="304">
        <f t="shared" ca="1" si="367"/>
        <v>0</v>
      </c>
      <c r="R825" s="306">
        <f t="shared" ca="1" si="368"/>
        <v>0</v>
      </c>
      <c r="S825" s="307">
        <f t="shared" ca="1" si="369"/>
        <v>4.341000000000002</v>
      </c>
      <c r="T825" s="304">
        <f t="shared" ca="1" si="349"/>
        <v>42.585210000000025</v>
      </c>
      <c r="U825" s="311">
        <f t="shared" ca="1" si="350"/>
        <v>0</v>
      </c>
      <c r="V825" s="306">
        <f t="shared" ca="1" si="351"/>
        <v>1.2258888686871323</v>
      </c>
      <c r="W825" s="304">
        <f t="shared" ca="1" si="352"/>
        <v>38.798963882193824</v>
      </c>
      <c r="Y825" s="314" t="str">
        <f t="shared" ca="1" si="370"/>
        <v/>
      </c>
      <c r="Z825" s="315" t="str">
        <f t="shared" ca="1" si="371"/>
        <v/>
      </c>
      <c r="AA825" s="316" t="str">
        <f t="shared" ca="1" si="372"/>
        <v/>
      </c>
      <c r="AC825" s="310" t="e">
        <f t="shared" ca="1" si="373"/>
        <v>#N/A</v>
      </c>
      <c r="AD825" s="323" t="e">
        <f t="shared" ca="1" si="374"/>
        <v>#N/A</v>
      </c>
      <c r="AE825" s="324" t="e">
        <f t="shared" ca="1" si="353"/>
        <v>#N/A</v>
      </c>
      <c r="AG825" s="306">
        <f t="shared" ca="1" si="375"/>
        <v>0.845614504635682</v>
      </c>
      <c r="AH825" s="304">
        <f t="shared" ca="1" si="376"/>
        <v>-8.9377699213734534</v>
      </c>
    </row>
    <row r="826" spans="1:34" x14ac:dyDescent="0.2">
      <c r="A826" s="347">
        <f t="shared" ca="1" si="354"/>
        <v>1E-4</v>
      </c>
      <c r="B826" s="304">
        <f t="shared" ca="1" si="355"/>
        <v>28.644600000000036</v>
      </c>
      <c r="D826" s="306">
        <f t="shared" ca="1" si="356"/>
        <v>-0.65792998683047521</v>
      </c>
      <c r="E826" s="307">
        <f t="shared" ca="1" si="357"/>
        <v>-0.8964546757898777</v>
      </c>
      <c r="F826" s="304">
        <f t="shared" ca="1" si="358"/>
        <v>1.1119814986393812</v>
      </c>
      <c r="G826" s="306">
        <f t="shared" ca="1" si="359"/>
        <v>7.2704068139275115</v>
      </c>
      <c r="H826" s="307">
        <f t="shared" ca="1" si="360"/>
        <v>-98.499456458737441</v>
      </c>
      <c r="I826" s="304">
        <f t="shared" ca="1" si="361"/>
        <v>98.767412327683857</v>
      </c>
      <c r="J826" s="306">
        <f t="shared" ca="1" si="362"/>
        <v>678.53524446899166</v>
      </c>
      <c r="K826" s="307">
        <f t="shared" ca="1" si="363"/>
        <v>-7.2632892830183726</v>
      </c>
      <c r="L826" s="304">
        <f t="shared" ca="1" si="348"/>
        <v>678.5741178071878</v>
      </c>
      <c r="M826" s="306">
        <f t="shared" ca="1" si="364"/>
        <v>-1.4971182921674286</v>
      </c>
      <c r="N826" s="304">
        <f t="shared" ca="1" si="365"/>
        <v>-85.778559573027351</v>
      </c>
      <c r="P826" s="310">
        <f t="shared" ca="1" si="366"/>
        <v>23</v>
      </c>
      <c r="Q826" s="304">
        <f t="shared" ca="1" si="367"/>
        <v>0</v>
      </c>
      <c r="R826" s="306">
        <f t="shared" ca="1" si="368"/>
        <v>0</v>
      </c>
      <c r="S826" s="307">
        <f t="shared" ca="1" si="369"/>
        <v>4.341000000000002</v>
      </c>
      <c r="T826" s="304">
        <f t="shared" ca="1" si="349"/>
        <v>42.585210000000025</v>
      </c>
      <c r="U826" s="311">
        <f t="shared" ca="1" si="350"/>
        <v>0</v>
      </c>
      <c r="V826" s="306">
        <f t="shared" ca="1" si="351"/>
        <v>1.2258900761812093</v>
      </c>
      <c r="W826" s="304">
        <f t="shared" ca="1" si="352"/>
        <v>38.799068534113104</v>
      </c>
      <c r="Y826" s="314" t="str">
        <f t="shared" ca="1" si="370"/>
        <v/>
      </c>
      <c r="Z826" s="315" t="str">
        <f t="shared" ca="1" si="371"/>
        <v/>
      </c>
      <c r="AA826" s="316" t="str">
        <f t="shared" ca="1" si="372"/>
        <v/>
      </c>
      <c r="AC826" s="310" t="e">
        <f t="shared" ca="1" si="373"/>
        <v>#N/A</v>
      </c>
      <c r="AD826" s="323" t="e">
        <f t="shared" ca="1" si="374"/>
        <v>#N/A</v>
      </c>
      <c r="AE826" s="324" t="e">
        <f t="shared" ca="1" si="353"/>
        <v>#N/A</v>
      </c>
      <c r="AG826" s="306">
        <f t="shared" ca="1" si="375"/>
        <v>0.84559092447323181</v>
      </c>
      <c r="AH826" s="304">
        <f t="shared" ca="1" si="376"/>
        <v>-8.9377940295309397</v>
      </c>
    </row>
    <row r="827" spans="1:34" x14ac:dyDescent="0.2">
      <c r="A827" s="347">
        <f t="shared" ca="1" si="354"/>
        <v>1E-4</v>
      </c>
      <c r="B827" s="304">
        <f t="shared" ca="1" si="355"/>
        <v>28.644700000000036</v>
      </c>
      <c r="D827" s="306">
        <f t="shared" ca="1" si="356"/>
        <v>-0.65792524432690802</v>
      </c>
      <c r="E827" s="307">
        <f t="shared" ca="1" si="357"/>
        <v>-0.89643015236250001</v>
      </c>
      <c r="F827" s="304">
        <f t="shared" ca="1" si="358"/>
        <v>1.1119589224370101</v>
      </c>
      <c r="G827" s="306">
        <f t="shared" ca="1" si="359"/>
        <v>7.2703410214030786</v>
      </c>
      <c r="H827" s="307">
        <f t="shared" ca="1" si="360"/>
        <v>-98.499546101752671</v>
      </c>
      <c r="I827" s="304">
        <f t="shared" ca="1" si="361"/>
        <v>98.767496884444711</v>
      </c>
      <c r="J827" s="306">
        <f t="shared" ca="1" si="362"/>
        <v>678.53524446899166</v>
      </c>
      <c r="K827" s="307">
        <f t="shared" ca="1" si="363"/>
        <v>-7.2731392331463969</v>
      </c>
      <c r="L827" s="304">
        <f t="shared" ca="1" si="348"/>
        <v>678.57422331009525</v>
      </c>
      <c r="M827" s="306">
        <f t="shared" ca="1" si="364"/>
        <v>-1.4971190233065068</v>
      </c>
      <c r="N827" s="304">
        <f t="shared" ca="1" si="365"/>
        <v>-85.778601464210766</v>
      </c>
      <c r="P827" s="310">
        <f t="shared" ca="1" si="366"/>
        <v>23</v>
      </c>
      <c r="Q827" s="304">
        <f t="shared" ca="1" si="367"/>
        <v>0</v>
      </c>
      <c r="R827" s="306">
        <f t="shared" ca="1" si="368"/>
        <v>0</v>
      </c>
      <c r="S827" s="307">
        <f t="shared" ca="1" si="369"/>
        <v>4.341000000000002</v>
      </c>
      <c r="T827" s="304">
        <f t="shared" ca="1" si="349"/>
        <v>42.585210000000025</v>
      </c>
      <c r="U827" s="311">
        <f t="shared" ca="1" si="350"/>
        <v>0</v>
      </c>
      <c r="V827" s="306">
        <f t="shared" ca="1" si="351"/>
        <v>1.2258912836775748</v>
      </c>
      <c r="W827" s="304">
        <f t="shared" ca="1" si="352"/>
        <v>38.799173184439958</v>
      </c>
      <c r="Y827" s="314" t="str">
        <f t="shared" ca="1" si="370"/>
        <v/>
      </c>
      <c r="Z827" s="315" t="str">
        <f t="shared" ca="1" si="371"/>
        <v/>
      </c>
      <c r="AA827" s="316" t="str">
        <f t="shared" ca="1" si="372"/>
        <v/>
      </c>
      <c r="AC827" s="310" t="e">
        <f t="shared" ca="1" si="373"/>
        <v>#N/A</v>
      </c>
      <c r="AD827" s="323" t="e">
        <f t="shared" ca="1" si="374"/>
        <v>#N/A</v>
      </c>
      <c r="AE827" s="324" t="e">
        <f t="shared" ca="1" si="353"/>
        <v>#N/A</v>
      </c>
      <c r="AG827" s="306">
        <f t="shared" ca="1" si="375"/>
        <v>0.84556734466669425</v>
      </c>
      <c r="AH827" s="304">
        <f t="shared" ca="1" si="376"/>
        <v>-8.9378181373216048</v>
      </c>
    </row>
    <row r="828" spans="1:34" x14ac:dyDescent="0.2">
      <c r="A828" s="347">
        <f t="shared" ca="1" si="354"/>
        <v>1E-4</v>
      </c>
      <c r="B828" s="304">
        <f t="shared" ca="1" si="355"/>
        <v>28.644800000000036</v>
      </c>
      <c r="D828" s="306">
        <f t="shared" ca="1" si="356"/>
        <v>-0.65792050183096462</v>
      </c>
      <c r="E828" s="307">
        <f t="shared" ca="1" si="357"/>
        <v>-0.89640562930830825</v>
      </c>
      <c r="F828" s="304">
        <f t="shared" ca="1" si="358"/>
        <v>1.1119363466427079</v>
      </c>
      <c r="G828" s="306">
        <f t="shared" ca="1" si="359"/>
        <v>7.2702752293528956</v>
      </c>
      <c r="H828" s="307">
        <f t="shared" ca="1" si="360"/>
        <v>-98.499635742315604</v>
      </c>
      <c r="I828" s="304">
        <f t="shared" ca="1" si="361"/>
        <v>98.767581438847628</v>
      </c>
      <c r="J828" s="306">
        <f t="shared" ca="1" si="362"/>
        <v>678.53524446899166</v>
      </c>
      <c r="K828" s="307">
        <f t="shared" ca="1" si="363"/>
        <v>-7.2829891922385999</v>
      </c>
      <c r="L828" s="304">
        <f t="shared" ca="1" si="348"/>
        <v>678.57432895606109</v>
      </c>
      <c r="M828" s="306">
        <f t="shared" ca="1" si="364"/>
        <v>-1.4971197544377168</v>
      </c>
      <c r="N828" s="304">
        <f t="shared" ca="1" si="365"/>
        <v>-85.77864335494337</v>
      </c>
      <c r="P828" s="310">
        <f t="shared" ca="1" si="366"/>
        <v>23</v>
      </c>
      <c r="Q828" s="304">
        <f t="shared" ca="1" si="367"/>
        <v>0</v>
      </c>
      <c r="R828" s="306">
        <f t="shared" ca="1" si="368"/>
        <v>0</v>
      </c>
      <c r="S828" s="307">
        <f t="shared" ca="1" si="369"/>
        <v>4.341000000000002</v>
      </c>
      <c r="T828" s="304">
        <f t="shared" ca="1" si="349"/>
        <v>42.585210000000025</v>
      </c>
      <c r="U828" s="311">
        <f t="shared" ca="1" si="350"/>
        <v>0</v>
      </c>
      <c r="V828" s="306">
        <f t="shared" ca="1" si="351"/>
        <v>1.2258924911762288</v>
      </c>
      <c r="W828" s="304">
        <f t="shared" ca="1" si="352"/>
        <v>38.799277833174436</v>
      </c>
      <c r="Y828" s="314" t="str">
        <f t="shared" ca="1" si="370"/>
        <v/>
      </c>
      <c r="Z828" s="315" t="str">
        <f t="shared" ca="1" si="371"/>
        <v/>
      </c>
      <c r="AA828" s="316" t="str">
        <f t="shared" ca="1" si="372"/>
        <v/>
      </c>
      <c r="AC828" s="310" t="e">
        <f t="shared" ca="1" si="373"/>
        <v>#N/A</v>
      </c>
      <c r="AD828" s="323" t="e">
        <f t="shared" ca="1" si="374"/>
        <v>#N/A</v>
      </c>
      <c r="AE828" s="324" t="e">
        <f t="shared" ca="1" si="353"/>
        <v>#N/A</v>
      </c>
      <c r="AG828" s="306">
        <f t="shared" ca="1" si="375"/>
        <v>0.84554376521607821</v>
      </c>
      <c r="AH828" s="304">
        <f t="shared" ca="1" si="376"/>
        <v>-8.9378422447454362</v>
      </c>
    </row>
    <row r="829" spans="1:34" x14ac:dyDescent="0.2">
      <c r="A829" s="347">
        <f t="shared" ca="1" si="354"/>
        <v>1E-4</v>
      </c>
      <c r="B829" s="304">
        <f t="shared" ca="1" si="355"/>
        <v>28.644900000000035</v>
      </c>
      <c r="D829" s="306">
        <f t="shared" ca="1" si="356"/>
        <v>-0.65791575934264557</v>
      </c>
      <c r="E829" s="307">
        <f t="shared" ca="1" si="357"/>
        <v>-0.8963811066272882</v>
      </c>
      <c r="F829" s="304">
        <f t="shared" ca="1" si="358"/>
        <v>1.1119137712564637</v>
      </c>
      <c r="G829" s="306">
        <f t="shared" ca="1" si="359"/>
        <v>7.2702094377769617</v>
      </c>
      <c r="H829" s="307">
        <f t="shared" ca="1" si="360"/>
        <v>-98.49972538042627</v>
      </c>
      <c r="I829" s="304">
        <f t="shared" ca="1" si="361"/>
        <v>98.767665990892652</v>
      </c>
      <c r="J829" s="306">
        <f t="shared" ca="1" si="362"/>
        <v>678.53524446899166</v>
      </c>
      <c r="K829" s="307">
        <f t="shared" ca="1" si="363"/>
        <v>-7.2928391602947373</v>
      </c>
      <c r="L829" s="304">
        <f t="shared" ca="1" si="348"/>
        <v>678.57443474508545</v>
      </c>
      <c r="M829" s="306">
        <f t="shared" ca="1" si="364"/>
        <v>-1.4971204855610587</v>
      </c>
      <c r="N829" s="304">
        <f t="shared" ca="1" si="365"/>
        <v>-85.778685245225162</v>
      </c>
      <c r="P829" s="310">
        <f t="shared" ca="1" si="366"/>
        <v>23</v>
      </c>
      <c r="Q829" s="304">
        <f t="shared" ca="1" si="367"/>
        <v>0</v>
      </c>
      <c r="R829" s="306">
        <f t="shared" ca="1" si="368"/>
        <v>0</v>
      </c>
      <c r="S829" s="307">
        <f t="shared" ca="1" si="369"/>
        <v>4.341000000000002</v>
      </c>
      <c r="T829" s="304">
        <f t="shared" ca="1" si="349"/>
        <v>42.585210000000025</v>
      </c>
      <c r="U829" s="311">
        <f t="shared" ca="1" si="350"/>
        <v>0</v>
      </c>
      <c r="V829" s="306">
        <f t="shared" ca="1" si="351"/>
        <v>1.2258936986771716</v>
      </c>
      <c r="W829" s="304">
        <f t="shared" ca="1" si="352"/>
        <v>38.799382480316567</v>
      </c>
      <c r="Y829" s="314" t="str">
        <f t="shared" ca="1" si="370"/>
        <v/>
      </c>
      <c r="Z829" s="315" t="str">
        <f t="shared" ca="1" si="371"/>
        <v/>
      </c>
      <c r="AA829" s="316" t="str">
        <f t="shared" ca="1" si="372"/>
        <v/>
      </c>
      <c r="AC829" s="310" t="e">
        <f t="shared" ca="1" si="373"/>
        <v>#N/A</v>
      </c>
      <c r="AD829" s="323" t="e">
        <f t="shared" ca="1" si="374"/>
        <v>#N/A</v>
      </c>
      <c r="AE829" s="324" t="e">
        <f t="shared" ca="1" si="353"/>
        <v>#N/A</v>
      </c>
      <c r="AG829" s="306">
        <f t="shared" ca="1" si="375"/>
        <v>0.84552018612137125</v>
      </c>
      <c r="AH829" s="304">
        <f t="shared" ca="1" si="376"/>
        <v>-8.9378663518024464</v>
      </c>
    </row>
    <row r="830" spans="1:34" x14ac:dyDescent="0.2">
      <c r="A830" s="347">
        <f t="shared" ca="1" si="354"/>
        <v>1E-4</v>
      </c>
      <c r="B830" s="304">
        <f t="shared" ca="1" si="355"/>
        <v>28.645000000000035</v>
      </c>
      <c r="D830" s="306">
        <f t="shared" ca="1" si="356"/>
        <v>-0.65791101686195219</v>
      </c>
      <c r="E830" s="307">
        <f t="shared" ca="1" si="357"/>
        <v>-0.8963565843194381</v>
      </c>
      <c r="F830" s="304">
        <f t="shared" ca="1" si="358"/>
        <v>1.1118911962782769</v>
      </c>
      <c r="G830" s="306">
        <f t="shared" ca="1" si="359"/>
        <v>7.2701436466752751</v>
      </c>
      <c r="H830" s="307">
        <f t="shared" ca="1" si="360"/>
        <v>-98.499815016084696</v>
      </c>
      <c r="I830" s="304">
        <f t="shared" ca="1" si="361"/>
        <v>98.767750540579769</v>
      </c>
      <c r="J830" s="306">
        <f t="shared" ca="1" si="362"/>
        <v>678.53524446899166</v>
      </c>
      <c r="K830" s="307">
        <f t="shared" ca="1" si="363"/>
        <v>-7.3026891373145633</v>
      </c>
      <c r="L830" s="304">
        <f t="shared" ca="1" si="348"/>
        <v>678.57454067716878</v>
      </c>
      <c r="M830" s="306">
        <f t="shared" ca="1" si="364"/>
        <v>-1.4971212166765326</v>
      </c>
      <c r="N830" s="304">
        <f t="shared" ca="1" si="365"/>
        <v>-85.778727135056158</v>
      </c>
      <c r="P830" s="310">
        <f t="shared" ca="1" si="366"/>
        <v>23</v>
      </c>
      <c r="Q830" s="304">
        <f t="shared" ca="1" si="367"/>
        <v>0</v>
      </c>
      <c r="R830" s="306">
        <f t="shared" ca="1" si="368"/>
        <v>0</v>
      </c>
      <c r="S830" s="307">
        <f t="shared" ca="1" si="369"/>
        <v>4.341000000000002</v>
      </c>
      <c r="T830" s="304">
        <f t="shared" ca="1" si="349"/>
        <v>42.585210000000025</v>
      </c>
      <c r="U830" s="311">
        <f t="shared" ca="1" si="350"/>
        <v>0</v>
      </c>
      <c r="V830" s="306">
        <f t="shared" ca="1" si="351"/>
        <v>1.2258949061804034</v>
      </c>
      <c r="W830" s="304">
        <f t="shared" ca="1" si="352"/>
        <v>38.799487125866349</v>
      </c>
      <c r="Y830" s="314" t="str">
        <f t="shared" ca="1" si="370"/>
        <v/>
      </c>
      <c r="Z830" s="315" t="str">
        <f t="shared" ca="1" si="371"/>
        <v/>
      </c>
      <c r="AA830" s="316" t="str">
        <f t="shared" ca="1" si="372"/>
        <v/>
      </c>
      <c r="AC830" s="310" t="e">
        <f t="shared" ca="1" si="373"/>
        <v>#N/A</v>
      </c>
      <c r="AD830" s="323" t="e">
        <f t="shared" ca="1" si="374"/>
        <v>#N/A</v>
      </c>
      <c r="AE830" s="324" t="e">
        <f t="shared" ca="1" si="353"/>
        <v>#N/A</v>
      </c>
      <c r="AG830" s="306">
        <f t="shared" ca="1" si="375"/>
        <v>0.84549660738256982</v>
      </c>
      <c r="AH830" s="304">
        <f t="shared" ca="1" si="376"/>
        <v>-8.9378904584926389</v>
      </c>
    </row>
    <row r="831" spans="1:34" x14ac:dyDescent="0.2">
      <c r="A831" s="347">
        <f t="shared" ca="1" si="354"/>
        <v>1E-4</v>
      </c>
      <c r="B831" s="304">
        <f t="shared" ca="1" si="355"/>
        <v>28.645100000000035</v>
      </c>
      <c r="D831" s="306">
        <f t="shared" ca="1" si="356"/>
        <v>-0.65790627438888449</v>
      </c>
      <c r="E831" s="307">
        <f t="shared" ca="1" si="357"/>
        <v>-0.89633206238475438</v>
      </c>
      <c r="F831" s="304">
        <f t="shared" ca="1" si="358"/>
        <v>1.1118686217081446</v>
      </c>
      <c r="G831" s="306">
        <f t="shared" ca="1" si="359"/>
        <v>7.2700778560478359</v>
      </c>
      <c r="H831" s="307">
        <f t="shared" ca="1" si="360"/>
        <v>-98.49990464929094</v>
      </c>
      <c r="I831" s="304">
        <f t="shared" ca="1" si="361"/>
        <v>98.767835087909077</v>
      </c>
      <c r="J831" s="306">
        <f t="shared" ca="1" si="362"/>
        <v>678.53524446899166</v>
      </c>
      <c r="K831" s="307">
        <f t="shared" ca="1" si="363"/>
        <v>-7.3125391232978316</v>
      </c>
      <c r="L831" s="304">
        <f t="shared" ca="1" si="348"/>
        <v>678.57464675231131</v>
      </c>
      <c r="M831" s="306">
        <f t="shared" ca="1" si="364"/>
        <v>-1.4971219477841387</v>
      </c>
      <c r="N831" s="304">
        <f t="shared" ca="1" si="365"/>
        <v>-85.778769024436357</v>
      </c>
      <c r="P831" s="310">
        <f t="shared" ca="1" si="366"/>
        <v>23</v>
      </c>
      <c r="Q831" s="304">
        <f t="shared" ca="1" si="367"/>
        <v>0</v>
      </c>
      <c r="R831" s="306">
        <f t="shared" ca="1" si="368"/>
        <v>0</v>
      </c>
      <c r="S831" s="307">
        <f t="shared" ca="1" si="369"/>
        <v>4.341000000000002</v>
      </c>
      <c r="T831" s="304">
        <f t="shared" ca="1" si="349"/>
        <v>42.585210000000025</v>
      </c>
      <c r="U831" s="311">
        <f t="shared" ca="1" si="350"/>
        <v>0</v>
      </c>
      <c r="V831" s="306">
        <f t="shared" ca="1" si="351"/>
        <v>1.2258961136859234</v>
      </c>
      <c r="W831" s="304">
        <f t="shared" ca="1" si="352"/>
        <v>38.799591769823806</v>
      </c>
      <c r="Y831" s="314" t="str">
        <f t="shared" ca="1" si="370"/>
        <v/>
      </c>
      <c r="Z831" s="315" t="str">
        <f t="shared" ca="1" si="371"/>
        <v/>
      </c>
      <c r="AA831" s="316" t="str">
        <f t="shared" ca="1" si="372"/>
        <v/>
      </c>
      <c r="AC831" s="310" t="e">
        <f t="shared" ca="1" si="373"/>
        <v>#N/A</v>
      </c>
      <c r="AD831" s="323" t="e">
        <f t="shared" ca="1" si="374"/>
        <v>#N/A</v>
      </c>
      <c r="AE831" s="324" t="e">
        <f t="shared" ca="1" si="353"/>
        <v>#N/A</v>
      </c>
      <c r="AG831" s="306">
        <f t="shared" ca="1" si="375"/>
        <v>0.84547302899967036</v>
      </c>
      <c r="AH831" s="304">
        <f t="shared" ca="1" si="376"/>
        <v>-8.9379145648160172</v>
      </c>
    </row>
    <row r="832" spans="1:34" x14ac:dyDescent="0.2">
      <c r="A832" s="347">
        <f t="shared" ca="1" si="354"/>
        <v>1E-4</v>
      </c>
      <c r="B832" s="304">
        <f t="shared" ca="1" si="355"/>
        <v>28.645200000000035</v>
      </c>
      <c r="D832" s="306">
        <f t="shared" ca="1" si="356"/>
        <v>-0.65790153192344369</v>
      </c>
      <c r="E832" s="307">
        <f t="shared" ca="1" si="357"/>
        <v>-0.89630754082323172</v>
      </c>
      <c r="F832" s="304">
        <f t="shared" ca="1" si="358"/>
        <v>1.1118460475460634</v>
      </c>
      <c r="G832" s="306">
        <f t="shared" ca="1" si="359"/>
        <v>7.2700120658946439</v>
      </c>
      <c r="H832" s="307">
        <f t="shared" ca="1" si="360"/>
        <v>-98.499994280045016</v>
      </c>
      <c r="I832" s="304">
        <f t="shared" ca="1" si="361"/>
        <v>98.767919632880563</v>
      </c>
      <c r="J832" s="306">
        <f t="shared" ca="1" si="362"/>
        <v>678.53524446899166</v>
      </c>
      <c r="K832" s="307">
        <f t="shared" ca="1" si="363"/>
        <v>-7.3223891182442982</v>
      </c>
      <c r="L832" s="304">
        <f t="shared" ca="1" si="348"/>
        <v>678.57475297051337</v>
      </c>
      <c r="M832" s="306">
        <f t="shared" ca="1" si="364"/>
        <v>-1.497122678883877</v>
      </c>
      <c r="N832" s="304">
        <f t="shared" ca="1" si="365"/>
        <v>-85.77881091336576</v>
      </c>
      <c r="P832" s="310">
        <f t="shared" ca="1" si="366"/>
        <v>23</v>
      </c>
      <c r="Q832" s="304">
        <f t="shared" ca="1" si="367"/>
        <v>0</v>
      </c>
      <c r="R832" s="306">
        <f t="shared" ca="1" si="368"/>
        <v>0</v>
      </c>
      <c r="S832" s="307">
        <f t="shared" ca="1" si="369"/>
        <v>4.341000000000002</v>
      </c>
      <c r="T832" s="304">
        <f t="shared" ca="1" si="349"/>
        <v>42.585210000000025</v>
      </c>
      <c r="U832" s="311">
        <f t="shared" ca="1" si="350"/>
        <v>0</v>
      </c>
      <c r="V832" s="306">
        <f t="shared" ca="1" si="351"/>
        <v>1.2258973211937323</v>
      </c>
      <c r="W832" s="304">
        <f t="shared" ca="1" si="352"/>
        <v>38.79969641218895</v>
      </c>
      <c r="Y832" s="314" t="str">
        <f t="shared" ca="1" si="370"/>
        <v/>
      </c>
      <c r="Z832" s="315" t="str">
        <f t="shared" ca="1" si="371"/>
        <v/>
      </c>
      <c r="AA832" s="316" t="str">
        <f t="shared" ca="1" si="372"/>
        <v/>
      </c>
      <c r="AC832" s="310" t="e">
        <f t="shared" ca="1" si="373"/>
        <v>#N/A</v>
      </c>
      <c r="AD832" s="323" t="e">
        <f t="shared" ca="1" si="374"/>
        <v>#N/A</v>
      </c>
      <c r="AE832" s="324" t="e">
        <f t="shared" ca="1" si="353"/>
        <v>#N/A</v>
      </c>
      <c r="AG832" s="306">
        <f t="shared" ca="1" si="375"/>
        <v>0.84544945097267288</v>
      </c>
      <c r="AH832" s="304">
        <f t="shared" ca="1" si="376"/>
        <v>-8.937938670772585</v>
      </c>
    </row>
    <row r="833" spans="1:34" x14ac:dyDescent="0.2">
      <c r="A833" s="347">
        <f t="shared" ca="1" si="354"/>
        <v>1E-4</v>
      </c>
      <c r="B833" s="304">
        <f t="shared" ca="1" si="355"/>
        <v>28.645300000000034</v>
      </c>
      <c r="D833" s="306">
        <f t="shared" ca="1" si="356"/>
        <v>-0.65789678946562968</v>
      </c>
      <c r="E833" s="307">
        <f t="shared" ca="1" si="357"/>
        <v>-0.89628301963487012</v>
      </c>
      <c r="F833" s="304">
        <f t="shared" ca="1" si="358"/>
        <v>1.1118234737920332</v>
      </c>
      <c r="G833" s="306">
        <f t="shared" ca="1" si="359"/>
        <v>7.2699462762156974</v>
      </c>
      <c r="H833" s="307">
        <f t="shared" ca="1" si="360"/>
        <v>-98.50008390834698</v>
      </c>
      <c r="I833" s="304">
        <f t="shared" ca="1" si="361"/>
        <v>98.768004175494298</v>
      </c>
      <c r="J833" s="306">
        <f t="shared" ca="1" si="362"/>
        <v>678.53524446899166</v>
      </c>
      <c r="K833" s="307">
        <f t="shared" ca="1" si="363"/>
        <v>-7.3322391221537178</v>
      </c>
      <c r="L833" s="304">
        <f t="shared" ca="1" si="348"/>
        <v>678.57485933177543</v>
      </c>
      <c r="M833" s="306">
        <f t="shared" ca="1" si="364"/>
        <v>-1.4971234099757476</v>
      </c>
      <c r="N833" s="304">
        <f t="shared" ca="1" si="365"/>
        <v>-85.77885280184438</v>
      </c>
      <c r="P833" s="310">
        <f t="shared" ca="1" si="366"/>
        <v>23</v>
      </c>
      <c r="Q833" s="304">
        <f t="shared" ca="1" si="367"/>
        <v>0</v>
      </c>
      <c r="R833" s="306">
        <f t="shared" ca="1" si="368"/>
        <v>0</v>
      </c>
      <c r="S833" s="307">
        <f t="shared" ca="1" si="369"/>
        <v>4.341000000000002</v>
      </c>
      <c r="T833" s="304">
        <f t="shared" ca="1" si="349"/>
        <v>42.585210000000025</v>
      </c>
      <c r="U833" s="311">
        <f t="shared" ca="1" si="350"/>
        <v>0</v>
      </c>
      <c r="V833" s="306">
        <f t="shared" ca="1" si="351"/>
        <v>1.2258985287038298</v>
      </c>
      <c r="W833" s="304">
        <f t="shared" ca="1" si="352"/>
        <v>38.799801052961826</v>
      </c>
      <c r="Y833" s="314" t="str">
        <f t="shared" ca="1" si="370"/>
        <v/>
      </c>
      <c r="Z833" s="315" t="str">
        <f t="shared" ca="1" si="371"/>
        <v/>
      </c>
      <c r="AA833" s="316" t="str">
        <f t="shared" ca="1" si="372"/>
        <v/>
      </c>
      <c r="AC833" s="310" t="e">
        <f t="shared" ca="1" si="373"/>
        <v>#N/A</v>
      </c>
      <c r="AD833" s="323" t="e">
        <f t="shared" ca="1" si="374"/>
        <v>#N/A</v>
      </c>
      <c r="AE833" s="324" t="e">
        <f t="shared" ca="1" si="353"/>
        <v>#N/A</v>
      </c>
      <c r="AG833" s="306">
        <f t="shared" ca="1" si="375"/>
        <v>0.84542587330157382</v>
      </c>
      <c r="AH833" s="304">
        <f t="shared" ca="1" si="376"/>
        <v>-8.9379627763623439</v>
      </c>
    </row>
    <row r="834" spans="1:34" x14ac:dyDescent="0.2">
      <c r="A834" s="347">
        <f t="shared" ca="1" si="354"/>
        <v>1E-4</v>
      </c>
      <c r="B834" s="304">
        <f t="shared" ca="1" si="355"/>
        <v>28.645400000000034</v>
      </c>
      <c r="D834" s="306">
        <f t="shared" ca="1" si="356"/>
        <v>-0.65789204701544446</v>
      </c>
      <c r="E834" s="307">
        <f t="shared" ca="1" si="357"/>
        <v>-0.89625849881965536</v>
      </c>
      <c r="F834" s="304">
        <f t="shared" ca="1" si="358"/>
        <v>1.1118009004460438</v>
      </c>
      <c r="G834" s="306">
        <f t="shared" ca="1" si="359"/>
        <v>7.2698804870109957</v>
      </c>
      <c r="H834" s="307">
        <f t="shared" ca="1" si="360"/>
        <v>-98.500173534196861</v>
      </c>
      <c r="I834" s="304">
        <f t="shared" ca="1" si="361"/>
        <v>98.768088715750281</v>
      </c>
      <c r="J834" s="306">
        <f t="shared" ca="1" si="362"/>
        <v>678.53524446899166</v>
      </c>
      <c r="K834" s="307">
        <f t="shared" ca="1" si="363"/>
        <v>-7.3420891350258453</v>
      </c>
      <c r="L834" s="304">
        <f t="shared" ca="1" si="348"/>
        <v>678.57496583609759</v>
      </c>
      <c r="M834" s="306">
        <f t="shared" ca="1" si="364"/>
        <v>-1.4971241410597507</v>
      </c>
      <c r="N834" s="304">
        <f t="shared" ca="1" si="365"/>
        <v>-85.778894689872232</v>
      </c>
      <c r="P834" s="310">
        <f t="shared" ca="1" si="366"/>
        <v>23</v>
      </c>
      <c r="Q834" s="304">
        <f t="shared" ca="1" si="367"/>
        <v>0</v>
      </c>
      <c r="R834" s="306">
        <f t="shared" ca="1" si="368"/>
        <v>0</v>
      </c>
      <c r="S834" s="307">
        <f t="shared" ca="1" si="369"/>
        <v>4.341000000000002</v>
      </c>
      <c r="T834" s="304">
        <f t="shared" ca="1" si="349"/>
        <v>42.585210000000025</v>
      </c>
      <c r="U834" s="311">
        <f t="shared" ca="1" si="350"/>
        <v>0</v>
      </c>
      <c r="V834" s="306">
        <f t="shared" ca="1" si="351"/>
        <v>1.2258997362162156</v>
      </c>
      <c r="W834" s="304">
        <f t="shared" ca="1" si="352"/>
        <v>38.799905692142396</v>
      </c>
      <c r="Y834" s="314" t="str">
        <f t="shared" ca="1" si="370"/>
        <v/>
      </c>
      <c r="Z834" s="315" t="str">
        <f t="shared" ca="1" si="371"/>
        <v/>
      </c>
      <c r="AA834" s="316" t="str">
        <f t="shared" ca="1" si="372"/>
        <v/>
      </c>
      <c r="AC834" s="310" t="e">
        <f t="shared" ca="1" si="373"/>
        <v>#N/A</v>
      </c>
      <c r="AD834" s="323" t="e">
        <f t="shared" ca="1" si="374"/>
        <v>#N/A</v>
      </c>
      <c r="AE834" s="324" t="e">
        <f t="shared" ca="1" si="353"/>
        <v>#N/A</v>
      </c>
      <c r="AG834" s="306">
        <f t="shared" ca="1" si="375"/>
        <v>0.84540229598636074</v>
      </c>
      <c r="AH834" s="304">
        <f t="shared" ca="1" si="376"/>
        <v>-8.9379868815853047</v>
      </c>
    </row>
    <row r="835" spans="1:34" x14ac:dyDescent="0.2">
      <c r="A835" s="347">
        <f t="shared" ca="1" si="354"/>
        <v>1E-4</v>
      </c>
      <c r="B835" s="304">
        <f t="shared" ca="1" si="355"/>
        <v>28.645500000000034</v>
      </c>
      <c r="D835" s="306">
        <f t="shared" ca="1" si="356"/>
        <v>-0.65788730457288702</v>
      </c>
      <c r="E835" s="307">
        <f t="shared" ca="1" si="357"/>
        <v>-0.89623397837759811</v>
      </c>
      <c r="F835" s="304">
        <f t="shared" ca="1" si="358"/>
        <v>1.1117783275081035</v>
      </c>
      <c r="G835" s="306">
        <f t="shared" ca="1" si="359"/>
        <v>7.2698146982805385</v>
      </c>
      <c r="H835" s="307">
        <f t="shared" ca="1" si="360"/>
        <v>-98.500263157594702</v>
      </c>
      <c r="I835" s="304">
        <f t="shared" ca="1" si="361"/>
        <v>98.768173253648584</v>
      </c>
      <c r="J835" s="306">
        <f t="shared" ca="1" si="362"/>
        <v>678.53524446899166</v>
      </c>
      <c r="K835" s="307">
        <f t="shared" ca="1" si="363"/>
        <v>-7.3519391568604346</v>
      </c>
      <c r="L835" s="304">
        <f t="shared" ca="1" si="348"/>
        <v>678.5750724834802</v>
      </c>
      <c r="M835" s="306">
        <f t="shared" ca="1" si="364"/>
        <v>-1.4971248721358865</v>
      </c>
      <c r="N835" s="304">
        <f t="shared" ca="1" si="365"/>
        <v>-85.778936577449315</v>
      </c>
      <c r="P835" s="310">
        <f t="shared" ca="1" si="366"/>
        <v>23</v>
      </c>
      <c r="Q835" s="304">
        <f t="shared" ca="1" si="367"/>
        <v>0</v>
      </c>
      <c r="R835" s="306">
        <f t="shared" ca="1" si="368"/>
        <v>0</v>
      </c>
      <c r="S835" s="307">
        <f t="shared" ca="1" si="369"/>
        <v>4.341000000000002</v>
      </c>
      <c r="T835" s="304">
        <f t="shared" ca="1" si="349"/>
        <v>42.585210000000025</v>
      </c>
      <c r="U835" s="311">
        <f t="shared" ca="1" si="350"/>
        <v>0</v>
      </c>
      <c r="V835" s="306">
        <f t="shared" ca="1" si="351"/>
        <v>1.2259009437308899</v>
      </c>
      <c r="W835" s="304">
        <f t="shared" ca="1" si="352"/>
        <v>38.800010329730718</v>
      </c>
      <c r="Y835" s="314" t="str">
        <f t="shared" ca="1" si="370"/>
        <v/>
      </c>
      <c r="Z835" s="315" t="str">
        <f t="shared" ca="1" si="371"/>
        <v/>
      </c>
      <c r="AA835" s="316" t="str">
        <f t="shared" ca="1" si="372"/>
        <v/>
      </c>
      <c r="AC835" s="310" t="e">
        <f t="shared" ca="1" si="373"/>
        <v>#N/A</v>
      </c>
      <c r="AD835" s="323" t="e">
        <f t="shared" ca="1" si="374"/>
        <v>#N/A</v>
      </c>
      <c r="AE835" s="324" t="e">
        <f t="shared" ca="1" si="353"/>
        <v>#N/A</v>
      </c>
      <c r="AG835" s="306">
        <f t="shared" ca="1" si="375"/>
        <v>0.84537871902704431</v>
      </c>
      <c r="AH835" s="304">
        <f t="shared" ca="1" si="376"/>
        <v>-8.9380109864414603</v>
      </c>
    </row>
    <row r="836" spans="1:34" x14ac:dyDescent="0.2">
      <c r="A836" s="347">
        <f t="shared" ca="1" si="354"/>
        <v>1E-4</v>
      </c>
      <c r="B836" s="304">
        <f t="shared" ca="1" si="355"/>
        <v>28.645600000000034</v>
      </c>
      <c r="D836" s="306">
        <f t="shared" ca="1" si="356"/>
        <v>-0.65788256213795759</v>
      </c>
      <c r="E836" s="307">
        <f t="shared" ca="1" si="357"/>
        <v>-0.89620945830868415</v>
      </c>
      <c r="F836" s="304">
        <f t="shared" ca="1" si="358"/>
        <v>1.1117557549782005</v>
      </c>
      <c r="G836" s="306">
        <f t="shared" ca="1" si="359"/>
        <v>7.2697489100243251</v>
      </c>
      <c r="H836" s="307">
        <f t="shared" ca="1" si="360"/>
        <v>-98.500352778540531</v>
      </c>
      <c r="I836" s="304">
        <f t="shared" ca="1" si="361"/>
        <v>98.768257789189221</v>
      </c>
      <c r="J836" s="306">
        <f t="shared" ca="1" si="362"/>
        <v>678.53524446899166</v>
      </c>
      <c r="K836" s="307">
        <f t="shared" ca="1" si="363"/>
        <v>-7.3617891876572417</v>
      </c>
      <c r="L836" s="304">
        <f t="shared" ref="L836:L899" ca="1" si="377">SQRT(pos_x^2+pos_z^2)</f>
        <v>678.57517927392371</v>
      </c>
      <c r="M836" s="306">
        <f t="shared" ca="1" si="364"/>
        <v>-1.4971256032041547</v>
      </c>
      <c r="N836" s="304">
        <f t="shared" ca="1" si="365"/>
        <v>-85.778978464575616</v>
      </c>
      <c r="P836" s="310">
        <f t="shared" ca="1" si="366"/>
        <v>23</v>
      </c>
      <c r="Q836" s="304">
        <f t="shared" ca="1" si="367"/>
        <v>0</v>
      </c>
      <c r="R836" s="306">
        <f t="shared" ca="1" si="368"/>
        <v>0</v>
      </c>
      <c r="S836" s="307">
        <f t="shared" ca="1" si="369"/>
        <v>4.341000000000002</v>
      </c>
      <c r="T836" s="304">
        <f t="shared" ref="T836:T899" ca="1" si="378">m*g</f>
        <v>42.585210000000025</v>
      </c>
      <c r="U836" s="311">
        <f t="shared" ref="U836:U899" ca="1" si="379">IF(pos_xz&lt;L_rampe,Poids*COS(Beta),0)</f>
        <v>0</v>
      </c>
      <c r="V836" s="306">
        <f t="shared" ref="V836:V899" ca="1" si="380">Rho_moyen*(20000-Alt_rampe-pos_z)/(20000+Alt_rampe+pos_z)</f>
        <v>1.225902151247853</v>
      </c>
      <c r="W836" s="304">
        <f t="shared" ref="W836:W899" ca="1" si="381">1/2*Rho*Sref*Cx*vit_xz^2</f>
        <v>38.800114965726813</v>
      </c>
      <c r="Y836" s="314" t="str">
        <f t="shared" ca="1" si="370"/>
        <v/>
      </c>
      <c r="Z836" s="315" t="str">
        <f t="shared" ca="1" si="371"/>
        <v/>
      </c>
      <c r="AA836" s="316" t="str">
        <f t="shared" ca="1" si="372"/>
        <v/>
      </c>
      <c r="AC836" s="310" t="e">
        <f t="shared" ca="1" si="373"/>
        <v>#N/A</v>
      </c>
      <c r="AD836" s="323" t="e">
        <f t="shared" ca="1" si="374"/>
        <v>#N/A</v>
      </c>
      <c r="AE836" s="324" t="e">
        <f t="shared" ref="AE836:AE899" ca="1" si="382">IF(t&lt;T_para, pos_z, NA())</f>
        <v>#N/A</v>
      </c>
      <c r="AG836" s="306">
        <f t="shared" ca="1" si="375"/>
        <v>0.84535514242361032</v>
      </c>
      <c r="AH836" s="304">
        <f t="shared" ca="1" si="376"/>
        <v>-8.938035090930823</v>
      </c>
    </row>
    <row r="837" spans="1:34" x14ac:dyDescent="0.2">
      <c r="A837" s="347">
        <f t="shared" ref="A837:A900" ca="1" si="383">IF(B836+0.01&lt;=T_ini+ROUNDUP(Temps_fin_propu,0), 0.01, IF(K836&gt;0, 0.1, 0.0001))</f>
        <v>1E-4</v>
      </c>
      <c r="B837" s="304">
        <f t="shared" ref="B837:B900" ca="1" si="384">B836+pas</f>
        <v>28.645700000000033</v>
      </c>
      <c r="D837" s="306">
        <f t="shared" ref="D837:D900" ca="1" si="385">IF(AND(L836&lt;L_rampe,Poussee&lt;Poids*SIN(M836)),0,(-W836+Poussee)/m*COS(M836)-U836/m*SIN(M836))</f>
        <v>-0.65787781971066184</v>
      </c>
      <c r="E837" s="307">
        <f t="shared" ref="E837:E900" ca="1" si="386">IF(AND(L836&lt;L_rampe,Poussee&lt;Poids*SIN(M836)),0,(-W836+Poussee)/m*SIN(M836)+U836/m*COS(M836)-Poids/m)</f>
        <v>-0.89618493861291171</v>
      </c>
      <c r="F837" s="304">
        <f t="shared" ref="F837:F900" ca="1" si="387">SQRT(acc_x^2+acc_z^2)</f>
        <v>1.1117331828563373</v>
      </c>
      <c r="G837" s="306">
        <f t="shared" ref="G837:G900" ca="1" si="388">G836+acc_x*pas</f>
        <v>7.2696831222423537</v>
      </c>
      <c r="H837" s="307">
        <f t="shared" ref="H837:H900" ca="1" si="389">H836+acc_z*pas</f>
        <v>-98.500442397034391</v>
      </c>
      <c r="I837" s="304">
        <f t="shared" ref="I837:I900" ca="1" si="390">SQRT(vit_x^2+vit_z^2)</f>
        <v>98.768342322372234</v>
      </c>
      <c r="J837" s="306">
        <f t="shared" ref="J837:J900" ca="1" si="391">J836+0.5*(vit_x+G836)*pas*(K836&gt;=0)</f>
        <v>678.53524446899166</v>
      </c>
      <c r="K837" s="307">
        <f t="shared" ref="K837:K900" ca="1" si="392">K836+0.5*(vit_z+H836)*pas</f>
        <v>-7.3716392274160203</v>
      </c>
      <c r="L837" s="304">
        <f t="shared" ca="1" si="377"/>
        <v>678.57528620742846</v>
      </c>
      <c r="M837" s="306">
        <f t="shared" ref="M837:M900" ca="1" si="393">IF(AND(L836&gt;L_rampe,G837&gt;0),ATAN2(G837,H837),$M$4)</f>
        <v>-1.4971263342645558</v>
      </c>
      <c r="N837" s="304">
        <f t="shared" ref="N837:N900" ca="1" si="394">DEGREES(Beta)</f>
        <v>-85.779020351251177</v>
      </c>
      <c r="P837" s="310">
        <f t="shared" ref="P837:P900" ca="1" si="395">MATCH(t-pas/2-T_ini,CdP_t)</f>
        <v>23</v>
      </c>
      <c r="Q837" s="304">
        <f t="shared" ref="Q837:Q900" ca="1" si="396">(INDEX(CdP,2,i_P+1)-INDEX(CdP,2,i_P+0))/(INDEX(CdP,1,i_P+1)-INDEX(CdP,1,i_P+0))*(t-pas/2-T_ini-INDEX(CdP,1,i_P+0))+INDEX(CdP,2,i_P+0)</f>
        <v>0</v>
      </c>
      <c r="R837" s="306">
        <f t="shared" ref="R837:R900" ca="1" si="397">Poussee/(g*ISP)</f>
        <v>0</v>
      </c>
      <c r="S837" s="307">
        <f t="shared" ref="S837:S900" ca="1" si="398">S836-Débit*pas</f>
        <v>4.341000000000002</v>
      </c>
      <c r="T837" s="304">
        <f t="shared" ca="1" si="378"/>
        <v>42.585210000000025</v>
      </c>
      <c r="U837" s="311">
        <f t="shared" ca="1" si="379"/>
        <v>0</v>
      </c>
      <c r="V837" s="306">
        <f t="shared" ca="1" si="380"/>
        <v>1.2259033587671047</v>
      </c>
      <c r="W837" s="304">
        <f t="shared" ca="1" si="381"/>
        <v>38.800219600130696</v>
      </c>
      <c r="Y837" s="314" t="str">
        <f t="shared" ref="Y837:Y900" ca="1" si="399">IF(AND(pos_z&lt;=0,K836&gt;0),"Impact balistique","") &amp; IF(AND(H838&lt;0,vit_z&gt;=0),"Apogée","") &amp; IF(AND(Poussee=0,Q836&gt;0),"Fin de propulsion","") &amp; IF(AND(L838&gt;L_rampe,pos_xz&lt;=L_rampe),"Sortie de rampe","")</f>
        <v/>
      </c>
      <c r="Z837" s="315" t="str">
        <f t="shared" ref="Z837:Z900" ca="1" si="400">IF(ABS(t-T_para)&lt;pas/2,"Para","")</f>
        <v/>
      </c>
      <c r="AA837" s="316" t="str">
        <f t="shared" ref="AA837:AA900" ca="1" si="401">IF(ABS(t-T_satellite)&lt;pas/2,"Satellite","")</f>
        <v/>
      </c>
      <c r="AC837" s="310" t="e">
        <f t="shared" ref="AC837:AC900" ca="1" si="402">IF(ABS(t-ROUND(t,0))&lt;0.001,t,NA())</f>
        <v>#N/A</v>
      </c>
      <c r="AD837" s="323" t="e">
        <f t="shared" ref="AD837:AD900" ca="1" si="403">IF(ABS(t-ROUND(t,0))&lt;0.001,pos_x,NA())</f>
        <v>#N/A</v>
      </c>
      <c r="AE837" s="324" t="e">
        <f t="shared" ca="1" si="382"/>
        <v>#N/A</v>
      </c>
      <c r="AG837" s="306">
        <f t="shared" ref="AG837:AG900" ca="1" si="404">IF(AND(L836&lt;L_rampe,Poussee&lt;Poids*SIN(M836)),0,(-W836+Poussee)/m-Poids*SIN(M836)/m)</f>
        <v>0.84533156617605698</v>
      </c>
      <c r="AH837" s="304">
        <f t="shared" ref="AH837:AH900" ca="1" si="405">IF(AND(L836&lt;L_rampe,Poussee&lt;Poids*SIN(M836)), g*SIN(M836), (-W836+Poussee)/m)</f>
        <v>-8.9380591950533965</v>
      </c>
    </row>
    <row r="838" spans="1:34" x14ac:dyDescent="0.2">
      <c r="A838" s="347">
        <f t="shared" ca="1" si="383"/>
        <v>1E-4</v>
      </c>
      <c r="B838" s="304">
        <f t="shared" ca="1" si="384"/>
        <v>28.645800000000033</v>
      </c>
      <c r="D838" s="306">
        <f t="shared" ca="1" si="385"/>
        <v>-0.65787307729099542</v>
      </c>
      <c r="E838" s="307">
        <f t="shared" ca="1" si="386"/>
        <v>-0.8961604192902719</v>
      </c>
      <c r="F838" s="304">
        <f t="shared" ca="1" si="387"/>
        <v>1.1117106111425041</v>
      </c>
      <c r="G838" s="306">
        <f t="shared" ca="1" si="388"/>
        <v>7.2696173349346243</v>
      </c>
      <c r="H838" s="307">
        <f t="shared" ca="1" si="389"/>
        <v>-98.500532013076324</v>
      </c>
      <c r="I838" s="304">
        <f t="shared" ca="1" si="390"/>
        <v>98.768426853197653</v>
      </c>
      <c r="J838" s="306">
        <f t="shared" ca="1" si="391"/>
        <v>678.53524446899166</v>
      </c>
      <c r="K838" s="307">
        <f t="shared" ca="1" si="392"/>
        <v>-7.3814892761365254</v>
      </c>
      <c r="L838" s="304">
        <f t="shared" ca="1" si="377"/>
        <v>678.57539328399457</v>
      </c>
      <c r="M838" s="306">
        <f t="shared" ca="1" si="393"/>
        <v>-1.4971270653170898</v>
      </c>
      <c r="N838" s="304">
        <f t="shared" ca="1" si="394"/>
        <v>-85.779062237475969</v>
      </c>
      <c r="P838" s="310">
        <f t="shared" ca="1" si="395"/>
        <v>23</v>
      </c>
      <c r="Q838" s="304">
        <f t="shared" ca="1" si="396"/>
        <v>0</v>
      </c>
      <c r="R838" s="306">
        <f t="shared" ca="1" si="397"/>
        <v>0</v>
      </c>
      <c r="S838" s="307">
        <f t="shared" ca="1" si="398"/>
        <v>4.341000000000002</v>
      </c>
      <c r="T838" s="304">
        <f t="shared" ca="1" si="378"/>
        <v>42.585210000000025</v>
      </c>
      <c r="U838" s="311">
        <f t="shared" ca="1" si="379"/>
        <v>0</v>
      </c>
      <c r="V838" s="306">
        <f t="shared" ca="1" si="380"/>
        <v>1.2259045662886447</v>
      </c>
      <c r="W838" s="304">
        <f t="shared" ca="1" si="381"/>
        <v>38.80032423294238</v>
      </c>
      <c r="Y838" s="314" t="str">
        <f t="shared" ca="1" si="399"/>
        <v/>
      </c>
      <c r="Z838" s="315" t="str">
        <f t="shared" ca="1" si="400"/>
        <v/>
      </c>
      <c r="AA838" s="316" t="str">
        <f t="shared" ca="1" si="401"/>
        <v/>
      </c>
      <c r="AC838" s="310" t="e">
        <f t="shared" ca="1" si="402"/>
        <v>#N/A</v>
      </c>
      <c r="AD838" s="323" t="e">
        <f t="shared" ca="1" si="403"/>
        <v>#N/A</v>
      </c>
      <c r="AE838" s="324" t="e">
        <f t="shared" ca="1" si="382"/>
        <v>#N/A</v>
      </c>
      <c r="AG838" s="306">
        <f t="shared" ca="1" si="404"/>
        <v>0.84530799028437542</v>
      </c>
      <c r="AH838" s="304">
        <f t="shared" ca="1" si="405"/>
        <v>-8.9380832988091861</v>
      </c>
    </row>
    <row r="839" spans="1:34" x14ac:dyDescent="0.2">
      <c r="A839" s="347">
        <f t="shared" ca="1" si="383"/>
        <v>1E-4</v>
      </c>
      <c r="B839" s="304">
        <f t="shared" ca="1" si="384"/>
        <v>28.645900000000033</v>
      </c>
      <c r="D839" s="306">
        <f t="shared" ca="1" si="385"/>
        <v>-0.65786833487896024</v>
      </c>
      <c r="E839" s="307">
        <f t="shared" ca="1" si="386"/>
        <v>-0.89613590034076474</v>
      </c>
      <c r="F839" s="304">
        <f t="shared" ca="1" si="387"/>
        <v>1.1116880398367022</v>
      </c>
      <c r="G839" s="306">
        <f t="shared" ca="1" si="388"/>
        <v>7.2695515481011368</v>
      </c>
      <c r="H839" s="307">
        <f t="shared" ca="1" si="389"/>
        <v>-98.500621626666359</v>
      </c>
      <c r="I839" s="304">
        <f t="shared" ca="1" si="390"/>
        <v>98.768511381665519</v>
      </c>
      <c r="J839" s="306">
        <f t="shared" ca="1" si="391"/>
        <v>678.53524446899166</v>
      </c>
      <c r="K839" s="307">
        <f t="shared" ca="1" si="392"/>
        <v>-7.3913393338185127</v>
      </c>
      <c r="L839" s="304">
        <f t="shared" ca="1" si="377"/>
        <v>678.57550050362261</v>
      </c>
      <c r="M839" s="306">
        <f t="shared" ca="1" si="393"/>
        <v>-1.4971277963617569</v>
      </c>
      <c r="N839" s="304">
        <f t="shared" ca="1" si="394"/>
        <v>-85.779104123250036</v>
      </c>
      <c r="P839" s="310">
        <f t="shared" ca="1" si="395"/>
        <v>23</v>
      </c>
      <c r="Q839" s="304">
        <f t="shared" ca="1" si="396"/>
        <v>0</v>
      </c>
      <c r="R839" s="306">
        <f t="shared" ca="1" si="397"/>
        <v>0</v>
      </c>
      <c r="S839" s="307">
        <f t="shared" ca="1" si="398"/>
        <v>4.341000000000002</v>
      </c>
      <c r="T839" s="304">
        <f t="shared" ca="1" si="378"/>
        <v>42.585210000000025</v>
      </c>
      <c r="U839" s="311">
        <f t="shared" ca="1" si="379"/>
        <v>0</v>
      </c>
      <c r="V839" s="306">
        <f t="shared" ca="1" si="380"/>
        <v>1.2259057738124732</v>
      </c>
      <c r="W839" s="304">
        <f t="shared" ca="1" si="381"/>
        <v>38.800428864161866</v>
      </c>
      <c r="Y839" s="314" t="str">
        <f t="shared" ca="1" si="399"/>
        <v/>
      </c>
      <c r="Z839" s="315" t="str">
        <f t="shared" ca="1" si="400"/>
        <v/>
      </c>
      <c r="AA839" s="316" t="str">
        <f t="shared" ca="1" si="401"/>
        <v/>
      </c>
      <c r="AC839" s="310" t="e">
        <f t="shared" ca="1" si="402"/>
        <v>#N/A</v>
      </c>
      <c r="AD839" s="323" t="e">
        <f t="shared" ca="1" si="403"/>
        <v>#N/A</v>
      </c>
      <c r="AE839" s="324" t="e">
        <f t="shared" ca="1" si="382"/>
        <v>#N/A</v>
      </c>
      <c r="AG839" s="306">
        <f t="shared" ca="1" si="404"/>
        <v>0.84528441474856741</v>
      </c>
      <c r="AH839" s="304">
        <f t="shared" ca="1" si="405"/>
        <v>-8.9381074021981952</v>
      </c>
    </row>
    <row r="840" spans="1:34" x14ac:dyDescent="0.2">
      <c r="A840" s="347">
        <f t="shared" ca="1" si="383"/>
        <v>1E-4</v>
      </c>
      <c r="B840" s="304">
        <f t="shared" ca="1" si="384"/>
        <v>28.646000000000033</v>
      </c>
      <c r="D840" s="306">
        <f t="shared" ca="1" si="385"/>
        <v>-0.65786359247455728</v>
      </c>
      <c r="E840" s="307">
        <f t="shared" ca="1" si="386"/>
        <v>-0.89611138176439198</v>
      </c>
      <c r="F840" s="304">
        <f t="shared" ca="1" si="387"/>
        <v>1.1116654689389331</v>
      </c>
      <c r="G840" s="306">
        <f t="shared" ca="1" si="388"/>
        <v>7.2694857617418895</v>
      </c>
      <c r="H840" s="307">
        <f t="shared" ca="1" si="389"/>
        <v>-98.500711237804538</v>
      </c>
      <c r="I840" s="304">
        <f t="shared" ca="1" si="390"/>
        <v>98.768595907775875</v>
      </c>
      <c r="J840" s="306">
        <f t="shared" ca="1" si="391"/>
        <v>678.53524446899166</v>
      </c>
      <c r="K840" s="307">
        <f t="shared" ca="1" si="392"/>
        <v>-7.4011894004617362</v>
      </c>
      <c r="L840" s="304">
        <f t="shared" ca="1" si="377"/>
        <v>678.57560786631268</v>
      </c>
      <c r="M840" s="306">
        <f t="shared" ca="1" si="393"/>
        <v>-1.4971285273985571</v>
      </c>
      <c r="N840" s="304">
        <f t="shared" ca="1" si="394"/>
        <v>-85.779146008573349</v>
      </c>
      <c r="P840" s="310">
        <f t="shared" ca="1" si="395"/>
        <v>23</v>
      </c>
      <c r="Q840" s="304">
        <f t="shared" ca="1" si="396"/>
        <v>0</v>
      </c>
      <c r="R840" s="306">
        <f t="shared" ca="1" si="397"/>
        <v>0</v>
      </c>
      <c r="S840" s="307">
        <f t="shared" ca="1" si="398"/>
        <v>4.341000000000002</v>
      </c>
      <c r="T840" s="304">
        <f t="shared" ca="1" si="378"/>
        <v>42.585210000000025</v>
      </c>
      <c r="U840" s="311">
        <f t="shared" ca="1" si="379"/>
        <v>0</v>
      </c>
      <c r="V840" s="306">
        <f t="shared" ca="1" si="380"/>
        <v>1.2259069813385901</v>
      </c>
      <c r="W840" s="304">
        <f t="shared" ca="1" si="381"/>
        <v>38.800533493789189</v>
      </c>
      <c r="Y840" s="314" t="str">
        <f t="shared" ca="1" si="399"/>
        <v/>
      </c>
      <c r="Z840" s="315" t="str">
        <f t="shared" ca="1" si="400"/>
        <v/>
      </c>
      <c r="AA840" s="316" t="str">
        <f t="shared" ca="1" si="401"/>
        <v/>
      </c>
      <c r="AC840" s="310" t="e">
        <f t="shared" ca="1" si="402"/>
        <v>#N/A</v>
      </c>
      <c r="AD840" s="323" t="e">
        <f t="shared" ca="1" si="403"/>
        <v>#N/A</v>
      </c>
      <c r="AE840" s="324" t="e">
        <f t="shared" ca="1" si="382"/>
        <v>#N/A</v>
      </c>
      <c r="AG840" s="306">
        <f t="shared" ca="1" si="404"/>
        <v>0.84526083956863474</v>
      </c>
      <c r="AH840" s="304">
        <f t="shared" ca="1" si="405"/>
        <v>-8.9381315052204204</v>
      </c>
    </row>
    <row r="841" spans="1:34" x14ac:dyDescent="0.2">
      <c r="A841" s="347">
        <f t="shared" ca="1" si="383"/>
        <v>1E-4</v>
      </c>
      <c r="B841" s="304">
        <f t="shared" ca="1" si="384"/>
        <v>28.646100000000033</v>
      </c>
      <c r="D841" s="306">
        <f t="shared" ca="1" si="385"/>
        <v>-0.65785885007778677</v>
      </c>
      <c r="E841" s="307">
        <f t="shared" ca="1" si="386"/>
        <v>-0.8960868635611412</v>
      </c>
      <c r="F841" s="304">
        <f t="shared" ca="1" si="387"/>
        <v>1.1116428984491877</v>
      </c>
      <c r="G841" s="306">
        <f t="shared" ca="1" si="388"/>
        <v>7.2694199758568816</v>
      </c>
      <c r="H841" s="307">
        <f t="shared" ca="1" si="389"/>
        <v>-98.50080084649089</v>
      </c>
      <c r="I841" s="304">
        <f t="shared" ca="1" si="390"/>
        <v>98.768680431528736</v>
      </c>
      <c r="J841" s="306">
        <f t="shared" ca="1" si="391"/>
        <v>678.53524446899166</v>
      </c>
      <c r="K841" s="307">
        <f t="shared" ca="1" si="392"/>
        <v>-7.4110394760659508</v>
      </c>
      <c r="L841" s="304">
        <f t="shared" ca="1" si="377"/>
        <v>678.57571537206525</v>
      </c>
      <c r="M841" s="306">
        <f t="shared" ca="1" si="393"/>
        <v>-1.4971292584274902</v>
      </c>
      <c r="N841" s="304">
        <f t="shared" ca="1" si="394"/>
        <v>-85.779187893445922</v>
      </c>
      <c r="P841" s="310">
        <f t="shared" ca="1" si="395"/>
        <v>23</v>
      </c>
      <c r="Q841" s="304">
        <f t="shared" ca="1" si="396"/>
        <v>0</v>
      </c>
      <c r="R841" s="306">
        <f t="shared" ca="1" si="397"/>
        <v>0</v>
      </c>
      <c r="S841" s="307">
        <f t="shared" ca="1" si="398"/>
        <v>4.341000000000002</v>
      </c>
      <c r="T841" s="304">
        <f t="shared" ca="1" si="378"/>
        <v>42.585210000000025</v>
      </c>
      <c r="U841" s="311">
        <f t="shared" ca="1" si="379"/>
        <v>0</v>
      </c>
      <c r="V841" s="306">
        <f t="shared" ca="1" si="380"/>
        <v>1.2259081888669952</v>
      </c>
      <c r="W841" s="304">
        <f t="shared" ca="1" si="381"/>
        <v>38.800638121824342</v>
      </c>
      <c r="Y841" s="314" t="str">
        <f t="shared" ca="1" si="399"/>
        <v/>
      </c>
      <c r="Z841" s="315" t="str">
        <f t="shared" ca="1" si="400"/>
        <v/>
      </c>
      <c r="AA841" s="316" t="str">
        <f t="shared" ca="1" si="401"/>
        <v/>
      </c>
      <c r="AC841" s="310" t="e">
        <f t="shared" ca="1" si="402"/>
        <v>#N/A</v>
      </c>
      <c r="AD841" s="323" t="e">
        <f t="shared" ca="1" si="403"/>
        <v>#N/A</v>
      </c>
      <c r="AE841" s="324" t="e">
        <f t="shared" ca="1" si="382"/>
        <v>#N/A</v>
      </c>
      <c r="AG841" s="306">
        <f t="shared" ca="1" si="404"/>
        <v>0.84523726474456318</v>
      </c>
      <c r="AH841" s="304">
        <f t="shared" ca="1" si="405"/>
        <v>-8.9381556078758742</v>
      </c>
    </row>
    <row r="842" spans="1:34" x14ac:dyDescent="0.2">
      <c r="A842" s="347">
        <f t="shared" ca="1" si="383"/>
        <v>1E-4</v>
      </c>
      <c r="B842" s="304">
        <f t="shared" ca="1" si="384"/>
        <v>28.646200000000032</v>
      </c>
      <c r="D842" s="306">
        <f t="shared" ca="1" si="385"/>
        <v>-0.65785410768865205</v>
      </c>
      <c r="E842" s="307">
        <f t="shared" ca="1" si="386"/>
        <v>-0.89606234573101595</v>
      </c>
      <c r="F842" s="304">
        <f t="shared" ca="1" si="387"/>
        <v>1.1116203283674706</v>
      </c>
      <c r="G842" s="306">
        <f t="shared" ca="1" si="388"/>
        <v>7.269354190446113</v>
      </c>
      <c r="H842" s="307">
        <f t="shared" ca="1" si="389"/>
        <v>-98.500890452725457</v>
      </c>
      <c r="I842" s="304">
        <f t="shared" ca="1" si="390"/>
        <v>98.768764952924144</v>
      </c>
      <c r="J842" s="306">
        <f t="shared" ca="1" si="391"/>
        <v>678.53524446899166</v>
      </c>
      <c r="K842" s="307">
        <f t="shared" ca="1" si="392"/>
        <v>-7.4208895606309113</v>
      </c>
      <c r="L842" s="304">
        <f t="shared" ca="1" si="377"/>
        <v>678.57582302088053</v>
      </c>
      <c r="M842" s="306">
        <f t="shared" ca="1" si="393"/>
        <v>-1.497129989448557</v>
      </c>
      <c r="N842" s="304">
        <f t="shared" ca="1" si="394"/>
        <v>-85.779229777867783</v>
      </c>
      <c r="P842" s="310">
        <f t="shared" ca="1" si="395"/>
        <v>23</v>
      </c>
      <c r="Q842" s="304">
        <f t="shared" ca="1" si="396"/>
        <v>0</v>
      </c>
      <c r="R842" s="306">
        <f t="shared" ca="1" si="397"/>
        <v>0</v>
      </c>
      <c r="S842" s="307">
        <f t="shared" ca="1" si="398"/>
        <v>4.341000000000002</v>
      </c>
      <c r="T842" s="304">
        <f t="shared" ca="1" si="378"/>
        <v>42.585210000000025</v>
      </c>
      <c r="U842" s="311">
        <f t="shared" ca="1" si="379"/>
        <v>0</v>
      </c>
      <c r="V842" s="306">
        <f t="shared" ca="1" si="380"/>
        <v>1.2259093963976893</v>
      </c>
      <c r="W842" s="304">
        <f t="shared" ca="1" si="381"/>
        <v>38.800742748267389</v>
      </c>
      <c r="Y842" s="314" t="str">
        <f t="shared" ca="1" si="399"/>
        <v/>
      </c>
      <c r="Z842" s="315" t="str">
        <f t="shared" ca="1" si="400"/>
        <v/>
      </c>
      <c r="AA842" s="316" t="str">
        <f t="shared" ca="1" si="401"/>
        <v/>
      </c>
      <c r="AC842" s="310" t="e">
        <f t="shared" ca="1" si="402"/>
        <v>#N/A</v>
      </c>
      <c r="AD842" s="323" t="e">
        <f t="shared" ca="1" si="403"/>
        <v>#N/A</v>
      </c>
      <c r="AE842" s="324" t="e">
        <f t="shared" ca="1" si="382"/>
        <v>#N/A</v>
      </c>
      <c r="AG842" s="306">
        <f t="shared" ca="1" si="404"/>
        <v>0.84521369027635984</v>
      </c>
      <c r="AH842" s="304">
        <f t="shared" ca="1" si="405"/>
        <v>-8.9381797101645528</v>
      </c>
    </row>
    <row r="843" spans="1:34" x14ac:dyDescent="0.2">
      <c r="A843" s="347">
        <f t="shared" ca="1" si="383"/>
        <v>1E-4</v>
      </c>
      <c r="B843" s="304">
        <f t="shared" ca="1" si="384"/>
        <v>28.646300000000032</v>
      </c>
      <c r="D843" s="306">
        <f t="shared" ca="1" si="385"/>
        <v>-0.65784936530714933</v>
      </c>
      <c r="E843" s="307">
        <f t="shared" ca="1" si="386"/>
        <v>-0.89603782827400202</v>
      </c>
      <c r="F843" s="304">
        <f t="shared" ca="1" si="387"/>
        <v>1.1115977586937682</v>
      </c>
      <c r="G843" s="306">
        <f t="shared" ca="1" si="388"/>
        <v>7.2692884055095819</v>
      </c>
      <c r="H843" s="307">
        <f t="shared" ca="1" si="389"/>
        <v>-98.500980056508283</v>
      </c>
      <c r="I843" s="304">
        <f t="shared" ca="1" si="390"/>
        <v>98.768849471962156</v>
      </c>
      <c r="J843" s="306">
        <f t="shared" ca="1" si="391"/>
        <v>678.53524446899166</v>
      </c>
      <c r="K843" s="307">
        <f t="shared" ca="1" si="392"/>
        <v>-7.4307396541563726</v>
      </c>
      <c r="L843" s="304">
        <f t="shared" ca="1" si="377"/>
        <v>678.57593081275888</v>
      </c>
      <c r="M843" s="306">
        <f t="shared" ca="1" si="393"/>
        <v>-1.497130720461757</v>
      </c>
      <c r="N843" s="304">
        <f t="shared" ca="1" si="394"/>
        <v>-85.779271661838919</v>
      </c>
      <c r="P843" s="310">
        <f t="shared" ca="1" si="395"/>
        <v>23</v>
      </c>
      <c r="Q843" s="304">
        <f t="shared" ca="1" si="396"/>
        <v>0</v>
      </c>
      <c r="R843" s="306">
        <f t="shared" ca="1" si="397"/>
        <v>0</v>
      </c>
      <c r="S843" s="307">
        <f t="shared" ca="1" si="398"/>
        <v>4.341000000000002</v>
      </c>
      <c r="T843" s="304">
        <f t="shared" ca="1" si="378"/>
        <v>42.585210000000025</v>
      </c>
      <c r="U843" s="311">
        <f t="shared" ca="1" si="379"/>
        <v>0</v>
      </c>
      <c r="V843" s="306">
        <f t="shared" ca="1" si="380"/>
        <v>1.2259106039306709</v>
      </c>
      <c r="W843" s="304">
        <f t="shared" ca="1" si="381"/>
        <v>38.800847373118295</v>
      </c>
      <c r="Y843" s="314" t="str">
        <f t="shared" ca="1" si="399"/>
        <v/>
      </c>
      <c r="Z843" s="315" t="str">
        <f t="shared" ca="1" si="400"/>
        <v/>
      </c>
      <c r="AA843" s="316" t="str">
        <f t="shared" ca="1" si="401"/>
        <v/>
      </c>
      <c r="AC843" s="310" t="e">
        <f t="shared" ca="1" si="402"/>
        <v>#N/A</v>
      </c>
      <c r="AD843" s="323" t="e">
        <f t="shared" ca="1" si="403"/>
        <v>#N/A</v>
      </c>
      <c r="AE843" s="324" t="e">
        <f t="shared" ca="1" si="382"/>
        <v>#N/A</v>
      </c>
      <c r="AG843" s="306">
        <f t="shared" ca="1" si="404"/>
        <v>0.84519011616400874</v>
      </c>
      <c r="AH843" s="304">
        <f t="shared" ca="1" si="405"/>
        <v>-8.9382038120864706</v>
      </c>
    </row>
    <row r="844" spans="1:34" x14ac:dyDescent="0.2">
      <c r="A844" s="347">
        <f t="shared" ca="1" si="383"/>
        <v>1E-4</v>
      </c>
      <c r="B844" s="304">
        <f t="shared" ca="1" si="384"/>
        <v>28.646400000000032</v>
      </c>
      <c r="D844" s="306">
        <f t="shared" ca="1" si="385"/>
        <v>-0.65784462293328372</v>
      </c>
      <c r="E844" s="307">
        <f t="shared" ca="1" si="386"/>
        <v>-0.89601331119010474</v>
      </c>
      <c r="F844" s="304">
        <f t="shared" ca="1" si="387"/>
        <v>1.1115751894280881</v>
      </c>
      <c r="G844" s="306">
        <f t="shared" ca="1" si="388"/>
        <v>7.2692226210472883</v>
      </c>
      <c r="H844" s="307">
        <f t="shared" ca="1" si="389"/>
        <v>-98.501069657839395</v>
      </c>
      <c r="I844" s="304">
        <f t="shared" ca="1" si="390"/>
        <v>98.768933988642772</v>
      </c>
      <c r="J844" s="306">
        <f t="shared" ca="1" si="391"/>
        <v>678.53524446899166</v>
      </c>
      <c r="K844" s="307">
        <f t="shared" ca="1" si="392"/>
        <v>-7.4405897566420904</v>
      </c>
      <c r="L844" s="304">
        <f t="shared" ca="1" si="377"/>
        <v>678.57603874770064</v>
      </c>
      <c r="M844" s="306">
        <f t="shared" ca="1" si="393"/>
        <v>-1.4971314514670906</v>
      </c>
      <c r="N844" s="304">
        <f t="shared" ca="1" si="394"/>
        <v>-85.779313545359329</v>
      </c>
      <c r="P844" s="310">
        <f t="shared" ca="1" si="395"/>
        <v>23</v>
      </c>
      <c r="Q844" s="304">
        <f t="shared" ca="1" si="396"/>
        <v>0</v>
      </c>
      <c r="R844" s="306">
        <f t="shared" ca="1" si="397"/>
        <v>0</v>
      </c>
      <c r="S844" s="307">
        <f t="shared" ca="1" si="398"/>
        <v>4.341000000000002</v>
      </c>
      <c r="T844" s="304">
        <f t="shared" ca="1" si="378"/>
        <v>42.585210000000025</v>
      </c>
      <c r="U844" s="311">
        <f t="shared" ca="1" si="379"/>
        <v>0</v>
      </c>
      <c r="V844" s="306">
        <f t="shared" ca="1" si="380"/>
        <v>1.2259118114659415</v>
      </c>
      <c r="W844" s="304">
        <f t="shared" ca="1" si="381"/>
        <v>38.80095199637713</v>
      </c>
      <c r="Y844" s="314" t="str">
        <f t="shared" ca="1" si="399"/>
        <v/>
      </c>
      <c r="Z844" s="315" t="str">
        <f t="shared" ca="1" si="400"/>
        <v/>
      </c>
      <c r="AA844" s="316" t="str">
        <f t="shared" ca="1" si="401"/>
        <v/>
      </c>
      <c r="AC844" s="310" t="e">
        <f t="shared" ca="1" si="402"/>
        <v>#N/A</v>
      </c>
      <c r="AD844" s="323" t="e">
        <f t="shared" ca="1" si="403"/>
        <v>#N/A</v>
      </c>
      <c r="AE844" s="324" t="e">
        <f t="shared" ca="1" si="382"/>
        <v>#N/A</v>
      </c>
      <c r="AG844" s="306">
        <f t="shared" ca="1" si="404"/>
        <v>0.84516654240751699</v>
      </c>
      <c r="AH844" s="304">
        <f t="shared" ca="1" si="405"/>
        <v>-8.9382279136416205</v>
      </c>
    </row>
    <row r="845" spans="1:34" x14ac:dyDescent="0.2">
      <c r="A845" s="347">
        <f t="shared" ca="1" si="383"/>
        <v>1E-4</v>
      </c>
      <c r="B845" s="304">
        <f t="shared" ca="1" si="384"/>
        <v>28.646500000000032</v>
      </c>
      <c r="D845" s="306">
        <f t="shared" ca="1" si="385"/>
        <v>-0.65783988056705356</v>
      </c>
      <c r="E845" s="307">
        <f t="shared" ca="1" si="386"/>
        <v>-0.89598879447931168</v>
      </c>
      <c r="F845" s="304">
        <f t="shared" ca="1" si="387"/>
        <v>1.1115526205704189</v>
      </c>
      <c r="G845" s="306">
        <f t="shared" ca="1" si="388"/>
        <v>7.2691568370592314</v>
      </c>
      <c r="H845" s="307">
        <f t="shared" ca="1" si="389"/>
        <v>-98.501159256718836</v>
      </c>
      <c r="I845" s="304">
        <f t="shared" ca="1" si="390"/>
        <v>98.769018502966063</v>
      </c>
      <c r="J845" s="306">
        <f t="shared" ca="1" si="391"/>
        <v>678.53524446899166</v>
      </c>
      <c r="K845" s="307">
        <f t="shared" ca="1" si="392"/>
        <v>-7.4504398680878188</v>
      </c>
      <c r="L845" s="304">
        <f t="shared" ca="1" si="377"/>
        <v>678.57614682570613</v>
      </c>
      <c r="M845" s="306">
        <f t="shared" ca="1" si="393"/>
        <v>-1.497132182464558</v>
      </c>
      <c r="N845" s="304">
        <f t="shared" ca="1" si="394"/>
        <v>-85.779355428429056</v>
      </c>
      <c r="P845" s="310">
        <f t="shared" ca="1" si="395"/>
        <v>23</v>
      </c>
      <c r="Q845" s="304">
        <f t="shared" ca="1" si="396"/>
        <v>0</v>
      </c>
      <c r="R845" s="306">
        <f t="shared" ca="1" si="397"/>
        <v>0</v>
      </c>
      <c r="S845" s="307">
        <f t="shared" ca="1" si="398"/>
        <v>4.341000000000002</v>
      </c>
      <c r="T845" s="304">
        <f t="shared" ca="1" si="378"/>
        <v>42.585210000000025</v>
      </c>
      <c r="U845" s="311">
        <f t="shared" ca="1" si="379"/>
        <v>0</v>
      </c>
      <c r="V845" s="306">
        <f t="shared" ca="1" si="380"/>
        <v>1.2259130190035001</v>
      </c>
      <c r="W845" s="304">
        <f t="shared" ca="1" si="381"/>
        <v>38.80105661804388</v>
      </c>
      <c r="Y845" s="314" t="str">
        <f t="shared" ca="1" si="399"/>
        <v/>
      </c>
      <c r="Z845" s="315" t="str">
        <f t="shared" ca="1" si="400"/>
        <v/>
      </c>
      <c r="AA845" s="316" t="str">
        <f t="shared" ca="1" si="401"/>
        <v/>
      </c>
      <c r="AC845" s="310" t="e">
        <f t="shared" ca="1" si="402"/>
        <v>#N/A</v>
      </c>
      <c r="AD845" s="323" t="e">
        <f t="shared" ca="1" si="403"/>
        <v>#N/A</v>
      </c>
      <c r="AE845" s="324" t="e">
        <f t="shared" ca="1" si="382"/>
        <v>#N/A</v>
      </c>
      <c r="AG845" s="306">
        <f t="shared" ca="1" si="404"/>
        <v>0.84514296900687036</v>
      </c>
      <c r="AH845" s="304">
        <f t="shared" ca="1" si="405"/>
        <v>-8.9382520148300184</v>
      </c>
    </row>
    <row r="846" spans="1:34" x14ac:dyDescent="0.2">
      <c r="A846" s="347">
        <f t="shared" ca="1" si="383"/>
        <v>1E-4</v>
      </c>
      <c r="B846" s="304">
        <f t="shared" ca="1" si="384"/>
        <v>28.646600000000031</v>
      </c>
      <c r="D846" s="306">
        <f t="shared" ca="1" si="385"/>
        <v>-0.65783513820845807</v>
      </c>
      <c r="E846" s="307">
        <f t="shared" ca="1" si="386"/>
        <v>-0.89596427814162283</v>
      </c>
      <c r="F846" s="304">
        <f t="shared" ca="1" si="387"/>
        <v>1.1115300521207605</v>
      </c>
      <c r="G846" s="306">
        <f t="shared" ca="1" si="388"/>
        <v>7.2690910535454103</v>
      </c>
      <c r="H846" s="307">
        <f t="shared" ca="1" si="389"/>
        <v>-98.501248853146649</v>
      </c>
      <c r="I846" s="304">
        <f t="shared" ca="1" si="390"/>
        <v>98.769103014932043</v>
      </c>
      <c r="J846" s="306">
        <f t="shared" ca="1" si="391"/>
        <v>678.53524446899166</v>
      </c>
      <c r="K846" s="307">
        <f t="shared" ca="1" si="392"/>
        <v>-7.4602899884933125</v>
      </c>
      <c r="L846" s="304">
        <f t="shared" ca="1" si="377"/>
        <v>678.57625504677571</v>
      </c>
      <c r="M846" s="306">
        <f t="shared" ca="1" si="393"/>
        <v>-1.4971329134541589</v>
      </c>
      <c r="N846" s="304">
        <f t="shared" ca="1" si="394"/>
        <v>-85.779397311048044</v>
      </c>
      <c r="P846" s="310">
        <f t="shared" ca="1" si="395"/>
        <v>23</v>
      </c>
      <c r="Q846" s="304">
        <f t="shared" ca="1" si="396"/>
        <v>0</v>
      </c>
      <c r="R846" s="306">
        <f t="shared" ca="1" si="397"/>
        <v>0</v>
      </c>
      <c r="S846" s="307">
        <f t="shared" ca="1" si="398"/>
        <v>4.341000000000002</v>
      </c>
      <c r="T846" s="304">
        <f t="shared" ca="1" si="378"/>
        <v>42.585210000000025</v>
      </c>
      <c r="U846" s="311">
        <f t="shared" ca="1" si="379"/>
        <v>0</v>
      </c>
      <c r="V846" s="306">
        <f t="shared" ca="1" si="380"/>
        <v>1.2259142265433469</v>
      </c>
      <c r="W846" s="304">
        <f t="shared" ca="1" si="381"/>
        <v>38.801161238118546</v>
      </c>
      <c r="Y846" s="314" t="str">
        <f t="shared" ca="1" si="399"/>
        <v/>
      </c>
      <c r="Z846" s="315" t="str">
        <f t="shared" ca="1" si="400"/>
        <v/>
      </c>
      <c r="AA846" s="316" t="str">
        <f t="shared" ca="1" si="401"/>
        <v/>
      </c>
      <c r="AC846" s="310" t="e">
        <f t="shared" ca="1" si="402"/>
        <v>#N/A</v>
      </c>
      <c r="AD846" s="323" t="e">
        <f t="shared" ca="1" si="403"/>
        <v>#N/A</v>
      </c>
      <c r="AE846" s="324" t="e">
        <f t="shared" ca="1" si="382"/>
        <v>#N/A</v>
      </c>
      <c r="AG846" s="306">
        <f t="shared" ca="1" si="404"/>
        <v>0.84511939596207242</v>
      </c>
      <c r="AH846" s="304">
        <f t="shared" ca="1" si="405"/>
        <v>-8.9382761156516608</v>
      </c>
    </row>
    <row r="847" spans="1:34" x14ac:dyDescent="0.2">
      <c r="A847" s="347">
        <f t="shared" ca="1" si="383"/>
        <v>1E-4</v>
      </c>
      <c r="B847" s="304">
        <f t="shared" ca="1" si="384"/>
        <v>28.646700000000031</v>
      </c>
      <c r="D847" s="306">
        <f t="shared" ca="1" si="385"/>
        <v>-0.6578303958575028</v>
      </c>
      <c r="E847" s="307">
        <f t="shared" ca="1" si="386"/>
        <v>-0.89593976217703819</v>
      </c>
      <c r="F847" s="304">
        <f t="shared" ca="1" si="387"/>
        <v>1.1115074840791161</v>
      </c>
      <c r="G847" s="306">
        <f t="shared" ca="1" si="388"/>
        <v>7.2690252705058249</v>
      </c>
      <c r="H847" s="307">
        <f t="shared" ca="1" si="389"/>
        <v>-98.501338447122862</v>
      </c>
      <c r="I847" s="304">
        <f t="shared" ca="1" si="390"/>
        <v>98.769187524540754</v>
      </c>
      <c r="J847" s="306">
        <f t="shared" ca="1" si="391"/>
        <v>678.53524446899166</v>
      </c>
      <c r="K847" s="307">
        <f t="shared" ca="1" si="392"/>
        <v>-7.4701401178583255</v>
      </c>
      <c r="L847" s="304">
        <f t="shared" ca="1" si="377"/>
        <v>678.57636341090949</v>
      </c>
      <c r="M847" s="306">
        <f t="shared" ca="1" si="393"/>
        <v>-1.4971336444358938</v>
      </c>
      <c r="N847" s="304">
        <f t="shared" ca="1" si="394"/>
        <v>-85.779439193216362</v>
      </c>
      <c r="P847" s="310">
        <f t="shared" ca="1" si="395"/>
        <v>23</v>
      </c>
      <c r="Q847" s="304">
        <f t="shared" ca="1" si="396"/>
        <v>0</v>
      </c>
      <c r="R847" s="306">
        <f t="shared" ca="1" si="397"/>
        <v>0</v>
      </c>
      <c r="S847" s="307">
        <f t="shared" ca="1" si="398"/>
        <v>4.341000000000002</v>
      </c>
      <c r="T847" s="304">
        <f t="shared" ca="1" si="378"/>
        <v>42.585210000000025</v>
      </c>
      <c r="U847" s="311">
        <f t="shared" ca="1" si="379"/>
        <v>0</v>
      </c>
      <c r="V847" s="306">
        <f t="shared" ca="1" si="380"/>
        <v>1.2259154340854821</v>
      </c>
      <c r="W847" s="304">
        <f t="shared" ca="1" si="381"/>
        <v>38.801265856601177</v>
      </c>
      <c r="Y847" s="314" t="str">
        <f t="shared" ca="1" si="399"/>
        <v/>
      </c>
      <c r="Z847" s="315" t="str">
        <f t="shared" ca="1" si="400"/>
        <v/>
      </c>
      <c r="AA847" s="316" t="str">
        <f t="shared" ca="1" si="401"/>
        <v/>
      </c>
      <c r="AC847" s="310" t="e">
        <f t="shared" ca="1" si="402"/>
        <v>#N/A</v>
      </c>
      <c r="AD847" s="323" t="e">
        <f t="shared" ca="1" si="403"/>
        <v>#N/A</v>
      </c>
      <c r="AE847" s="324" t="e">
        <f t="shared" ca="1" si="382"/>
        <v>#N/A</v>
      </c>
      <c r="AG847" s="306">
        <f t="shared" ca="1" si="404"/>
        <v>0.84509582327312138</v>
      </c>
      <c r="AH847" s="304">
        <f t="shared" ca="1" si="405"/>
        <v>-8.9383002161065495</v>
      </c>
    </row>
    <row r="848" spans="1:34" x14ac:dyDescent="0.2">
      <c r="A848" s="347">
        <f t="shared" ca="1" si="383"/>
        <v>1E-4</v>
      </c>
      <c r="B848" s="304">
        <f t="shared" ca="1" si="384"/>
        <v>28.646800000000031</v>
      </c>
      <c r="D848" s="306">
        <f t="shared" ca="1" si="385"/>
        <v>-0.65782565351418365</v>
      </c>
      <c r="E848" s="307">
        <f t="shared" ca="1" si="386"/>
        <v>-0.89591524658555244</v>
      </c>
      <c r="F848" s="304">
        <f t="shared" ca="1" si="387"/>
        <v>1.1114849164454792</v>
      </c>
      <c r="G848" s="306">
        <f t="shared" ca="1" si="388"/>
        <v>7.2689594879404735</v>
      </c>
      <c r="H848" s="307">
        <f t="shared" ca="1" si="389"/>
        <v>-98.501428038647518</v>
      </c>
      <c r="I848" s="304">
        <f t="shared" ca="1" si="390"/>
        <v>98.769272031792227</v>
      </c>
      <c r="J848" s="306">
        <f t="shared" ca="1" si="391"/>
        <v>678.53524446899166</v>
      </c>
      <c r="K848" s="307">
        <f t="shared" ca="1" si="392"/>
        <v>-7.4799902561826137</v>
      </c>
      <c r="L848" s="304">
        <f t="shared" ca="1" si="377"/>
        <v>678.57647191810804</v>
      </c>
      <c r="M848" s="306">
        <f t="shared" ca="1" si="393"/>
        <v>-1.4971343754097628</v>
      </c>
      <c r="N848" s="304">
        <f t="shared" ca="1" si="394"/>
        <v>-85.779481074933983</v>
      </c>
      <c r="P848" s="310">
        <f t="shared" ca="1" si="395"/>
        <v>23</v>
      </c>
      <c r="Q848" s="304">
        <f t="shared" ca="1" si="396"/>
        <v>0</v>
      </c>
      <c r="R848" s="306">
        <f t="shared" ca="1" si="397"/>
        <v>0</v>
      </c>
      <c r="S848" s="307">
        <f t="shared" ca="1" si="398"/>
        <v>4.341000000000002</v>
      </c>
      <c r="T848" s="304">
        <f t="shared" ca="1" si="378"/>
        <v>42.585210000000025</v>
      </c>
      <c r="U848" s="311">
        <f t="shared" ca="1" si="379"/>
        <v>0</v>
      </c>
      <c r="V848" s="306">
        <f t="shared" ca="1" si="380"/>
        <v>1.2259166416299054</v>
      </c>
      <c r="W848" s="304">
        <f t="shared" ca="1" si="381"/>
        <v>38.801370473491779</v>
      </c>
      <c r="Y848" s="314" t="str">
        <f t="shared" ca="1" si="399"/>
        <v/>
      </c>
      <c r="Z848" s="315" t="str">
        <f t="shared" ca="1" si="400"/>
        <v/>
      </c>
      <c r="AA848" s="316" t="str">
        <f t="shared" ca="1" si="401"/>
        <v/>
      </c>
      <c r="AC848" s="310" t="e">
        <f t="shared" ca="1" si="402"/>
        <v>#N/A</v>
      </c>
      <c r="AD848" s="323" t="e">
        <f t="shared" ca="1" si="403"/>
        <v>#N/A</v>
      </c>
      <c r="AE848" s="324" t="e">
        <f t="shared" ca="1" si="382"/>
        <v>#N/A</v>
      </c>
      <c r="AG848" s="306">
        <f t="shared" ca="1" si="404"/>
        <v>0.84507225094000837</v>
      </c>
      <c r="AH848" s="304">
        <f t="shared" ca="1" si="405"/>
        <v>-8.9383243161946915</v>
      </c>
    </row>
    <row r="849" spans="1:34" x14ac:dyDescent="0.2">
      <c r="A849" s="347">
        <f t="shared" ca="1" si="383"/>
        <v>1E-4</v>
      </c>
      <c r="B849" s="304">
        <f t="shared" ca="1" si="384"/>
        <v>28.646900000000031</v>
      </c>
      <c r="D849" s="306">
        <f t="shared" ca="1" si="385"/>
        <v>-0.6578209111785025</v>
      </c>
      <c r="E849" s="307">
        <f t="shared" ca="1" si="386"/>
        <v>-0.89589073136715314</v>
      </c>
      <c r="F849" s="304">
        <f t="shared" ca="1" si="387"/>
        <v>1.111462349219841</v>
      </c>
      <c r="G849" s="306">
        <f t="shared" ca="1" si="388"/>
        <v>7.2688937058493552</v>
      </c>
      <c r="H849" s="307">
        <f t="shared" ca="1" si="389"/>
        <v>-98.501517627720659</v>
      </c>
      <c r="I849" s="304">
        <f t="shared" ca="1" si="390"/>
        <v>98.769356536686516</v>
      </c>
      <c r="J849" s="306">
        <f t="shared" ca="1" si="391"/>
        <v>678.53524446899166</v>
      </c>
      <c r="K849" s="307">
        <f t="shared" ca="1" si="392"/>
        <v>-7.4898404034659318</v>
      </c>
      <c r="L849" s="304">
        <f t="shared" ca="1" si="377"/>
        <v>678.57658056837158</v>
      </c>
      <c r="M849" s="306">
        <f t="shared" ca="1" si="393"/>
        <v>-1.4971351063757656</v>
      </c>
      <c r="N849" s="304">
        <f t="shared" ca="1" si="394"/>
        <v>-85.779522956200921</v>
      </c>
      <c r="P849" s="310">
        <f t="shared" ca="1" si="395"/>
        <v>23</v>
      </c>
      <c r="Q849" s="304">
        <f t="shared" ca="1" si="396"/>
        <v>0</v>
      </c>
      <c r="R849" s="306">
        <f t="shared" ca="1" si="397"/>
        <v>0</v>
      </c>
      <c r="S849" s="307">
        <f t="shared" ca="1" si="398"/>
        <v>4.341000000000002</v>
      </c>
      <c r="T849" s="304">
        <f t="shared" ca="1" si="378"/>
        <v>42.585210000000025</v>
      </c>
      <c r="U849" s="311">
        <f t="shared" ca="1" si="379"/>
        <v>0</v>
      </c>
      <c r="V849" s="306">
        <f t="shared" ca="1" si="380"/>
        <v>1.2259178491766169</v>
      </c>
      <c r="W849" s="304">
        <f t="shared" ca="1" si="381"/>
        <v>38.80147508879039</v>
      </c>
      <c r="Y849" s="314" t="str">
        <f t="shared" ca="1" si="399"/>
        <v/>
      </c>
      <c r="Z849" s="315" t="str">
        <f t="shared" ca="1" si="400"/>
        <v/>
      </c>
      <c r="AA849" s="316" t="str">
        <f t="shared" ca="1" si="401"/>
        <v/>
      </c>
      <c r="AC849" s="310" t="e">
        <f t="shared" ca="1" si="402"/>
        <v>#N/A</v>
      </c>
      <c r="AD849" s="323" t="e">
        <f t="shared" ca="1" si="403"/>
        <v>#N/A</v>
      </c>
      <c r="AE849" s="324" t="e">
        <f t="shared" ca="1" si="382"/>
        <v>#N/A</v>
      </c>
      <c r="AG849" s="306">
        <f t="shared" ca="1" si="404"/>
        <v>0.84504867896272806</v>
      </c>
      <c r="AH849" s="304">
        <f t="shared" ca="1" si="405"/>
        <v>-8.938348415916094</v>
      </c>
    </row>
    <row r="850" spans="1:34" x14ac:dyDescent="0.2">
      <c r="A850" s="347">
        <f t="shared" ca="1" si="383"/>
        <v>1E-4</v>
      </c>
      <c r="B850" s="304">
        <f t="shared" ca="1" si="384"/>
        <v>28.64700000000003</v>
      </c>
      <c r="D850" s="306">
        <f t="shared" ca="1" si="385"/>
        <v>-0.65781616885046312</v>
      </c>
      <c r="E850" s="307">
        <f t="shared" ca="1" si="386"/>
        <v>-0.89586621652184029</v>
      </c>
      <c r="F850" s="304">
        <f t="shared" ca="1" si="387"/>
        <v>1.1114397824022035</v>
      </c>
      <c r="G850" s="306">
        <f t="shared" ca="1" si="388"/>
        <v>7.26882792423247</v>
      </c>
      <c r="H850" s="307">
        <f t="shared" ca="1" si="389"/>
        <v>-98.501607214342314</v>
      </c>
      <c r="I850" s="304">
        <f t="shared" ca="1" si="390"/>
        <v>98.769441039223651</v>
      </c>
      <c r="J850" s="306">
        <f t="shared" ca="1" si="391"/>
        <v>678.53524446899166</v>
      </c>
      <c r="K850" s="307">
        <f t="shared" ca="1" si="392"/>
        <v>-7.4996905597080348</v>
      </c>
      <c r="L850" s="304">
        <f t="shared" ca="1" si="377"/>
        <v>678.57668936170046</v>
      </c>
      <c r="M850" s="306">
        <f t="shared" ca="1" si="393"/>
        <v>-1.4971358373339028</v>
      </c>
      <c r="N850" s="304">
        <f t="shared" ca="1" si="394"/>
        <v>-85.779564837017176</v>
      </c>
      <c r="P850" s="310">
        <f t="shared" ca="1" si="395"/>
        <v>23</v>
      </c>
      <c r="Q850" s="304">
        <f t="shared" ca="1" si="396"/>
        <v>0</v>
      </c>
      <c r="R850" s="306">
        <f t="shared" ca="1" si="397"/>
        <v>0</v>
      </c>
      <c r="S850" s="307">
        <f t="shared" ca="1" si="398"/>
        <v>4.341000000000002</v>
      </c>
      <c r="T850" s="304">
        <f t="shared" ca="1" si="378"/>
        <v>42.585210000000025</v>
      </c>
      <c r="U850" s="311">
        <f t="shared" ca="1" si="379"/>
        <v>0</v>
      </c>
      <c r="V850" s="306">
        <f t="shared" ca="1" si="380"/>
        <v>1.2259190567256166</v>
      </c>
      <c r="W850" s="304">
        <f t="shared" ca="1" si="381"/>
        <v>38.801579702496994</v>
      </c>
      <c r="Y850" s="314" t="str">
        <f t="shared" ca="1" si="399"/>
        <v/>
      </c>
      <c r="Z850" s="315" t="str">
        <f t="shared" ca="1" si="400"/>
        <v/>
      </c>
      <c r="AA850" s="316" t="str">
        <f t="shared" ca="1" si="401"/>
        <v/>
      </c>
      <c r="AC850" s="310" t="e">
        <f t="shared" ca="1" si="402"/>
        <v>#N/A</v>
      </c>
      <c r="AD850" s="323" t="e">
        <f t="shared" ca="1" si="403"/>
        <v>#N/A</v>
      </c>
      <c r="AE850" s="324" t="e">
        <f t="shared" ca="1" si="382"/>
        <v>#N/A</v>
      </c>
      <c r="AG850" s="306">
        <f t="shared" ca="1" si="404"/>
        <v>0.84502510734127867</v>
      </c>
      <c r="AH850" s="304">
        <f t="shared" ca="1" si="405"/>
        <v>-8.9383725152707605</v>
      </c>
    </row>
    <row r="851" spans="1:34" x14ac:dyDescent="0.2">
      <c r="A851" s="347">
        <f t="shared" ca="1" si="383"/>
        <v>1E-4</v>
      </c>
      <c r="B851" s="304">
        <f t="shared" ca="1" si="384"/>
        <v>28.64710000000003</v>
      </c>
      <c r="D851" s="306">
        <f t="shared" ca="1" si="385"/>
        <v>-0.65781142653006264</v>
      </c>
      <c r="E851" s="307">
        <f t="shared" ca="1" si="386"/>
        <v>-0.89584170204961389</v>
      </c>
      <c r="F851" s="304">
        <f t="shared" ca="1" si="387"/>
        <v>1.1114172159925657</v>
      </c>
      <c r="G851" s="306">
        <f t="shared" ca="1" si="388"/>
        <v>7.2687621430898171</v>
      </c>
      <c r="H851" s="307">
        <f t="shared" ca="1" si="389"/>
        <v>-98.501696798512526</v>
      </c>
      <c r="I851" s="304">
        <f t="shared" ca="1" si="390"/>
        <v>98.769525539403645</v>
      </c>
      <c r="J851" s="306">
        <f t="shared" ca="1" si="391"/>
        <v>678.53524446899166</v>
      </c>
      <c r="K851" s="307">
        <f t="shared" ca="1" si="392"/>
        <v>-7.5095407249086774</v>
      </c>
      <c r="L851" s="304">
        <f t="shared" ca="1" si="377"/>
        <v>678.5767982980949</v>
      </c>
      <c r="M851" s="306">
        <f t="shared" ca="1" si="393"/>
        <v>-1.4971365682841744</v>
      </c>
      <c r="N851" s="304">
        <f t="shared" ca="1" si="394"/>
        <v>-85.779606717382777</v>
      </c>
      <c r="P851" s="310">
        <f t="shared" ca="1" si="395"/>
        <v>23</v>
      </c>
      <c r="Q851" s="304">
        <f t="shared" ca="1" si="396"/>
        <v>0</v>
      </c>
      <c r="R851" s="306">
        <f t="shared" ca="1" si="397"/>
        <v>0</v>
      </c>
      <c r="S851" s="307">
        <f t="shared" ca="1" si="398"/>
        <v>4.341000000000002</v>
      </c>
      <c r="T851" s="304">
        <f t="shared" ca="1" si="378"/>
        <v>42.585210000000025</v>
      </c>
      <c r="U851" s="311">
        <f t="shared" ca="1" si="379"/>
        <v>0</v>
      </c>
      <c r="V851" s="306">
        <f t="shared" ca="1" si="380"/>
        <v>1.2259202642769049</v>
      </c>
      <c r="W851" s="304">
        <f t="shared" ca="1" si="381"/>
        <v>38.801684314611641</v>
      </c>
      <c r="Y851" s="314" t="str">
        <f t="shared" ca="1" si="399"/>
        <v/>
      </c>
      <c r="Z851" s="315" t="str">
        <f t="shared" ca="1" si="400"/>
        <v/>
      </c>
      <c r="AA851" s="316" t="str">
        <f t="shared" ca="1" si="401"/>
        <v/>
      </c>
      <c r="AC851" s="310" t="e">
        <f t="shared" ca="1" si="402"/>
        <v>#N/A</v>
      </c>
      <c r="AD851" s="323" t="e">
        <f t="shared" ca="1" si="403"/>
        <v>#N/A</v>
      </c>
      <c r="AE851" s="324" t="e">
        <f t="shared" ca="1" si="382"/>
        <v>#N/A</v>
      </c>
      <c r="AG851" s="306">
        <f t="shared" ca="1" si="404"/>
        <v>0.8450015360756602</v>
      </c>
      <c r="AH851" s="304">
        <f t="shared" ca="1" si="405"/>
        <v>-8.938396614258691</v>
      </c>
    </row>
    <row r="852" spans="1:34" x14ac:dyDescent="0.2">
      <c r="A852" s="347">
        <f t="shared" ca="1" si="383"/>
        <v>1E-4</v>
      </c>
      <c r="B852" s="304">
        <f t="shared" ca="1" si="384"/>
        <v>28.64720000000003</v>
      </c>
      <c r="D852" s="306">
        <f t="shared" ca="1" si="385"/>
        <v>-0.65780668421730148</v>
      </c>
      <c r="E852" s="307">
        <f t="shared" ca="1" si="386"/>
        <v>-0.89581718795046505</v>
      </c>
      <c r="F852" s="304">
        <f t="shared" ca="1" si="387"/>
        <v>1.11139464999092</v>
      </c>
      <c r="G852" s="306">
        <f t="shared" ca="1" si="388"/>
        <v>7.2686963624213954</v>
      </c>
      <c r="H852" s="307">
        <f t="shared" ca="1" si="389"/>
        <v>-98.501786380231323</v>
      </c>
      <c r="I852" s="304">
        <f t="shared" ca="1" si="390"/>
        <v>98.769610037226556</v>
      </c>
      <c r="J852" s="306">
        <f t="shared" ca="1" si="391"/>
        <v>678.53524446899166</v>
      </c>
      <c r="K852" s="307">
        <f t="shared" ca="1" si="392"/>
        <v>-7.5193908990676146</v>
      </c>
      <c r="L852" s="304">
        <f t="shared" ca="1" si="377"/>
        <v>678.57690737755536</v>
      </c>
      <c r="M852" s="306">
        <f t="shared" ca="1" si="393"/>
        <v>-1.4971372992265801</v>
      </c>
      <c r="N852" s="304">
        <f t="shared" ca="1" si="394"/>
        <v>-85.779648597297694</v>
      </c>
      <c r="P852" s="310">
        <f t="shared" ca="1" si="395"/>
        <v>23</v>
      </c>
      <c r="Q852" s="304">
        <f t="shared" ca="1" si="396"/>
        <v>0</v>
      </c>
      <c r="R852" s="306">
        <f t="shared" ca="1" si="397"/>
        <v>0</v>
      </c>
      <c r="S852" s="307">
        <f t="shared" ca="1" si="398"/>
        <v>4.341000000000002</v>
      </c>
      <c r="T852" s="304">
        <f t="shared" ca="1" si="378"/>
        <v>42.585210000000025</v>
      </c>
      <c r="U852" s="311">
        <f t="shared" ca="1" si="379"/>
        <v>0</v>
      </c>
      <c r="V852" s="306">
        <f t="shared" ca="1" si="380"/>
        <v>1.2259214718304805</v>
      </c>
      <c r="W852" s="304">
        <f t="shared" ca="1" si="381"/>
        <v>38.801788925134318</v>
      </c>
      <c r="Y852" s="314" t="str">
        <f t="shared" ca="1" si="399"/>
        <v/>
      </c>
      <c r="Z852" s="315" t="str">
        <f t="shared" ca="1" si="400"/>
        <v/>
      </c>
      <c r="AA852" s="316" t="str">
        <f t="shared" ca="1" si="401"/>
        <v/>
      </c>
      <c r="AC852" s="310" t="e">
        <f t="shared" ca="1" si="402"/>
        <v>#N/A</v>
      </c>
      <c r="AD852" s="323" t="e">
        <f t="shared" ca="1" si="403"/>
        <v>#N/A</v>
      </c>
      <c r="AE852" s="324" t="e">
        <f t="shared" ca="1" si="382"/>
        <v>#N/A</v>
      </c>
      <c r="AG852" s="306">
        <f t="shared" ca="1" si="404"/>
        <v>0.84497796516586021</v>
      </c>
      <c r="AH852" s="304">
        <f t="shared" ca="1" si="405"/>
        <v>-8.9384207128798945</v>
      </c>
    </row>
    <row r="853" spans="1:34" x14ac:dyDescent="0.2">
      <c r="A853" s="347">
        <f t="shared" ca="1" si="383"/>
        <v>1E-4</v>
      </c>
      <c r="B853" s="304">
        <f t="shared" ca="1" si="384"/>
        <v>28.64730000000003</v>
      </c>
      <c r="D853" s="306">
        <f t="shared" ca="1" si="385"/>
        <v>-0.65780194191218466</v>
      </c>
      <c r="E853" s="307">
        <f t="shared" ca="1" si="386"/>
        <v>-0.89579267422439202</v>
      </c>
      <c r="F853" s="304">
        <f t="shared" ca="1" si="387"/>
        <v>1.1113720843972683</v>
      </c>
      <c r="G853" s="306">
        <f t="shared" ca="1" si="388"/>
        <v>7.2686305822272042</v>
      </c>
      <c r="H853" s="307">
        <f t="shared" ca="1" si="389"/>
        <v>-98.501875959498747</v>
      </c>
      <c r="I853" s="304">
        <f t="shared" ca="1" si="390"/>
        <v>98.769694532692398</v>
      </c>
      <c r="J853" s="306">
        <f t="shared" ca="1" si="391"/>
        <v>678.53524446899166</v>
      </c>
      <c r="K853" s="307">
        <f t="shared" ca="1" si="392"/>
        <v>-7.5292410821846012</v>
      </c>
      <c r="L853" s="304">
        <f t="shared" ca="1" si="377"/>
        <v>678.57701660008206</v>
      </c>
      <c r="M853" s="306">
        <f t="shared" ca="1" si="393"/>
        <v>-1.4971380301611206</v>
      </c>
      <c r="N853" s="304">
        <f t="shared" ca="1" si="394"/>
        <v>-85.779690476761957</v>
      </c>
      <c r="P853" s="310">
        <f t="shared" ca="1" si="395"/>
        <v>23</v>
      </c>
      <c r="Q853" s="304">
        <f t="shared" ca="1" si="396"/>
        <v>0</v>
      </c>
      <c r="R853" s="306">
        <f t="shared" ca="1" si="397"/>
        <v>0</v>
      </c>
      <c r="S853" s="307">
        <f t="shared" ca="1" si="398"/>
        <v>4.341000000000002</v>
      </c>
      <c r="T853" s="304">
        <f t="shared" ca="1" si="378"/>
        <v>42.585210000000025</v>
      </c>
      <c r="U853" s="311">
        <f t="shared" ca="1" si="379"/>
        <v>0</v>
      </c>
      <c r="V853" s="306">
        <f t="shared" ca="1" si="380"/>
        <v>1.2259226793863449</v>
      </c>
      <c r="W853" s="304">
        <f t="shared" ca="1" si="381"/>
        <v>38.801893534065044</v>
      </c>
      <c r="Y853" s="314" t="str">
        <f t="shared" ca="1" si="399"/>
        <v/>
      </c>
      <c r="Z853" s="315" t="str">
        <f t="shared" ca="1" si="400"/>
        <v/>
      </c>
      <c r="AA853" s="316" t="str">
        <f t="shared" ca="1" si="401"/>
        <v/>
      </c>
      <c r="AC853" s="310" t="e">
        <f t="shared" ca="1" si="402"/>
        <v>#N/A</v>
      </c>
      <c r="AD853" s="323" t="e">
        <f t="shared" ca="1" si="403"/>
        <v>#N/A</v>
      </c>
      <c r="AE853" s="324" t="e">
        <f t="shared" ca="1" si="382"/>
        <v>#N/A</v>
      </c>
      <c r="AG853" s="306">
        <f t="shared" ca="1" si="404"/>
        <v>0.84495439461188226</v>
      </c>
      <c r="AH853" s="304">
        <f t="shared" ca="1" si="405"/>
        <v>-8.9384448111343708</v>
      </c>
    </row>
    <row r="854" spans="1:34" x14ac:dyDescent="0.2">
      <c r="A854" s="347">
        <f t="shared" ca="1" si="383"/>
        <v>1E-4</v>
      </c>
      <c r="B854" s="304">
        <f t="shared" ca="1" si="384"/>
        <v>28.64740000000003</v>
      </c>
      <c r="D854" s="306">
        <f t="shared" ca="1" si="385"/>
        <v>-0.65779719961470773</v>
      </c>
      <c r="E854" s="307">
        <f t="shared" ca="1" si="386"/>
        <v>-0.89576816087139655</v>
      </c>
      <c r="F854" s="304">
        <f t="shared" ca="1" si="387"/>
        <v>1.1113495192116096</v>
      </c>
      <c r="G854" s="306">
        <f t="shared" ca="1" si="388"/>
        <v>7.2685648025072425</v>
      </c>
      <c r="H854" s="307">
        <f t="shared" ca="1" si="389"/>
        <v>-98.501965536314827</v>
      </c>
      <c r="I854" s="304">
        <f t="shared" ca="1" si="390"/>
        <v>98.769779025801213</v>
      </c>
      <c r="J854" s="306">
        <f t="shared" ca="1" si="391"/>
        <v>678.53524446899166</v>
      </c>
      <c r="K854" s="307">
        <f t="shared" ca="1" si="392"/>
        <v>-7.5390912742593921</v>
      </c>
      <c r="L854" s="304">
        <f t="shared" ca="1" si="377"/>
        <v>678.57712596567524</v>
      </c>
      <c r="M854" s="306">
        <f t="shared" ca="1" si="393"/>
        <v>-1.4971387610877955</v>
      </c>
      <c r="N854" s="304">
        <f t="shared" ca="1" si="394"/>
        <v>-85.779732355775565</v>
      </c>
      <c r="P854" s="310">
        <f t="shared" ca="1" si="395"/>
        <v>23</v>
      </c>
      <c r="Q854" s="304">
        <f t="shared" ca="1" si="396"/>
        <v>0</v>
      </c>
      <c r="R854" s="306">
        <f t="shared" ca="1" si="397"/>
        <v>0</v>
      </c>
      <c r="S854" s="307">
        <f t="shared" ca="1" si="398"/>
        <v>4.341000000000002</v>
      </c>
      <c r="T854" s="304">
        <f t="shared" ca="1" si="378"/>
        <v>42.585210000000025</v>
      </c>
      <c r="U854" s="311">
        <f t="shared" ca="1" si="379"/>
        <v>0</v>
      </c>
      <c r="V854" s="306">
        <f t="shared" ca="1" si="380"/>
        <v>1.2259238869444968</v>
      </c>
      <c r="W854" s="304">
        <f t="shared" ca="1" si="381"/>
        <v>38.801998141403843</v>
      </c>
      <c r="Y854" s="314" t="str">
        <f t="shared" ca="1" si="399"/>
        <v/>
      </c>
      <c r="Z854" s="315" t="str">
        <f t="shared" ca="1" si="400"/>
        <v/>
      </c>
      <c r="AA854" s="316" t="str">
        <f t="shared" ca="1" si="401"/>
        <v/>
      </c>
      <c r="AC854" s="310" t="e">
        <f t="shared" ca="1" si="402"/>
        <v>#N/A</v>
      </c>
      <c r="AD854" s="323" t="e">
        <f t="shared" ca="1" si="403"/>
        <v>#N/A</v>
      </c>
      <c r="AE854" s="324" t="e">
        <f t="shared" ca="1" si="382"/>
        <v>#N/A</v>
      </c>
      <c r="AG854" s="306">
        <f t="shared" ca="1" si="404"/>
        <v>0.84493082441372636</v>
      </c>
      <c r="AH854" s="304">
        <f t="shared" ca="1" si="405"/>
        <v>-8.9384689090221201</v>
      </c>
    </row>
    <row r="855" spans="1:34" x14ac:dyDescent="0.2">
      <c r="A855" s="347">
        <f t="shared" ca="1" si="383"/>
        <v>1E-4</v>
      </c>
      <c r="B855" s="304">
        <f t="shared" ca="1" si="384"/>
        <v>28.647500000000029</v>
      </c>
      <c r="D855" s="306">
        <f t="shared" ca="1" si="385"/>
        <v>-0.65779245732487501</v>
      </c>
      <c r="E855" s="307">
        <f t="shared" ca="1" si="386"/>
        <v>-0.89574364789146621</v>
      </c>
      <c r="F855" s="304">
        <f t="shared" ca="1" si="387"/>
        <v>1.1113269544339364</v>
      </c>
      <c r="G855" s="306">
        <f t="shared" ca="1" si="388"/>
        <v>7.2684990232615103</v>
      </c>
      <c r="H855" s="307">
        <f t="shared" ca="1" si="389"/>
        <v>-98.50205511067962</v>
      </c>
      <c r="I855" s="304">
        <f t="shared" ca="1" si="390"/>
        <v>98.769863516553059</v>
      </c>
      <c r="J855" s="306">
        <f t="shared" ca="1" si="391"/>
        <v>678.53524446899166</v>
      </c>
      <c r="K855" s="307">
        <f t="shared" ca="1" si="392"/>
        <v>-7.5489414752917421</v>
      </c>
      <c r="L855" s="304">
        <f t="shared" ca="1" si="377"/>
        <v>678.57723547433545</v>
      </c>
      <c r="M855" s="306">
        <f t="shared" ca="1" si="393"/>
        <v>-1.4971394920066052</v>
      </c>
      <c r="N855" s="304">
        <f t="shared" ca="1" si="394"/>
        <v>-85.779774234338532</v>
      </c>
      <c r="P855" s="310">
        <f t="shared" ca="1" si="395"/>
        <v>23</v>
      </c>
      <c r="Q855" s="304">
        <f t="shared" ca="1" si="396"/>
        <v>0</v>
      </c>
      <c r="R855" s="306">
        <f t="shared" ca="1" si="397"/>
        <v>0</v>
      </c>
      <c r="S855" s="307">
        <f t="shared" ca="1" si="398"/>
        <v>4.341000000000002</v>
      </c>
      <c r="T855" s="304">
        <f t="shared" ca="1" si="378"/>
        <v>42.585210000000025</v>
      </c>
      <c r="U855" s="311">
        <f t="shared" ca="1" si="379"/>
        <v>0</v>
      </c>
      <c r="V855" s="306">
        <f t="shared" ca="1" si="380"/>
        <v>1.2259250945049371</v>
      </c>
      <c r="W855" s="304">
        <f t="shared" ca="1" si="381"/>
        <v>38.802102747150755</v>
      </c>
      <c r="Y855" s="314" t="str">
        <f t="shared" ca="1" si="399"/>
        <v/>
      </c>
      <c r="Z855" s="315" t="str">
        <f t="shared" ca="1" si="400"/>
        <v/>
      </c>
      <c r="AA855" s="316" t="str">
        <f t="shared" ca="1" si="401"/>
        <v/>
      </c>
      <c r="AC855" s="310" t="e">
        <f t="shared" ca="1" si="402"/>
        <v>#N/A</v>
      </c>
      <c r="AD855" s="323" t="e">
        <f t="shared" ca="1" si="403"/>
        <v>#N/A</v>
      </c>
      <c r="AE855" s="324" t="e">
        <f t="shared" ca="1" si="382"/>
        <v>#N/A</v>
      </c>
      <c r="AG855" s="306">
        <f t="shared" ca="1" si="404"/>
        <v>0.84490725457138183</v>
      </c>
      <c r="AH855" s="304">
        <f t="shared" ca="1" si="405"/>
        <v>-8.9384930065431529</v>
      </c>
    </row>
    <row r="856" spans="1:34" x14ac:dyDescent="0.2">
      <c r="A856" s="347">
        <f t="shared" ca="1" si="383"/>
        <v>1E-4</v>
      </c>
      <c r="B856" s="304">
        <f t="shared" ca="1" si="384"/>
        <v>28.647600000000029</v>
      </c>
      <c r="D856" s="306">
        <f t="shared" ca="1" si="385"/>
        <v>-0.65778771504268607</v>
      </c>
      <c r="E856" s="307">
        <f t="shared" ca="1" si="386"/>
        <v>-0.89571913528459568</v>
      </c>
      <c r="F856" s="304">
        <f t="shared" ca="1" si="387"/>
        <v>1.1113043900642443</v>
      </c>
      <c r="G856" s="306">
        <f t="shared" ca="1" si="388"/>
        <v>7.2684332444900059</v>
      </c>
      <c r="H856" s="307">
        <f t="shared" ca="1" si="389"/>
        <v>-98.502144682593155</v>
      </c>
      <c r="I856" s="304">
        <f t="shared" ca="1" si="390"/>
        <v>98.769948004947949</v>
      </c>
      <c r="J856" s="306">
        <f t="shared" ca="1" si="391"/>
        <v>678.53524446899166</v>
      </c>
      <c r="K856" s="307">
        <f t="shared" ca="1" si="392"/>
        <v>-7.5587916852814061</v>
      </c>
      <c r="L856" s="304">
        <f t="shared" ca="1" si="377"/>
        <v>678.57734512606282</v>
      </c>
      <c r="M856" s="306">
        <f t="shared" ca="1" si="393"/>
        <v>-1.4971402229175499</v>
      </c>
      <c r="N856" s="304">
        <f t="shared" ca="1" si="394"/>
        <v>-85.77981611245086</v>
      </c>
      <c r="P856" s="310">
        <f t="shared" ca="1" si="395"/>
        <v>23</v>
      </c>
      <c r="Q856" s="304">
        <f t="shared" ca="1" si="396"/>
        <v>0</v>
      </c>
      <c r="R856" s="306">
        <f t="shared" ca="1" si="397"/>
        <v>0</v>
      </c>
      <c r="S856" s="307">
        <f t="shared" ca="1" si="398"/>
        <v>4.341000000000002</v>
      </c>
      <c r="T856" s="304">
        <f t="shared" ca="1" si="378"/>
        <v>42.585210000000025</v>
      </c>
      <c r="U856" s="311">
        <f t="shared" ca="1" si="379"/>
        <v>0</v>
      </c>
      <c r="V856" s="306">
        <f t="shared" ca="1" si="380"/>
        <v>1.2259263020676656</v>
      </c>
      <c r="W856" s="304">
        <f t="shared" ca="1" si="381"/>
        <v>38.802207351305775</v>
      </c>
      <c r="Y856" s="314" t="str">
        <f t="shared" ca="1" si="399"/>
        <v/>
      </c>
      <c r="Z856" s="315" t="str">
        <f t="shared" ca="1" si="400"/>
        <v/>
      </c>
      <c r="AA856" s="316" t="str">
        <f t="shared" ca="1" si="401"/>
        <v/>
      </c>
      <c r="AC856" s="310" t="e">
        <f t="shared" ca="1" si="402"/>
        <v>#N/A</v>
      </c>
      <c r="AD856" s="323" t="e">
        <f t="shared" ca="1" si="403"/>
        <v>#N/A</v>
      </c>
      <c r="AE856" s="324" t="e">
        <f t="shared" ca="1" si="382"/>
        <v>#N/A</v>
      </c>
      <c r="AG856" s="306">
        <f t="shared" ca="1" si="404"/>
        <v>0.84488368508484513</v>
      </c>
      <c r="AH856" s="304">
        <f t="shared" ca="1" si="405"/>
        <v>-8.9385171036974747</v>
      </c>
    </row>
    <row r="857" spans="1:34" x14ac:dyDescent="0.2">
      <c r="A857" s="347">
        <f t="shared" ca="1" si="383"/>
        <v>1E-4</v>
      </c>
      <c r="B857" s="304">
        <f t="shared" ca="1" si="384"/>
        <v>28.647700000000029</v>
      </c>
      <c r="D857" s="306">
        <f t="shared" ca="1" si="385"/>
        <v>-0.65778297276814046</v>
      </c>
      <c r="E857" s="307">
        <f t="shared" ca="1" si="386"/>
        <v>-0.89569462305078673</v>
      </c>
      <c r="F857" s="304">
        <f t="shared" ca="1" si="387"/>
        <v>1.1112818261025341</v>
      </c>
      <c r="G857" s="306">
        <f t="shared" ca="1" si="388"/>
        <v>7.2683674661927293</v>
      </c>
      <c r="H857" s="307">
        <f t="shared" ca="1" si="389"/>
        <v>-98.502234252055459</v>
      </c>
      <c r="I857" s="304">
        <f t="shared" ca="1" si="390"/>
        <v>98.77003249098594</v>
      </c>
      <c r="J857" s="306">
        <f t="shared" ca="1" si="391"/>
        <v>678.53524446899166</v>
      </c>
      <c r="K857" s="307">
        <f t="shared" ca="1" si="392"/>
        <v>-7.5686419042281381</v>
      </c>
      <c r="L857" s="304">
        <f t="shared" ca="1" si="377"/>
        <v>678.5774549208578</v>
      </c>
      <c r="M857" s="306">
        <f t="shared" ca="1" si="393"/>
        <v>-1.4971409538206293</v>
      </c>
      <c r="N857" s="304">
        <f t="shared" ca="1" si="394"/>
        <v>-85.779857990112532</v>
      </c>
      <c r="P857" s="310">
        <f t="shared" ca="1" si="395"/>
        <v>23</v>
      </c>
      <c r="Q857" s="304">
        <f t="shared" ca="1" si="396"/>
        <v>0</v>
      </c>
      <c r="R857" s="306">
        <f t="shared" ca="1" si="397"/>
        <v>0</v>
      </c>
      <c r="S857" s="307">
        <f t="shared" ca="1" si="398"/>
        <v>4.341000000000002</v>
      </c>
      <c r="T857" s="304">
        <f t="shared" ca="1" si="378"/>
        <v>42.585210000000025</v>
      </c>
      <c r="U857" s="311">
        <f t="shared" ca="1" si="379"/>
        <v>0</v>
      </c>
      <c r="V857" s="306">
        <f t="shared" ca="1" si="380"/>
        <v>1.2259275096326816</v>
      </c>
      <c r="W857" s="304">
        <f t="shared" ca="1" si="381"/>
        <v>38.802311953868937</v>
      </c>
      <c r="Y857" s="314" t="str">
        <f t="shared" ca="1" si="399"/>
        <v/>
      </c>
      <c r="Z857" s="315" t="str">
        <f t="shared" ca="1" si="400"/>
        <v/>
      </c>
      <c r="AA857" s="316" t="str">
        <f t="shared" ca="1" si="401"/>
        <v/>
      </c>
      <c r="AC857" s="310" t="e">
        <f t="shared" ca="1" si="402"/>
        <v>#N/A</v>
      </c>
      <c r="AD857" s="323" t="e">
        <f t="shared" ca="1" si="403"/>
        <v>#N/A</v>
      </c>
      <c r="AE857" s="324" t="e">
        <f t="shared" ca="1" si="382"/>
        <v>#N/A</v>
      </c>
      <c r="AG857" s="306">
        <f t="shared" ca="1" si="404"/>
        <v>0.8448601159541127</v>
      </c>
      <c r="AH857" s="304">
        <f t="shared" ca="1" si="405"/>
        <v>-8.9385412004850853</v>
      </c>
    </row>
    <row r="858" spans="1:34" x14ac:dyDescent="0.2">
      <c r="A858" s="347">
        <f t="shared" ca="1" si="383"/>
        <v>1E-4</v>
      </c>
      <c r="B858" s="304">
        <f t="shared" ca="1" si="384"/>
        <v>28.647800000000029</v>
      </c>
      <c r="D858" s="306">
        <f t="shared" ca="1" si="385"/>
        <v>-0.65777823050124207</v>
      </c>
      <c r="E858" s="307">
        <f t="shared" ca="1" si="386"/>
        <v>-0.89567011119003048</v>
      </c>
      <c r="F858" s="304">
        <f t="shared" ca="1" si="387"/>
        <v>1.1112592625488018</v>
      </c>
      <c r="G858" s="306">
        <f t="shared" ca="1" si="388"/>
        <v>7.2683016883696796</v>
      </c>
      <c r="H858" s="307">
        <f t="shared" ca="1" si="389"/>
        <v>-98.502323819066575</v>
      </c>
      <c r="I858" s="304">
        <f t="shared" ca="1" si="390"/>
        <v>98.770116974667033</v>
      </c>
      <c r="J858" s="306">
        <f t="shared" ca="1" si="391"/>
        <v>678.53524446899166</v>
      </c>
      <c r="K858" s="307">
        <f t="shared" ca="1" si="392"/>
        <v>-7.5784921321316938</v>
      </c>
      <c r="L858" s="304">
        <f t="shared" ca="1" si="377"/>
        <v>678.57756485872051</v>
      </c>
      <c r="M858" s="306">
        <f t="shared" ca="1" si="393"/>
        <v>-1.4971416847158439</v>
      </c>
      <c r="N858" s="304">
        <f t="shared" ca="1" si="394"/>
        <v>-85.779899867323607</v>
      </c>
      <c r="P858" s="310">
        <f t="shared" ca="1" si="395"/>
        <v>23</v>
      </c>
      <c r="Q858" s="304">
        <f t="shared" ca="1" si="396"/>
        <v>0</v>
      </c>
      <c r="R858" s="306">
        <f t="shared" ca="1" si="397"/>
        <v>0</v>
      </c>
      <c r="S858" s="307">
        <f t="shared" ca="1" si="398"/>
        <v>4.341000000000002</v>
      </c>
      <c r="T858" s="304">
        <f t="shared" ca="1" si="378"/>
        <v>42.585210000000025</v>
      </c>
      <c r="U858" s="311">
        <f t="shared" ca="1" si="379"/>
        <v>0</v>
      </c>
      <c r="V858" s="306">
        <f t="shared" ca="1" si="380"/>
        <v>1.225928717199986</v>
      </c>
      <c r="W858" s="304">
        <f t="shared" ca="1" si="381"/>
        <v>38.802416554840214</v>
      </c>
      <c r="Y858" s="314" t="str">
        <f t="shared" ca="1" si="399"/>
        <v/>
      </c>
      <c r="Z858" s="315" t="str">
        <f t="shared" ca="1" si="400"/>
        <v/>
      </c>
      <c r="AA858" s="316" t="str">
        <f t="shared" ca="1" si="401"/>
        <v/>
      </c>
      <c r="AC858" s="310" t="e">
        <f t="shared" ca="1" si="402"/>
        <v>#N/A</v>
      </c>
      <c r="AD858" s="323" t="e">
        <f t="shared" ca="1" si="403"/>
        <v>#N/A</v>
      </c>
      <c r="AE858" s="324" t="e">
        <f t="shared" ca="1" si="382"/>
        <v>#N/A</v>
      </c>
      <c r="AG858" s="306">
        <f t="shared" ca="1" si="404"/>
        <v>0.84483654717917744</v>
      </c>
      <c r="AH858" s="304">
        <f t="shared" ca="1" si="405"/>
        <v>-8.9385652969059937</v>
      </c>
    </row>
    <row r="859" spans="1:34" x14ac:dyDescent="0.2">
      <c r="A859" s="347">
        <f t="shared" ca="1" si="383"/>
        <v>1E-4</v>
      </c>
      <c r="B859" s="304">
        <f t="shared" ca="1" si="384"/>
        <v>28.647900000000028</v>
      </c>
      <c r="D859" s="306">
        <f t="shared" ca="1" si="385"/>
        <v>-0.65777348824198778</v>
      </c>
      <c r="E859" s="307">
        <f t="shared" ca="1" si="386"/>
        <v>-0.89564559970233049</v>
      </c>
      <c r="F859" s="304">
        <f t="shared" ca="1" si="387"/>
        <v>1.1112366994030478</v>
      </c>
      <c r="G859" s="306">
        <f t="shared" ca="1" si="388"/>
        <v>7.268235911020855</v>
      </c>
      <c r="H859" s="307">
        <f t="shared" ca="1" si="389"/>
        <v>-98.502413383626546</v>
      </c>
      <c r="I859" s="304">
        <f t="shared" ca="1" si="390"/>
        <v>98.770201455991284</v>
      </c>
      <c r="J859" s="306">
        <f t="shared" ca="1" si="391"/>
        <v>678.53524446899166</v>
      </c>
      <c r="K859" s="307">
        <f t="shared" ca="1" si="392"/>
        <v>-7.5883423689918281</v>
      </c>
      <c r="L859" s="304">
        <f t="shared" ca="1" si="377"/>
        <v>678.5776749396515</v>
      </c>
      <c r="M859" s="306">
        <f t="shared" ca="1" si="393"/>
        <v>-1.4971424156031936</v>
      </c>
      <c r="N859" s="304">
        <f t="shared" ca="1" si="394"/>
        <v>-85.779941744084041</v>
      </c>
      <c r="P859" s="310">
        <f t="shared" ca="1" si="395"/>
        <v>23</v>
      </c>
      <c r="Q859" s="304">
        <f t="shared" ca="1" si="396"/>
        <v>0</v>
      </c>
      <c r="R859" s="306">
        <f t="shared" ca="1" si="397"/>
        <v>0</v>
      </c>
      <c r="S859" s="307">
        <f t="shared" ca="1" si="398"/>
        <v>4.341000000000002</v>
      </c>
      <c r="T859" s="304">
        <f t="shared" ca="1" si="378"/>
        <v>42.585210000000025</v>
      </c>
      <c r="U859" s="311">
        <f t="shared" ca="1" si="379"/>
        <v>0</v>
      </c>
      <c r="V859" s="306">
        <f t="shared" ca="1" si="380"/>
        <v>1.2259299247695781</v>
      </c>
      <c r="W859" s="304">
        <f t="shared" ca="1" si="381"/>
        <v>38.802521154219676</v>
      </c>
      <c r="Y859" s="314" t="str">
        <f t="shared" ca="1" si="399"/>
        <v/>
      </c>
      <c r="Z859" s="315" t="str">
        <f t="shared" ca="1" si="400"/>
        <v/>
      </c>
      <c r="AA859" s="316" t="str">
        <f t="shared" ca="1" si="401"/>
        <v/>
      </c>
      <c r="AC859" s="310" t="e">
        <f t="shared" ca="1" si="402"/>
        <v>#N/A</v>
      </c>
      <c r="AD859" s="323" t="e">
        <f t="shared" ca="1" si="403"/>
        <v>#N/A</v>
      </c>
      <c r="AE859" s="324" t="e">
        <f t="shared" ca="1" si="382"/>
        <v>#N/A</v>
      </c>
      <c r="AG859" s="306">
        <f t="shared" ca="1" si="404"/>
        <v>0.84481297876005002</v>
      </c>
      <c r="AH859" s="304">
        <f t="shared" ca="1" si="405"/>
        <v>-8.9385893929601927</v>
      </c>
    </row>
    <row r="860" spans="1:34" x14ac:dyDescent="0.2">
      <c r="A860" s="347">
        <f t="shared" ca="1" si="383"/>
        <v>1E-4</v>
      </c>
      <c r="B860" s="304">
        <f t="shared" ca="1" si="384"/>
        <v>28.648000000000028</v>
      </c>
      <c r="D860" s="306">
        <f t="shared" ca="1" si="385"/>
        <v>-0.65776874599038038</v>
      </c>
      <c r="E860" s="307">
        <f t="shared" ca="1" si="386"/>
        <v>-0.89562108858767431</v>
      </c>
      <c r="F860" s="304">
        <f t="shared" ca="1" si="387"/>
        <v>1.1112141366652641</v>
      </c>
      <c r="G860" s="306">
        <f t="shared" ca="1" si="388"/>
        <v>7.2681701341462563</v>
      </c>
      <c r="H860" s="307">
        <f t="shared" ca="1" si="389"/>
        <v>-98.502502945735401</v>
      </c>
      <c r="I860" s="304">
        <f t="shared" ca="1" si="390"/>
        <v>98.770285934958736</v>
      </c>
      <c r="J860" s="306">
        <f t="shared" ca="1" si="391"/>
        <v>678.53524446899166</v>
      </c>
      <c r="K860" s="307">
        <f t="shared" ca="1" si="392"/>
        <v>-7.5981926148082959</v>
      </c>
      <c r="L860" s="304">
        <f t="shared" ca="1" si="377"/>
        <v>678.57778516365101</v>
      </c>
      <c r="M860" s="306">
        <f t="shared" ca="1" si="393"/>
        <v>-1.4971431464826785</v>
      </c>
      <c r="N860" s="304">
        <f t="shared" ca="1" si="394"/>
        <v>-85.779983620393864</v>
      </c>
      <c r="P860" s="310">
        <f t="shared" ca="1" si="395"/>
        <v>23</v>
      </c>
      <c r="Q860" s="304">
        <f t="shared" ca="1" si="396"/>
        <v>0</v>
      </c>
      <c r="R860" s="306">
        <f t="shared" ca="1" si="397"/>
        <v>0</v>
      </c>
      <c r="S860" s="307">
        <f t="shared" ca="1" si="398"/>
        <v>4.341000000000002</v>
      </c>
      <c r="T860" s="304">
        <f t="shared" ca="1" si="378"/>
        <v>42.585210000000025</v>
      </c>
      <c r="U860" s="311">
        <f t="shared" ca="1" si="379"/>
        <v>0</v>
      </c>
      <c r="V860" s="306">
        <f t="shared" ca="1" si="380"/>
        <v>1.2259311323414583</v>
      </c>
      <c r="W860" s="304">
        <f t="shared" ca="1" si="381"/>
        <v>38.802625752007323</v>
      </c>
      <c r="Y860" s="314" t="str">
        <f t="shared" ca="1" si="399"/>
        <v/>
      </c>
      <c r="Z860" s="315" t="str">
        <f t="shared" ca="1" si="400"/>
        <v/>
      </c>
      <c r="AA860" s="316" t="str">
        <f t="shared" ca="1" si="401"/>
        <v/>
      </c>
      <c r="AC860" s="310" t="e">
        <f t="shared" ca="1" si="402"/>
        <v>#N/A</v>
      </c>
      <c r="AD860" s="323" t="e">
        <f t="shared" ca="1" si="403"/>
        <v>#N/A</v>
      </c>
      <c r="AE860" s="324" t="e">
        <f t="shared" ca="1" si="382"/>
        <v>#N/A</v>
      </c>
      <c r="AG860" s="306">
        <f t="shared" ca="1" si="404"/>
        <v>0.84478941069671087</v>
      </c>
      <c r="AH860" s="304">
        <f t="shared" ca="1" si="405"/>
        <v>-8.9386134886476984</v>
      </c>
    </row>
    <row r="861" spans="1:34" x14ac:dyDescent="0.2">
      <c r="A861" s="347">
        <f t="shared" ca="1" si="383"/>
        <v>1E-4</v>
      </c>
      <c r="B861" s="304">
        <f t="shared" ca="1" si="384"/>
        <v>28.648100000000028</v>
      </c>
      <c r="D861" s="306">
        <f t="shared" ca="1" si="385"/>
        <v>-0.65776400374642097</v>
      </c>
      <c r="E861" s="307">
        <f t="shared" ca="1" si="386"/>
        <v>-0.89559657784606017</v>
      </c>
      <c r="F861" s="304">
        <f t="shared" ca="1" si="387"/>
        <v>1.1111915743354499</v>
      </c>
      <c r="G861" s="306">
        <f t="shared" ca="1" si="388"/>
        <v>7.2681043577458819</v>
      </c>
      <c r="H861" s="307">
        <f t="shared" ca="1" si="389"/>
        <v>-98.502592505393181</v>
      </c>
      <c r="I861" s="304">
        <f t="shared" ca="1" si="390"/>
        <v>98.770370411569402</v>
      </c>
      <c r="J861" s="306">
        <f t="shared" ca="1" si="391"/>
        <v>678.53524446899166</v>
      </c>
      <c r="K861" s="307">
        <f t="shared" ca="1" si="392"/>
        <v>-7.608042869580852</v>
      </c>
      <c r="L861" s="304">
        <f t="shared" ca="1" si="377"/>
        <v>678.57789553071916</v>
      </c>
      <c r="M861" s="306">
        <f t="shared" ca="1" si="393"/>
        <v>-1.4971438773542991</v>
      </c>
      <c r="N861" s="304">
        <f t="shared" ca="1" si="394"/>
        <v>-85.780025496253089</v>
      </c>
      <c r="P861" s="310">
        <f t="shared" ca="1" si="395"/>
        <v>23</v>
      </c>
      <c r="Q861" s="304">
        <f t="shared" ca="1" si="396"/>
        <v>0</v>
      </c>
      <c r="R861" s="306">
        <f t="shared" ca="1" si="397"/>
        <v>0</v>
      </c>
      <c r="S861" s="307">
        <f t="shared" ca="1" si="398"/>
        <v>4.341000000000002</v>
      </c>
      <c r="T861" s="304">
        <f t="shared" ca="1" si="378"/>
        <v>42.585210000000025</v>
      </c>
      <c r="U861" s="311">
        <f t="shared" ca="1" si="379"/>
        <v>0</v>
      </c>
      <c r="V861" s="306">
        <f t="shared" ca="1" si="380"/>
        <v>1.2259323399156263</v>
      </c>
      <c r="W861" s="304">
        <f t="shared" ca="1" si="381"/>
        <v>38.802730348203141</v>
      </c>
      <c r="Y861" s="314" t="str">
        <f t="shared" ca="1" si="399"/>
        <v/>
      </c>
      <c r="Z861" s="315" t="str">
        <f t="shared" ca="1" si="400"/>
        <v/>
      </c>
      <c r="AA861" s="316" t="str">
        <f t="shared" ca="1" si="401"/>
        <v/>
      </c>
      <c r="AC861" s="310" t="e">
        <f t="shared" ca="1" si="402"/>
        <v>#N/A</v>
      </c>
      <c r="AD861" s="323" t="e">
        <f t="shared" ca="1" si="403"/>
        <v>#N/A</v>
      </c>
      <c r="AE861" s="324" t="e">
        <f t="shared" ca="1" si="382"/>
        <v>#N/A</v>
      </c>
      <c r="AG861" s="306">
        <f t="shared" ca="1" si="404"/>
        <v>0.8447658429891618</v>
      </c>
      <c r="AH861" s="304">
        <f t="shared" ca="1" si="405"/>
        <v>-8.9386375839685108</v>
      </c>
    </row>
    <row r="862" spans="1:34" x14ac:dyDescent="0.2">
      <c r="A862" s="347">
        <f t="shared" ca="1" si="383"/>
        <v>1E-4</v>
      </c>
      <c r="B862" s="304">
        <f t="shared" ca="1" si="384"/>
        <v>28.648200000000028</v>
      </c>
      <c r="D862" s="306">
        <f t="shared" ca="1" si="385"/>
        <v>-0.65775926151010689</v>
      </c>
      <c r="E862" s="307">
        <f t="shared" ca="1" si="386"/>
        <v>-0.89557206747749163</v>
      </c>
      <c r="F862" s="304">
        <f t="shared" ca="1" si="387"/>
        <v>1.1111690124136067</v>
      </c>
      <c r="G862" s="306">
        <f t="shared" ca="1" si="388"/>
        <v>7.2680385818197308</v>
      </c>
      <c r="H862" s="307">
        <f t="shared" ca="1" si="389"/>
        <v>-98.502682062599931</v>
      </c>
      <c r="I862" s="304">
        <f t="shared" ca="1" si="390"/>
        <v>98.770454885823341</v>
      </c>
      <c r="J862" s="306">
        <f t="shared" ca="1" si="391"/>
        <v>678.53524446899166</v>
      </c>
      <c r="K862" s="307">
        <f t="shared" ca="1" si="392"/>
        <v>-7.6178931333092512</v>
      </c>
      <c r="L862" s="304">
        <f t="shared" ca="1" si="377"/>
        <v>678.57800604085662</v>
      </c>
      <c r="M862" s="306">
        <f t="shared" ca="1" si="393"/>
        <v>-1.4971446082180548</v>
      </c>
      <c r="N862" s="304">
        <f t="shared" ca="1" si="394"/>
        <v>-85.780067371661687</v>
      </c>
      <c r="P862" s="310">
        <f t="shared" ca="1" si="395"/>
        <v>23</v>
      </c>
      <c r="Q862" s="304">
        <f t="shared" ca="1" si="396"/>
        <v>0</v>
      </c>
      <c r="R862" s="306">
        <f t="shared" ca="1" si="397"/>
        <v>0</v>
      </c>
      <c r="S862" s="307">
        <f t="shared" ca="1" si="398"/>
        <v>4.341000000000002</v>
      </c>
      <c r="T862" s="304">
        <f t="shared" ca="1" si="378"/>
        <v>42.585210000000025</v>
      </c>
      <c r="U862" s="311">
        <f t="shared" ca="1" si="379"/>
        <v>0</v>
      </c>
      <c r="V862" s="306">
        <f t="shared" ca="1" si="380"/>
        <v>1.2259335474920818</v>
      </c>
      <c r="W862" s="304">
        <f t="shared" ca="1" si="381"/>
        <v>38.802834942807188</v>
      </c>
      <c r="Y862" s="314" t="str">
        <f t="shared" ca="1" si="399"/>
        <v/>
      </c>
      <c r="Z862" s="315" t="str">
        <f t="shared" ca="1" si="400"/>
        <v/>
      </c>
      <c r="AA862" s="316" t="str">
        <f t="shared" ca="1" si="401"/>
        <v/>
      </c>
      <c r="AC862" s="310" t="e">
        <f t="shared" ca="1" si="402"/>
        <v>#N/A</v>
      </c>
      <c r="AD862" s="323" t="e">
        <f t="shared" ca="1" si="403"/>
        <v>#N/A</v>
      </c>
      <c r="AE862" s="324" t="e">
        <f t="shared" ca="1" si="382"/>
        <v>#N/A</v>
      </c>
      <c r="AG862" s="306">
        <f t="shared" ca="1" si="404"/>
        <v>0.84474227563740456</v>
      </c>
      <c r="AH862" s="304">
        <f t="shared" ca="1" si="405"/>
        <v>-8.9386616789226263</v>
      </c>
    </row>
    <row r="863" spans="1:34" x14ac:dyDescent="0.2">
      <c r="A863" s="347">
        <f t="shared" ca="1" si="383"/>
        <v>1E-4</v>
      </c>
      <c r="B863" s="304">
        <f t="shared" ca="1" si="384"/>
        <v>28.648300000000027</v>
      </c>
      <c r="D863" s="306">
        <f t="shared" ca="1" si="385"/>
        <v>-0.65775451928144446</v>
      </c>
      <c r="E863" s="307">
        <f t="shared" ca="1" si="386"/>
        <v>-0.89554755748195447</v>
      </c>
      <c r="F863" s="304">
        <f t="shared" ca="1" si="387"/>
        <v>1.1111464508997266</v>
      </c>
      <c r="G863" s="306">
        <f t="shared" ca="1" si="388"/>
        <v>7.2679728063678031</v>
      </c>
      <c r="H863" s="307">
        <f t="shared" ca="1" si="389"/>
        <v>-98.502771617355677</v>
      </c>
      <c r="I863" s="304">
        <f t="shared" ca="1" si="390"/>
        <v>98.770539357720594</v>
      </c>
      <c r="J863" s="306">
        <f t="shared" ca="1" si="391"/>
        <v>678.53524446899166</v>
      </c>
      <c r="K863" s="307">
        <f t="shared" ca="1" si="392"/>
        <v>-7.6277434059932494</v>
      </c>
      <c r="L863" s="304">
        <f t="shared" ca="1" si="377"/>
        <v>678.5781166940634</v>
      </c>
      <c r="M863" s="306">
        <f t="shared" ca="1" si="393"/>
        <v>-1.4971453390739464</v>
      </c>
      <c r="N863" s="304">
        <f t="shared" ca="1" si="394"/>
        <v>-85.780109246619702</v>
      </c>
      <c r="P863" s="310">
        <f t="shared" ca="1" si="395"/>
        <v>23</v>
      </c>
      <c r="Q863" s="304">
        <f t="shared" ca="1" si="396"/>
        <v>0</v>
      </c>
      <c r="R863" s="306">
        <f t="shared" ca="1" si="397"/>
        <v>0</v>
      </c>
      <c r="S863" s="307">
        <f t="shared" ca="1" si="398"/>
        <v>4.341000000000002</v>
      </c>
      <c r="T863" s="304">
        <f t="shared" ca="1" si="378"/>
        <v>42.585210000000025</v>
      </c>
      <c r="U863" s="311">
        <f t="shared" ca="1" si="379"/>
        <v>0</v>
      </c>
      <c r="V863" s="306">
        <f t="shared" ca="1" si="380"/>
        <v>1.2259347550708255</v>
      </c>
      <c r="W863" s="304">
        <f t="shared" ca="1" si="381"/>
        <v>38.802939535819483</v>
      </c>
      <c r="Y863" s="314" t="str">
        <f t="shared" ca="1" si="399"/>
        <v/>
      </c>
      <c r="Z863" s="315" t="str">
        <f t="shared" ca="1" si="400"/>
        <v/>
      </c>
      <c r="AA863" s="316" t="str">
        <f t="shared" ca="1" si="401"/>
        <v/>
      </c>
      <c r="AC863" s="310" t="e">
        <f t="shared" ca="1" si="402"/>
        <v>#N/A</v>
      </c>
      <c r="AD863" s="323" t="e">
        <f t="shared" ca="1" si="403"/>
        <v>#N/A</v>
      </c>
      <c r="AE863" s="324" t="e">
        <f t="shared" ca="1" si="382"/>
        <v>#N/A</v>
      </c>
      <c r="AG863" s="306">
        <f t="shared" ca="1" si="404"/>
        <v>0.84471870864142851</v>
      </c>
      <c r="AH863" s="304">
        <f t="shared" ca="1" si="405"/>
        <v>-8.9386857735100591</v>
      </c>
    </row>
    <row r="864" spans="1:34" x14ac:dyDescent="0.2">
      <c r="A864" s="347">
        <f t="shared" ca="1" si="383"/>
        <v>1E-4</v>
      </c>
      <c r="B864" s="304">
        <f t="shared" ca="1" si="384"/>
        <v>28.648400000000027</v>
      </c>
      <c r="D864" s="306">
        <f t="shared" ca="1" si="385"/>
        <v>-0.65774977706042947</v>
      </c>
      <c r="E864" s="307">
        <f t="shared" ca="1" si="386"/>
        <v>-0.89552304785944337</v>
      </c>
      <c r="F864" s="304">
        <f t="shared" ca="1" si="387"/>
        <v>1.1111238897938032</v>
      </c>
      <c r="G864" s="306">
        <f t="shared" ca="1" si="388"/>
        <v>7.2679070313900969</v>
      </c>
      <c r="H864" s="307">
        <f t="shared" ca="1" si="389"/>
        <v>-98.502861169660463</v>
      </c>
      <c r="I864" s="304">
        <f t="shared" ca="1" si="390"/>
        <v>98.770623827261176</v>
      </c>
      <c r="J864" s="306">
        <f t="shared" ca="1" si="391"/>
        <v>678.53524446899166</v>
      </c>
      <c r="K864" s="307">
        <f t="shared" ca="1" si="392"/>
        <v>-7.6375936876326005</v>
      </c>
      <c r="L864" s="304">
        <f t="shared" ca="1" si="377"/>
        <v>678.57822749034005</v>
      </c>
      <c r="M864" s="306">
        <f t="shared" ca="1" si="393"/>
        <v>-1.4971460699219736</v>
      </c>
      <c r="N864" s="304">
        <f t="shared" ca="1" si="394"/>
        <v>-85.780151121127133</v>
      </c>
      <c r="P864" s="310">
        <f t="shared" ca="1" si="395"/>
        <v>23</v>
      </c>
      <c r="Q864" s="304">
        <f t="shared" ca="1" si="396"/>
        <v>0</v>
      </c>
      <c r="R864" s="306">
        <f t="shared" ca="1" si="397"/>
        <v>0</v>
      </c>
      <c r="S864" s="307">
        <f t="shared" ca="1" si="398"/>
        <v>4.341000000000002</v>
      </c>
      <c r="T864" s="304">
        <f t="shared" ca="1" si="378"/>
        <v>42.585210000000025</v>
      </c>
      <c r="U864" s="311">
        <f t="shared" ca="1" si="379"/>
        <v>0</v>
      </c>
      <c r="V864" s="306">
        <f t="shared" ca="1" si="380"/>
        <v>1.2259359626518571</v>
      </c>
      <c r="W864" s="304">
        <f t="shared" ca="1" si="381"/>
        <v>38.803044127240028</v>
      </c>
      <c r="Y864" s="314" t="str">
        <f t="shared" ca="1" si="399"/>
        <v/>
      </c>
      <c r="Z864" s="315" t="str">
        <f t="shared" ca="1" si="400"/>
        <v/>
      </c>
      <c r="AA864" s="316" t="str">
        <f t="shared" ca="1" si="401"/>
        <v/>
      </c>
      <c r="AC864" s="310" t="e">
        <f t="shared" ca="1" si="402"/>
        <v>#N/A</v>
      </c>
      <c r="AD864" s="323" t="e">
        <f t="shared" ca="1" si="403"/>
        <v>#N/A</v>
      </c>
      <c r="AE864" s="324" t="e">
        <f t="shared" ca="1" si="382"/>
        <v>#N/A</v>
      </c>
      <c r="AG864" s="306">
        <f t="shared" ca="1" si="404"/>
        <v>0.84469514200122653</v>
      </c>
      <c r="AH864" s="304">
        <f t="shared" ca="1" si="405"/>
        <v>-8.9387098677308146</v>
      </c>
    </row>
    <row r="865" spans="1:34" x14ac:dyDescent="0.2">
      <c r="A865" s="347">
        <f t="shared" ca="1" si="383"/>
        <v>1E-4</v>
      </c>
      <c r="B865" s="304">
        <f t="shared" ca="1" si="384"/>
        <v>28.648500000000027</v>
      </c>
      <c r="D865" s="306">
        <f t="shared" ca="1" si="385"/>
        <v>-0.65774503484706537</v>
      </c>
      <c r="E865" s="307">
        <f t="shared" ca="1" si="386"/>
        <v>-0.89549853860996187</v>
      </c>
      <c r="F865" s="304">
        <f t="shared" ca="1" si="387"/>
        <v>1.1111013290958411</v>
      </c>
      <c r="G865" s="306">
        <f t="shared" ca="1" si="388"/>
        <v>7.2678412568866122</v>
      </c>
      <c r="H865" s="307">
        <f t="shared" ca="1" si="389"/>
        <v>-98.502950719514317</v>
      </c>
      <c r="I865" s="304">
        <f t="shared" ca="1" si="390"/>
        <v>98.770708294445114</v>
      </c>
      <c r="J865" s="306">
        <f t="shared" ca="1" si="391"/>
        <v>678.53524446899166</v>
      </c>
      <c r="K865" s="307">
        <f t="shared" ca="1" si="392"/>
        <v>-7.6474439782270593</v>
      </c>
      <c r="L865" s="304">
        <f t="shared" ca="1" si="377"/>
        <v>678.57833842968671</v>
      </c>
      <c r="M865" s="306">
        <f t="shared" ca="1" si="393"/>
        <v>-1.4971468007621367</v>
      </c>
      <c r="N865" s="304">
        <f t="shared" ca="1" si="394"/>
        <v>-85.780192995183967</v>
      </c>
      <c r="P865" s="310">
        <f t="shared" ca="1" si="395"/>
        <v>23</v>
      </c>
      <c r="Q865" s="304">
        <f t="shared" ca="1" si="396"/>
        <v>0</v>
      </c>
      <c r="R865" s="306">
        <f t="shared" ca="1" si="397"/>
        <v>0</v>
      </c>
      <c r="S865" s="307">
        <f t="shared" ca="1" si="398"/>
        <v>4.341000000000002</v>
      </c>
      <c r="T865" s="304">
        <f t="shared" ca="1" si="378"/>
        <v>42.585210000000025</v>
      </c>
      <c r="U865" s="311">
        <f t="shared" ca="1" si="379"/>
        <v>0</v>
      </c>
      <c r="V865" s="306">
        <f t="shared" ca="1" si="380"/>
        <v>1.2259371702351767</v>
      </c>
      <c r="W865" s="304">
        <f t="shared" ca="1" si="381"/>
        <v>38.803148717068844</v>
      </c>
      <c r="Y865" s="314" t="str">
        <f t="shared" ca="1" si="399"/>
        <v/>
      </c>
      <c r="Z865" s="315" t="str">
        <f t="shared" ca="1" si="400"/>
        <v/>
      </c>
      <c r="AA865" s="316" t="str">
        <f t="shared" ca="1" si="401"/>
        <v/>
      </c>
      <c r="AC865" s="310" t="e">
        <f t="shared" ca="1" si="402"/>
        <v>#N/A</v>
      </c>
      <c r="AD865" s="323" t="e">
        <f t="shared" ca="1" si="403"/>
        <v>#N/A</v>
      </c>
      <c r="AE865" s="324" t="e">
        <f t="shared" ca="1" si="382"/>
        <v>#N/A</v>
      </c>
      <c r="AG865" s="306">
        <f t="shared" ca="1" si="404"/>
        <v>0.84467157571679863</v>
      </c>
      <c r="AH865" s="304">
        <f t="shared" ca="1" si="405"/>
        <v>-8.9387339615848909</v>
      </c>
    </row>
    <row r="866" spans="1:34" x14ac:dyDescent="0.2">
      <c r="A866" s="347">
        <f t="shared" ca="1" si="383"/>
        <v>1E-4</v>
      </c>
      <c r="B866" s="304">
        <f t="shared" ca="1" si="384"/>
        <v>28.648600000000027</v>
      </c>
      <c r="D866" s="306">
        <f t="shared" ca="1" si="385"/>
        <v>-0.65774029264135159</v>
      </c>
      <c r="E866" s="307">
        <f t="shared" ca="1" si="386"/>
        <v>-0.8954740297335011</v>
      </c>
      <c r="F866" s="304">
        <f t="shared" ca="1" si="387"/>
        <v>1.1110787688058332</v>
      </c>
      <c r="G866" s="306">
        <f t="shared" ca="1" si="388"/>
        <v>7.2677754828573482</v>
      </c>
      <c r="H866" s="307">
        <f t="shared" ca="1" si="389"/>
        <v>-98.503040266917296</v>
      </c>
      <c r="I866" s="304">
        <f t="shared" ca="1" si="390"/>
        <v>98.770792759272481</v>
      </c>
      <c r="J866" s="306">
        <f t="shared" ca="1" si="391"/>
        <v>678.53524446899166</v>
      </c>
      <c r="K866" s="307">
        <f t="shared" ca="1" si="392"/>
        <v>-7.6572942777763808</v>
      </c>
      <c r="L866" s="304">
        <f t="shared" ca="1" si="377"/>
        <v>678.5784495121037</v>
      </c>
      <c r="M866" s="306">
        <f t="shared" ca="1" si="393"/>
        <v>-1.4971475315944356</v>
      </c>
      <c r="N866" s="304">
        <f t="shared" ca="1" si="394"/>
        <v>-85.780234868790231</v>
      </c>
      <c r="P866" s="310">
        <f t="shared" ca="1" si="395"/>
        <v>23</v>
      </c>
      <c r="Q866" s="304">
        <f t="shared" ca="1" si="396"/>
        <v>0</v>
      </c>
      <c r="R866" s="306">
        <f t="shared" ca="1" si="397"/>
        <v>0</v>
      </c>
      <c r="S866" s="307">
        <f t="shared" ca="1" si="398"/>
        <v>4.341000000000002</v>
      </c>
      <c r="T866" s="304">
        <f t="shared" ca="1" si="378"/>
        <v>42.585210000000025</v>
      </c>
      <c r="U866" s="311">
        <f t="shared" ca="1" si="379"/>
        <v>0</v>
      </c>
      <c r="V866" s="306">
        <f t="shared" ca="1" si="380"/>
        <v>1.2259383778207835</v>
      </c>
      <c r="W866" s="304">
        <f t="shared" ca="1" si="381"/>
        <v>38.803253305305944</v>
      </c>
      <c r="Y866" s="314" t="str">
        <f t="shared" ca="1" si="399"/>
        <v/>
      </c>
      <c r="Z866" s="315" t="str">
        <f t="shared" ca="1" si="400"/>
        <v/>
      </c>
      <c r="AA866" s="316" t="str">
        <f t="shared" ca="1" si="401"/>
        <v/>
      </c>
      <c r="AC866" s="310" t="e">
        <f t="shared" ca="1" si="402"/>
        <v>#N/A</v>
      </c>
      <c r="AD866" s="323" t="e">
        <f t="shared" ca="1" si="403"/>
        <v>#N/A</v>
      </c>
      <c r="AE866" s="324" t="e">
        <f t="shared" ca="1" si="382"/>
        <v>#N/A</v>
      </c>
      <c r="AG866" s="306">
        <f t="shared" ca="1" si="404"/>
        <v>0.8446480097881448</v>
      </c>
      <c r="AH866" s="304">
        <f t="shared" ca="1" si="405"/>
        <v>-8.9387580550722934</v>
      </c>
    </row>
    <row r="867" spans="1:34" x14ac:dyDescent="0.2">
      <c r="A867" s="347">
        <f t="shared" ca="1" si="383"/>
        <v>1E-4</v>
      </c>
      <c r="B867" s="304">
        <f t="shared" ca="1" si="384"/>
        <v>28.648700000000026</v>
      </c>
      <c r="D867" s="306">
        <f t="shared" ca="1" si="385"/>
        <v>-0.65773555044329002</v>
      </c>
      <c r="E867" s="307">
        <f t="shared" ca="1" si="386"/>
        <v>-0.89544952123005928</v>
      </c>
      <c r="F867" s="304">
        <f t="shared" ca="1" si="387"/>
        <v>1.111056208923779</v>
      </c>
      <c r="G867" s="306">
        <f t="shared" ca="1" si="388"/>
        <v>7.267709709302304</v>
      </c>
      <c r="H867" s="307">
        <f t="shared" ca="1" si="389"/>
        <v>-98.503129811869414</v>
      </c>
      <c r="I867" s="304">
        <f t="shared" ca="1" si="390"/>
        <v>98.770877221743277</v>
      </c>
      <c r="J867" s="306">
        <f t="shared" ca="1" si="391"/>
        <v>678.53524446899166</v>
      </c>
      <c r="K867" s="307">
        <f t="shared" ca="1" si="392"/>
        <v>-7.6671445862803198</v>
      </c>
      <c r="L867" s="304">
        <f t="shared" ca="1" si="377"/>
        <v>678.5785607375916</v>
      </c>
      <c r="M867" s="306">
        <f t="shared" ca="1" si="393"/>
        <v>-1.4971482624188706</v>
      </c>
      <c r="N867" s="304">
        <f t="shared" ca="1" si="394"/>
        <v>-85.780276741945926</v>
      </c>
      <c r="P867" s="310">
        <f t="shared" ca="1" si="395"/>
        <v>23</v>
      </c>
      <c r="Q867" s="304">
        <f t="shared" ca="1" si="396"/>
        <v>0</v>
      </c>
      <c r="R867" s="306">
        <f t="shared" ca="1" si="397"/>
        <v>0</v>
      </c>
      <c r="S867" s="307">
        <f t="shared" ca="1" si="398"/>
        <v>4.341000000000002</v>
      </c>
      <c r="T867" s="304">
        <f t="shared" ca="1" si="378"/>
        <v>42.585210000000025</v>
      </c>
      <c r="U867" s="311">
        <f t="shared" ca="1" si="379"/>
        <v>0</v>
      </c>
      <c r="V867" s="306">
        <f t="shared" ca="1" si="380"/>
        <v>1.2259395854086785</v>
      </c>
      <c r="W867" s="304">
        <f t="shared" ca="1" si="381"/>
        <v>38.803357891951357</v>
      </c>
      <c r="Y867" s="314" t="str">
        <f t="shared" ca="1" si="399"/>
        <v/>
      </c>
      <c r="Z867" s="315" t="str">
        <f t="shared" ca="1" si="400"/>
        <v/>
      </c>
      <c r="AA867" s="316" t="str">
        <f t="shared" ca="1" si="401"/>
        <v/>
      </c>
      <c r="AC867" s="310" t="e">
        <f t="shared" ca="1" si="402"/>
        <v>#N/A</v>
      </c>
      <c r="AD867" s="323" t="e">
        <f t="shared" ca="1" si="403"/>
        <v>#N/A</v>
      </c>
      <c r="AE867" s="324" t="e">
        <f t="shared" ca="1" si="382"/>
        <v>#N/A</v>
      </c>
      <c r="AG867" s="306">
        <f t="shared" ca="1" si="404"/>
        <v>0.84462444421525973</v>
      </c>
      <c r="AH867" s="304">
        <f t="shared" ca="1" si="405"/>
        <v>-8.9387821481930256</v>
      </c>
    </row>
    <row r="868" spans="1:34" x14ac:dyDescent="0.2">
      <c r="A868" s="347">
        <f t="shared" ca="1" si="383"/>
        <v>1E-4</v>
      </c>
      <c r="B868" s="304">
        <f t="shared" ca="1" si="384"/>
        <v>28.648800000000026</v>
      </c>
      <c r="D868" s="306">
        <f t="shared" ca="1" si="385"/>
        <v>-0.65773080825288044</v>
      </c>
      <c r="E868" s="307">
        <f t="shared" ca="1" si="386"/>
        <v>-0.8954250130996293</v>
      </c>
      <c r="F868" s="304">
        <f t="shared" ca="1" si="387"/>
        <v>1.1110336494496729</v>
      </c>
      <c r="G868" s="306">
        <f t="shared" ca="1" si="388"/>
        <v>7.2676439362214786</v>
      </c>
      <c r="H868" s="307">
        <f t="shared" ca="1" si="389"/>
        <v>-98.503219354370728</v>
      </c>
      <c r="I868" s="304">
        <f t="shared" ca="1" si="390"/>
        <v>98.770961681857543</v>
      </c>
      <c r="J868" s="306">
        <f t="shared" ca="1" si="391"/>
        <v>678.53524446899166</v>
      </c>
      <c r="K868" s="307">
        <f t="shared" ca="1" si="392"/>
        <v>-7.676994903738632</v>
      </c>
      <c r="L868" s="304">
        <f t="shared" ca="1" si="377"/>
        <v>678.57867210615029</v>
      </c>
      <c r="M868" s="306">
        <f t="shared" ca="1" si="393"/>
        <v>-1.4971489932354416</v>
      </c>
      <c r="N868" s="304">
        <f t="shared" ca="1" si="394"/>
        <v>-85.780318614651037</v>
      </c>
      <c r="P868" s="310">
        <f t="shared" ca="1" si="395"/>
        <v>23</v>
      </c>
      <c r="Q868" s="304">
        <f t="shared" ca="1" si="396"/>
        <v>0</v>
      </c>
      <c r="R868" s="306">
        <f t="shared" ca="1" si="397"/>
        <v>0</v>
      </c>
      <c r="S868" s="307">
        <f t="shared" ca="1" si="398"/>
        <v>4.341000000000002</v>
      </c>
      <c r="T868" s="304">
        <f t="shared" ca="1" si="378"/>
        <v>42.585210000000025</v>
      </c>
      <c r="U868" s="311">
        <f t="shared" ca="1" si="379"/>
        <v>0</v>
      </c>
      <c r="V868" s="306">
        <f t="shared" ca="1" si="380"/>
        <v>1.2259407929988608</v>
      </c>
      <c r="W868" s="304">
        <f t="shared" ca="1" si="381"/>
        <v>38.803462477005063</v>
      </c>
      <c r="Y868" s="314" t="str">
        <f t="shared" ca="1" si="399"/>
        <v/>
      </c>
      <c r="Z868" s="315" t="str">
        <f t="shared" ca="1" si="400"/>
        <v/>
      </c>
      <c r="AA868" s="316" t="str">
        <f t="shared" ca="1" si="401"/>
        <v/>
      </c>
      <c r="AC868" s="310" t="e">
        <f t="shared" ca="1" si="402"/>
        <v>#N/A</v>
      </c>
      <c r="AD868" s="323" t="e">
        <f t="shared" ca="1" si="403"/>
        <v>#N/A</v>
      </c>
      <c r="AE868" s="324" t="e">
        <f t="shared" ca="1" si="382"/>
        <v>#N/A</v>
      </c>
      <c r="AG868" s="306">
        <f t="shared" ca="1" si="404"/>
        <v>0.84460087899813274</v>
      </c>
      <c r="AH868" s="304">
        <f t="shared" ca="1" si="405"/>
        <v>-8.9388062409470948</v>
      </c>
    </row>
    <row r="869" spans="1:34" x14ac:dyDescent="0.2">
      <c r="A869" s="347">
        <f t="shared" ca="1" si="383"/>
        <v>1E-4</v>
      </c>
      <c r="B869" s="304">
        <f t="shared" ca="1" si="384"/>
        <v>28.648900000000026</v>
      </c>
      <c r="D869" s="306">
        <f t="shared" ca="1" si="385"/>
        <v>-0.65772606607012407</v>
      </c>
      <c r="E869" s="307">
        <f t="shared" ca="1" si="386"/>
        <v>-0.89540050534221827</v>
      </c>
      <c r="F869" s="304">
        <f t="shared" ca="1" si="387"/>
        <v>1.1110110903835213</v>
      </c>
      <c r="G869" s="306">
        <f t="shared" ca="1" si="388"/>
        <v>7.2675781636148713</v>
      </c>
      <c r="H869" s="307">
        <f t="shared" ca="1" si="389"/>
        <v>-98.503308894421266</v>
      </c>
      <c r="I869" s="304">
        <f t="shared" ca="1" si="390"/>
        <v>98.771046139615336</v>
      </c>
      <c r="J869" s="306">
        <f t="shared" ca="1" si="391"/>
        <v>678.53524446899166</v>
      </c>
      <c r="K869" s="307">
        <f t="shared" ca="1" si="392"/>
        <v>-7.6868452301510715</v>
      </c>
      <c r="L869" s="304">
        <f t="shared" ca="1" si="377"/>
        <v>678.57878361778057</v>
      </c>
      <c r="M869" s="306">
        <f t="shared" ca="1" si="393"/>
        <v>-1.4971497240441491</v>
      </c>
      <c r="N869" s="304">
        <f t="shared" ca="1" si="394"/>
        <v>-85.780360486905607</v>
      </c>
      <c r="P869" s="310">
        <f t="shared" ca="1" si="395"/>
        <v>23</v>
      </c>
      <c r="Q869" s="304">
        <f t="shared" ca="1" si="396"/>
        <v>0</v>
      </c>
      <c r="R869" s="306">
        <f t="shared" ca="1" si="397"/>
        <v>0</v>
      </c>
      <c r="S869" s="307">
        <f t="shared" ca="1" si="398"/>
        <v>4.341000000000002</v>
      </c>
      <c r="T869" s="304">
        <f t="shared" ca="1" si="378"/>
        <v>42.585210000000025</v>
      </c>
      <c r="U869" s="311">
        <f t="shared" ca="1" si="379"/>
        <v>0</v>
      </c>
      <c r="V869" s="306">
        <f t="shared" ca="1" si="380"/>
        <v>1.2259420005913311</v>
      </c>
      <c r="W869" s="304">
        <f t="shared" ca="1" si="381"/>
        <v>38.803567060467138</v>
      </c>
      <c r="Y869" s="314" t="str">
        <f t="shared" ca="1" si="399"/>
        <v/>
      </c>
      <c r="Z869" s="315" t="str">
        <f t="shared" ca="1" si="400"/>
        <v/>
      </c>
      <c r="AA869" s="316" t="str">
        <f t="shared" ca="1" si="401"/>
        <v/>
      </c>
      <c r="AC869" s="310" t="e">
        <f t="shared" ca="1" si="402"/>
        <v>#N/A</v>
      </c>
      <c r="AD869" s="323" t="e">
        <f t="shared" ca="1" si="403"/>
        <v>#N/A</v>
      </c>
      <c r="AE869" s="324" t="e">
        <f t="shared" ca="1" si="382"/>
        <v>#N/A</v>
      </c>
      <c r="AG869" s="306">
        <f t="shared" ca="1" si="404"/>
        <v>0.8445773141367745</v>
      </c>
      <c r="AH869" s="304">
        <f t="shared" ca="1" si="405"/>
        <v>-8.9388303333344954</v>
      </c>
    </row>
    <row r="870" spans="1:34" x14ac:dyDescent="0.2">
      <c r="A870" s="347">
        <f t="shared" ca="1" si="383"/>
        <v>1E-4</v>
      </c>
      <c r="B870" s="304">
        <f t="shared" ca="1" si="384"/>
        <v>28.649000000000026</v>
      </c>
      <c r="D870" s="306">
        <f t="shared" ca="1" si="385"/>
        <v>-0.65772132389501947</v>
      </c>
      <c r="E870" s="307">
        <f t="shared" ca="1" si="386"/>
        <v>-0.89537599795780309</v>
      </c>
      <c r="F870" s="304">
        <f t="shared" ca="1" si="387"/>
        <v>1.110988531725305</v>
      </c>
      <c r="G870" s="306">
        <f t="shared" ca="1" si="388"/>
        <v>7.267512391482482</v>
      </c>
      <c r="H870" s="307">
        <f t="shared" ca="1" si="389"/>
        <v>-98.503398432021058</v>
      </c>
      <c r="I870" s="304">
        <f t="shared" ca="1" si="390"/>
        <v>98.771130595016686</v>
      </c>
      <c r="J870" s="306">
        <f t="shared" ca="1" si="391"/>
        <v>678.53524446899166</v>
      </c>
      <c r="K870" s="307">
        <f t="shared" ca="1" si="392"/>
        <v>-7.6966955655173939</v>
      </c>
      <c r="L870" s="304">
        <f t="shared" ca="1" si="377"/>
        <v>678.57889527248233</v>
      </c>
      <c r="M870" s="306">
        <f t="shared" ca="1" si="393"/>
        <v>-1.4971504548449928</v>
      </c>
      <c r="N870" s="304">
        <f t="shared" ca="1" si="394"/>
        <v>-85.780402358709622</v>
      </c>
      <c r="P870" s="310">
        <f t="shared" ca="1" si="395"/>
        <v>23</v>
      </c>
      <c r="Q870" s="304">
        <f t="shared" ca="1" si="396"/>
        <v>0</v>
      </c>
      <c r="R870" s="306">
        <f t="shared" ca="1" si="397"/>
        <v>0</v>
      </c>
      <c r="S870" s="307">
        <f t="shared" ca="1" si="398"/>
        <v>4.341000000000002</v>
      </c>
      <c r="T870" s="304">
        <f t="shared" ca="1" si="378"/>
        <v>42.585210000000025</v>
      </c>
      <c r="U870" s="311">
        <f t="shared" ca="1" si="379"/>
        <v>0</v>
      </c>
      <c r="V870" s="306">
        <f t="shared" ca="1" si="380"/>
        <v>1.2259432081860893</v>
      </c>
      <c r="W870" s="304">
        <f t="shared" ca="1" si="381"/>
        <v>38.803671642337569</v>
      </c>
      <c r="Y870" s="314" t="str">
        <f t="shared" ca="1" si="399"/>
        <v/>
      </c>
      <c r="Z870" s="315" t="str">
        <f t="shared" ca="1" si="400"/>
        <v/>
      </c>
      <c r="AA870" s="316" t="str">
        <f t="shared" ca="1" si="401"/>
        <v/>
      </c>
      <c r="AC870" s="310" t="e">
        <f t="shared" ca="1" si="402"/>
        <v>#N/A</v>
      </c>
      <c r="AD870" s="323" t="e">
        <f t="shared" ca="1" si="403"/>
        <v>#N/A</v>
      </c>
      <c r="AE870" s="324" t="e">
        <f t="shared" ca="1" si="382"/>
        <v>#N/A</v>
      </c>
      <c r="AG870" s="306">
        <f t="shared" ca="1" si="404"/>
        <v>0.84455374963116547</v>
      </c>
      <c r="AH870" s="304">
        <f t="shared" ca="1" si="405"/>
        <v>-8.9388544253552453</v>
      </c>
    </row>
    <row r="871" spans="1:34" x14ac:dyDescent="0.2">
      <c r="A871" s="347">
        <f t="shared" ca="1" si="383"/>
        <v>1E-4</v>
      </c>
      <c r="B871" s="304">
        <f t="shared" ca="1" si="384"/>
        <v>28.649100000000026</v>
      </c>
      <c r="D871" s="306">
        <f t="shared" ca="1" si="385"/>
        <v>-0.65771658172757164</v>
      </c>
      <c r="E871" s="307">
        <f t="shared" ca="1" si="386"/>
        <v>-0.89535149094639266</v>
      </c>
      <c r="F871" s="304">
        <f t="shared" ca="1" si="387"/>
        <v>1.1109659734750339</v>
      </c>
      <c r="G871" s="306">
        <f t="shared" ca="1" si="388"/>
        <v>7.2674466198243088</v>
      </c>
      <c r="H871" s="307">
        <f t="shared" ca="1" si="389"/>
        <v>-98.503487967170159</v>
      </c>
      <c r="I871" s="304">
        <f t="shared" ca="1" si="390"/>
        <v>98.771215048061606</v>
      </c>
      <c r="J871" s="306">
        <f t="shared" ca="1" si="391"/>
        <v>678.53524446899166</v>
      </c>
      <c r="K871" s="307">
        <f t="shared" ca="1" si="392"/>
        <v>-7.7065459098373532</v>
      </c>
      <c r="L871" s="304">
        <f t="shared" ca="1" si="377"/>
        <v>678.57900707025613</v>
      </c>
      <c r="M871" s="306">
        <f t="shared" ca="1" si="393"/>
        <v>-1.4971511856379729</v>
      </c>
      <c r="N871" s="304">
        <f t="shared" ca="1" si="394"/>
        <v>-85.780444230063083</v>
      </c>
      <c r="P871" s="310">
        <f t="shared" ca="1" si="395"/>
        <v>23</v>
      </c>
      <c r="Q871" s="304">
        <f t="shared" ca="1" si="396"/>
        <v>0</v>
      </c>
      <c r="R871" s="306">
        <f t="shared" ca="1" si="397"/>
        <v>0</v>
      </c>
      <c r="S871" s="307">
        <f t="shared" ca="1" si="398"/>
        <v>4.341000000000002</v>
      </c>
      <c r="T871" s="304">
        <f t="shared" ca="1" si="378"/>
        <v>42.585210000000025</v>
      </c>
      <c r="U871" s="311">
        <f t="shared" ca="1" si="379"/>
        <v>0</v>
      </c>
      <c r="V871" s="306">
        <f t="shared" ca="1" si="380"/>
        <v>1.2259444157831347</v>
      </c>
      <c r="W871" s="304">
        <f t="shared" ca="1" si="381"/>
        <v>38.803776222616357</v>
      </c>
      <c r="Y871" s="314" t="str">
        <f t="shared" ca="1" si="399"/>
        <v/>
      </c>
      <c r="Z871" s="315" t="str">
        <f t="shared" ca="1" si="400"/>
        <v/>
      </c>
      <c r="AA871" s="316" t="str">
        <f t="shared" ca="1" si="401"/>
        <v/>
      </c>
      <c r="AC871" s="310" t="e">
        <f t="shared" ca="1" si="402"/>
        <v>#N/A</v>
      </c>
      <c r="AD871" s="323" t="e">
        <f t="shared" ca="1" si="403"/>
        <v>#N/A</v>
      </c>
      <c r="AE871" s="324" t="e">
        <f t="shared" ca="1" si="382"/>
        <v>#N/A</v>
      </c>
      <c r="AG871" s="306">
        <f t="shared" ca="1" si="404"/>
        <v>0.84453018548131098</v>
      </c>
      <c r="AH871" s="304">
        <f t="shared" ca="1" si="405"/>
        <v>-8.938878517009341</v>
      </c>
    </row>
    <row r="872" spans="1:34" x14ac:dyDescent="0.2">
      <c r="A872" s="347">
        <f t="shared" ca="1" si="383"/>
        <v>1E-4</v>
      </c>
      <c r="B872" s="304">
        <f t="shared" ca="1" si="384"/>
        <v>28.649200000000025</v>
      </c>
      <c r="D872" s="306">
        <f t="shared" ca="1" si="385"/>
        <v>-0.65771183956777846</v>
      </c>
      <c r="E872" s="307">
        <f t="shared" ca="1" si="386"/>
        <v>-0.89532698430798341</v>
      </c>
      <c r="F872" s="304">
        <f t="shared" ca="1" si="387"/>
        <v>1.110943415632704</v>
      </c>
      <c r="G872" s="306">
        <f t="shared" ca="1" si="388"/>
        <v>7.2673808486403519</v>
      </c>
      <c r="H872" s="307">
        <f t="shared" ca="1" si="389"/>
        <v>-98.503577499868584</v>
      </c>
      <c r="I872" s="304">
        <f t="shared" ca="1" si="390"/>
        <v>98.771299498750153</v>
      </c>
      <c r="J872" s="306">
        <f t="shared" ca="1" si="391"/>
        <v>678.53524446899166</v>
      </c>
      <c r="K872" s="307">
        <f t="shared" ca="1" si="392"/>
        <v>-7.7163962631107053</v>
      </c>
      <c r="L872" s="304">
        <f t="shared" ca="1" si="377"/>
        <v>678.57911901110219</v>
      </c>
      <c r="M872" s="306">
        <f t="shared" ca="1" si="393"/>
        <v>-1.4971519164230898</v>
      </c>
      <c r="N872" s="304">
        <f t="shared" ca="1" si="394"/>
        <v>-85.780486100966002</v>
      </c>
      <c r="P872" s="310">
        <f t="shared" ca="1" si="395"/>
        <v>23</v>
      </c>
      <c r="Q872" s="304">
        <f t="shared" ca="1" si="396"/>
        <v>0</v>
      </c>
      <c r="R872" s="306">
        <f t="shared" ca="1" si="397"/>
        <v>0</v>
      </c>
      <c r="S872" s="307">
        <f t="shared" ca="1" si="398"/>
        <v>4.341000000000002</v>
      </c>
      <c r="T872" s="304">
        <f t="shared" ca="1" si="378"/>
        <v>42.585210000000025</v>
      </c>
      <c r="U872" s="311">
        <f t="shared" ca="1" si="379"/>
        <v>0</v>
      </c>
      <c r="V872" s="306">
        <f t="shared" ca="1" si="380"/>
        <v>1.2259456233824677</v>
      </c>
      <c r="W872" s="304">
        <f t="shared" ca="1" si="381"/>
        <v>38.803880801303549</v>
      </c>
      <c r="Y872" s="314" t="str">
        <f t="shared" ca="1" si="399"/>
        <v/>
      </c>
      <c r="Z872" s="315" t="str">
        <f t="shared" ca="1" si="400"/>
        <v/>
      </c>
      <c r="AA872" s="316" t="str">
        <f t="shared" ca="1" si="401"/>
        <v/>
      </c>
      <c r="AC872" s="310" t="e">
        <f t="shared" ca="1" si="402"/>
        <v>#N/A</v>
      </c>
      <c r="AD872" s="323" t="e">
        <f t="shared" ca="1" si="403"/>
        <v>#N/A</v>
      </c>
      <c r="AE872" s="324" t="e">
        <f t="shared" ca="1" si="382"/>
        <v>#N/A</v>
      </c>
      <c r="AG872" s="306">
        <f t="shared" ca="1" si="404"/>
        <v>0.84450662168720392</v>
      </c>
      <c r="AH872" s="304">
        <f t="shared" ca="1" si="405"/>
        <v>-8.9389026082967842</v>
      </c>
    </row>
    <row r="873" spans="1:34" x14ac:dyDescent="0.2">
      <c r="A873" s="347">
        <f t="shared" ca="1" si="383"/>
        <v>1E-4</v>
      </c>
      <c r="B873" s="304">
        <f t="shared" ca="1" si="384"/>
        <v>28.649300000000025</v>
      </c>
      <c r="D873" s="306">
        <f t="shared" ca="1" si="385"/>
        <v>-0.6577070974156396</v>
      </c>
      <c r="E873" s="307">
        <f t="shared" ca="1" si="386"/>
        <v>-0.89530247804256469</v>
      </c>
      <c r="F873" s="304">
        <f t="shared" ca="1" si="387"/>
        <v>1.110920858198307</v>
      </c>
      <c r="G873" s="306">
        <f t="shared" ca="1" si="388"/>
        <v>7.2673150779306104</v>
      </c>
      <c r="H873" s="307">
        <f t="shared" ca="1" si="389"/>
        <v>-98.503667030116389</v>
      </c>
      <c r="I873" s="304">
        <f t="shared" ca="1" si="390"/>
        <v>98.771383947082342</v>
      </c>
      <c r="J873" s="306">
        <f t="shared" ca="1" si="391"/>
        <v>678.53524446899166</v>
      </c>
      <c r="K873" s="307">
        <f t="shared" ca="1" si="392"/>
        <v>-7.7262466253372049</v>
      </c>
      <c r="L873" s="304">
        <f t="shared" ca="1" si="377"/>
        <v>678.57923109502099</v>
      </c>
      <c r="M873" s="306">
        <f t="shared" ca="1" si="393"/>
        <v>-1.4971526472003431</v>
      </c>
      <c r="N873" s="304">
        <f t="shared" ca="1" si="394"/>
        <v>-85.780527971418394</v>
      </c>
      <c r="P873" s="310">
        <f t="shared" ca="1" si="395"/>
        <v>23</v>
      </c>
      <c r="Q873" s="304">
        <f t="shared" ca="1" si="396"/>
        <v>0</v>
      </c>
      <c r="R873" s="306">
        <f t="shared" ca="1" si="397"/>
        <v>0</v>
      </c>
      <c r="S873" s="307">
        <f t="shared" ca="1" si="398"/>
        <v>4.341000000000002</v>
      </c>
      <c r="T873" s="304">
        <f t="shared" ca="1" si="378"/>
        <v>42.585210000000025</v>
      </c>
      <c r="U873" s="311">
        <f t="shared" ca="1" si="379"/>
        <v>0</v>
      </c>
      <c r="V873" s="306">
        <f t="shared" ca="1" si="380"/>
        <v>1.2259468309840886</v>
      </c>
      <c r="W873" s="304">
        <f t="shared" ca="1" si="381"/>
        <v>38.80398537839914</v>
      </c>
      <c r="Y873" s="314" t="str">
        <f t="shared" ca="1" si="399"/>
        <v/>
      </c>
      <c r="Z873" s="315" t="str">
        <f t="shared" ca="1" si="400"/>
        <v/>
      </c>
      <c r="AA873" s="316" t="str">
        <f t="shared" ca="1" si="401"/>
        <v/>
      </c>
      <c r="AC873" s="310" t="e">
        <f t="shared" ca="1" si="402"/>
        <v>#N/A</v>
      </c>
      <c r="AD873" s="323" t="e">
        <f t="shared" ca="1" si="403"/>
        <v>#N/A</v>
      </c>
      <c r="AE873" s="324" t="e">
        <f t="shared" ca="1" si="382"/>
        <v>#N/A</v>
      </c>
      <c r="AG873" s="306">
        <f t="shared" ca="1" si="404"/>
        <v>0.84448305824884251</v>
      </c>
      <c r="AH873" s="304">
        <f t="shared" ca="1" si="405"/>
        <v>-8.9389266992175838</v>
      </c>
    </row>
    <row r="874" spans="1:34" x14ac:dyDescent="0.2">
      <c r="A874" s="347">
        <f t="shared" ca="1" si="383"/>
        <v>1E-4</v>
      </c>
      <c r="B874" s="304">
        <f t="shared" ca="1" si="384"/>
        <v>28.649400000000025</v>
      </c>
      <c r="D874" s="306">
        <f t="shared" ca="1" si="385"/>
        <v>-0.65770235527115861</v>
      </c>
      <c r="E874" s="307">
        <f t="shared" ca="1" si="386"/>
        <v>-0.89527797215013649</v>
      </c>
      <c r="F874" s="304">
        <f t="shared" ca="1" si="387"/>
        <v>1.1108983011718445</v>
      </c>
      <c r="G874" s="306">
        <f t="shared" ca="1" si="388"/>
        <v>7.2672493076950833</v>
      </c>
      <c r="H874" s="307">
        <f t="shared" ca="1" si="389"/>
        <v>-98.503756557913604</v>
      </c>
      <c r="I874" s="304">
        <f t="shared" ca="1" si="390"/>
        <v>98.771468393058242</v>
      </c>
      <c r="J874" s="306">
        <f t="shared" ca="1" si="391"/>
        <v>678.53524446899166</v>
      </c>
      <c r="K874" s="307">
        <f t="shared" ca="1" si="392"/>
        <v>-7.736096996516606</v>
      </c>
      <c r="L874" s="304">
        <f t="shared" ca="1" si="377"/>
        <v>678.57934332201262</v>
      </c>
      <c r="M874" s="306">
        <f t="shared" ca="1" si="393"/>
        <v>-1.4971533779697335</v>
      </c>
      <c r="N874" s="304">
        <f t="shared" ca="1" si="394"/>
        <v>-85.780569841420245</v>
      </c>
      <c r="P874" s="310">
        <f t="shared" ca="1" si="395"/>
        <v>23</v>
      </c>
      <c r="Q874" s="304">
        <f t="shared" ca="1" si="396"/>
        <v>0</v>
      </c>
      <c r="R874" s="306">
        <f t="shared" ca="1" si="397"/>
        <v>0</v>
      </c>
      <c r="S874" s="307">
        <f t="shared" ca="1" si="398"/>
        <v>4.341000000000002</v>
      </c>
      <c r="T874" s="304">
        <f t="shared" ca="1" si="378"/>
        <v>42.585210000000025</v>
      </c>
      <c r="U874" s="311">
        <f t="shared" ca="1" si="379"/>
        <v>0</v>
      </c>
      <c r="V874" s="306">
        <f t="shared" ca="1" si="380"/>
        <v>1.2259480385879968</v>
      </c>
      <c r="W874" s="304">
        <f t="shared" ca="1" si="381"/>
        <v>38.804089953903166</v>
      </c>
      <c r="Y874" s="314" t="str">
        <f t="shared" ca="1" si="399"/>
        <v/>
      </c>
      <c r="Z874" s="315" t="str">
        <f t="shared" ca="1" si="400"/>
        <v/>
      </c>
      <c r="AA874" s="316" t="str">
        <f t="shared" ca="1" si="401"/>
        <v/>
      </c>
      <c r="AC874" s="310" t="e">
        <f t="shared" ca="1" si="402"/>
        <v>#N/A</v>
      </c>
      <c r="AD874" s="323" t="e">
        <f t="shared" ca="1" si="403"/>
        <v>#N/A</v>
      </c>
      <c r="AE874" s="324" t="e">
        <f t="shared" ca="1" si="382"/>
        <v>#N/A</v>
      </c>
      <c r="AG874" s="306">
        <f t="shared" ca="1" si="404"/>
        <v>0.84445949516622321</v>
      </c>
      <c r="AH874" s="304">
        <f t="shared" ca="1" si="405"/>
        <v>-8.9389507897717397</v>
      </c>
    </row>
    <row r="875" spans="1:34" x14ac:dyDescent="0.2">
      <c r="A875" s="347">
        <f t="shared" ca="1" si="383"/>
        <v>1E-4</v>
      </c>
      <c r="B875" s="304">
        <f t="shared" ca="1" si="384"/>
        <v>28.649500000000025</v>
      </c>
      <c r="D875" s="306">
        <f t="shared" ca="1" si="385"/>
        <v>-0.65769761313433339</v>
      </c>
      <c r="E875" s="307">
        <f t="shared" ca="1" si="386"/>
        <v>-0.89525346663069527</v>
      </c>
      <c r="F875" s="304">
        <f t="shared" ca="1" si="387"/>
        <v>1.1108757445533126</v>
      </c>
      <c r="G875" s="306">
        <f t="shared" ca="1" si="388"/>
        <v>7.2671835379337697</v>
      </c>
      <c r="H875" s="307">
        <f t="shared" ca="1" si="389"/>
        <v>-98.503846083260271</v>
      </c>
      <c r="I875" s="304">
        <f t="shared" ca="1" si="390"/>
        <v>98.771552836677856</v>
      </c>
      <c r="J875" s="306">
        <f t="shared" ca="1" si="391"/>
        <v>678.53524446899166</v>
      </c>
      <c r="K875" s="307">
        <f t="shared" ca="1" si="392"/>
        <v>-7.7459473766486644</v>
      </c>
      <c r="L875" s="304">
        <f t="shared" ca="1" si="377"/>
        <v>678.57945569207743</v>
      </c>
      <c r="M875" s="306">
        <f t="shared" ca="1" si="393"/>
        <v>-1.4971541087312605</v>
      </c>
      <c r="N875" s="304">
        <f t="shared" ca="1" si="394"/>
        <v>-85.780611710971584</v>
      </c>
      <c r="P875" s="310">
        <f t="shared" ca="1" si="395"/>
        <v>23</v>
      </c>
      <c r="Q875" s="304">
        <f t="shared" ca="1" si="396"/>
        <v>0</v>
      </c>
      <c r="R875" s="306">
        <f t="shared" ca="1" si="397"/>
        <v>0</v>
      </c>
      <c r="S875" s="307">
        <f t="shared" ca="1" si="398"/>
        <v>4.341000000000002</v>
      </c>
      <c r="T875" s="304">
        <f t="shared" ca="1" si="378"/>
        <v>42.585210000000025</v>
      </c>
      <c r="U875" s="311">
        <f t="shared" ca="1" si="379"/>
        <v>0</v>
      </c>
      <c r="V875" s="306">
        <f t="shared" ca="1" si="380"/>
        <v>1.2259492461941932</v>
      </c>
      <c r="W875" s="304">
        <f t="shared" ca="1" si="381"/>
        <v>38.804194527815646</v>
      </c>
      <c r="Y875" s="314" t="str">
        <f t="shared" ca="1" si="399"/>
        <v/>
      </c>
      <c r="Z875" s="315" t="str">
        <f t="shared" ca="1" si="400"/>
        <v/>
      </c>
      <c r="AA875" s="316" t="str">
        <f t="shared" ca="1" si="401"/>
        <v/>
      </c>
      <c r="AC875" s="310" t="e">
        <f t="shared" ca="1" si="402"/>
        <v>#N/A</v>
      </c>
      <c r="AD875" s="323" t="e">
        <f t="shared" ca="1" si="403"/>
        <v>#N/A</v>
      </c>
      <c r="AE875" s="324" t="e">
        <f t="shared" ca="1" si="382"/>
        <v>#N/A</v>
      </c>
      <c r="AG875" s="306">
        <f t="shared" ca="1" si="404"/>
        <v>0.84443593243934068</v>
      </c>
      <c r="AH875" s="304">
        <f t="shared" ca="1" si="405"/>
        <v>-8.9389748799592592</v>
      </c>
    </row>
    <row r="876" spans="1:34" x14ac:dyDescent="0.2">
      <c r="A876" s="347">
        <f t="shared" ca="1" si="383"/>
        <v>1E-4</v>
      </c>
      <c r="B876" s="304">
        <f t="shared" ca="1" si="384"/>
        <v>28.649600000000024</v>
      </c>
      <c r="D876" s="306">
        <f t="shared" ca="1" si="385"/>
        <v>-0.65769287100516782</v>
      </c>
      <c r="E876" s="307">
        <f t="shared" ca="1" si="386"/>
        <v>-0.89522896148423037</v>
      </c>
      <c r="F876" s="304">
        <f t="shared" ca="1" si="387"/>
        <v>1.1108531883427053</v>
      </c>
      <c r="G876" s="306">
        <f t="shared" ca="1" si="388"/>
        <v>7.2671177686466688</v>
      </c>
      <c r="H876" s="307">
        <f t="shared" ca="1" si="389"/>
        <v>-98.503935606156418</v>
      </c>
      <c r="I876" s="304">
        <f t="shared" ca="1" si="390"/>
        <v>98.771637277941224</v>
      </c>
      <c r="J876" s="306">
        <f t="shared" ca="1" si="391"/>
        <v>678.53524446899166</v>
      </c>
      <c r="K876" s="307">
        <f t="shared" ca="1" si="392"/>
        <v>-7.755797765733135</v>
      </c>
      <c r="L876" s="304">
        <f t="shared" ca="1" si="377"/>
        <v>678.57956820521588</v>
      </c>
      <c r="M876" s="306">
        <f t="shared" ca="1" si="393"/>
        <v>-1.4971548394849248</v>
      </c>
      <c r="N876" s="304">
        <f t="shared" ca="1" si="394"/>
        <v>-85.780653580072411</v>
      </c>
      <c r="P876" s="310">
        <f t="shared" ca="1" si="395"/>
        <v>23</v>
      </c>
      <c r="Q876" s="304">
        <f t="shared" ca="1" si="396"/>
        <v>0</v>
      </c>
      <c r="R876" s="306">
        <f t="shared" ca="1" si="397"/>
        <v>0</v>
      </c>
      <c r="S876" s="307">
        <f t="shared" ca="1" si="398"/>
        <v>4.341000000000002</v>
      </c>
      <c r="T876" s="304">
        <f t="shared" ca="1" si="378"/>
        <v>42.585210000000025</v>
      </c>
      <c r="U876" s="311">
        <f t="shared" ca="1" si="379"/>
        <v>0</v>
      </c>
      <c r="V876" s="306">
        <f t="shared" ca="1" si="380"/>
        <v>1.2259504538026766</v>
      </c>
      <c r="W876" s="304">
        <f t="shared" ca="1" si="381"/>
        <v>38.804299100136568</v>
      </c>
      <c r="Y876" s="314" t="str">
        <f t="shared" ca="1" si="399"/>
        <v/>
      </c>
      <c r="Z876" s="315" t="str">
        <f t="shared" ca="1" si="400"/>
        <v/>
      </c>
      <c r="AA876" s="316" t="str">
        <f t="shared" ca="1" si="401"/>
        <v/>
      </c>
      <c r="AC876" s="310" t="e">
        <f t="shared" ca="1" si="402"/>
        <v>#N/A</v>
      </c>
      <c r="AD876" s="323" t="e">
        <f t="shared" ca="1" si="403"/>
        <v>#N/A</v>
      </c>
      <c r="AE876" s="324" t="e">
        <f t="shared" ca="1" si="382"/>
        <v>#N/A</v>
      </c>
      <c r="AG876" s="306">
        <f t="shared" ca="1" si="404"/>
        <v>0.84441237006818959</v>
      </c>
      <c r="AH876" s="304">
        <f t="shared" ca="1" si="405"/>
        <v>-8.9389989697801493</v>
      </c>
    </row>
    <row r="877" spans="1:34" x14ac:dyDescent="0.2">
      <c r="A877" s="347">
        <f t="shared" ca="1" si="383"/>
        <v>1E-4</v>
      </c>
      <c r="B877" s="304">
        <f t="shared" ca="1" si="384"/>
        <v>28.649700000000024</v>
      </c>
      <c r="D877" s="306">
        <f t="shared" ca="1" si="385"/>
        <v>-0.65768812888365902</v>
      </c>
      <c r="E877" s="307">
        <f t="shared" ca="1" si="386"/>
        <v>-0.89520445671074711</v>
      </c>
      <c r="F877" s="304">
        <f t="shared" ca="1" si="387"/>
        <v>1.1108306325400252</v>
      </c>
      <c r="G877" s="306">
        <f t="shared" ca="1" si="388"/>
        <v>7.2670519998337806</v>
      </c>
      <c r="H877" s="307">
        <f t="shared" ca="1" si="389"/>
        <v>-98.504025126602087</v>
      </c>
      <c r="I877" s="304">
        <f t="shared" ca="1" si="390"/>
        <v>98.771721716848404</v>
      </c>
      <c r="J877" s="306">
        <f t="shared" ca="1" si="391"/>
        <v>678.53524446899166</v>
      </c>
      <c r="K877" s="307">
        <f t="shared" ca="1" si="392"/>
        <v>-7.7656481637697725</v>
      </c>
      <c r="L877" s="304">
        <f t="shared" ca="1" si="377"/>
        <v>678.57968086142819</v>
      </c>
      <c r="M877" s="306">
        <f t="shared" ca="1" si="393"/>
        <v>-1.497155570230726</v>
      </c>
      <c r="N877" s="304">
        <f t="shared" ca="1" si="394"/>
        <v>-85.78069544872271</v>
      </c>
      <c r="P877" s="310">
        <f t="shared" ca="1" si="395"/>
        <v>23</v>
      </c>
      <c r="Q877" s="304">
        <f t="shared" ca="1" si="396"/>
        <v>0</v>
      </c>
      <c r="R877" s="306">
        <f t="shared" ca="1" si="397"/>
        <v>0</v>
      </c>
      <c r="S877" s="307">
        <f t="shared" ca="1" si="398"/>
        <v>4.341000000000002</v>
      </c>
      <c r="T877" s="304">
        <f t="shared" ca="1" si="378"/>
        <v>42.585210000000025</v>
      </c>
      <c r="U877" s="311">
        <f t="shared" ca="1" si="379"/>
        <v>0</v>
      </c>
      <c r="V877" s="306">
        <f t="shared" ca="1" si="380"/>
        <v>1.2259516614134476</v>
      </c>
      <c r="W877" s="304">
        <f t="shared" ca="1" si="381"/>
        <v>38.80440367086598</v>
      </c>
      <c r="Y877" s="314" t="str">
        <f t="shared" ca="1" si="399"/>
        <v/>
      </c>
      <c r="Z877" s="315" t="str">
        <f t="shared" ca="1" si="400"/>
        <v/>
      </c>
      <c r="AA877" s="316" t="str">
        <f t="shared" ca="1" si="401"/>
        <v/>
      </c>
      <c r="AC877" s="310" t="e">
        <f t="shared" ca="1" si="402"/>
        <v>#N/A</v>
      </c>
      <c r="AD877" s="323" t="e">
        <f t="shared" ca="1" si="403"/>
        <v>#N/A</v>
      </c>
      <c r="AE877" s="324" t="e">
        <f t="shared" ca="1" si="382"/>
        <v>#N/A</v>
      </c>
      <c r="AG877" s="306">
        <f t="shared" ca="1" si="404"/>
        <v>0.84438880805276995</v>
      </c>
      <c r="AH877" s="304">
        <f t="shared" ca="1" si="405"/>
        <v>-8.9390230592344047</v>
      </c>
    </row>
    <row r="878" spans="1:34" x14ac:dyDescent="0.2">
      <c r="A878" s="347">
        <f t="shared" ca="1" si="383"/>
        <v>1E-4</v>
      </c>
      <c r="B878" s="304">
        <f t="shared" ca="1" si="384"/>
        <v>28.649800000000024</v>
      </c>
      <c r="D878" s="306">
        <f t="shared" ca="1" si="385"/>
        <v>-0.6576833867698112</v>
      </c>
      <c r="E878" s="307">
        <f t="shared" ca="1" si="386"/>
        <v>-0.89517995231023484</v>
      </c>
      <c r="F878" s="304">
        <f t="shared" ca="1" si="387"/>
        <v>1.1108080771452662</v>
      </c>
      <c r="G878" s="306">
        <f t="shared" ca="1" si="388"/>
        <v>7.2669862314951033</v>
      </c>
      <c r="H878" s="307">
        <f t="shared" ca="1" si="389"/>
        <v>-98.504114644597323</v>
      </c>
      <c r="I878" s="304">
        <f t="shared" ca="1" si="390"/>
        <v>98.771806153399424</v>
      </c>
      <c r="J878" s="306">
        <f t="shared" ca="1" si="391"/>
        <v>678.53524446899166</v>
      </c>
      <c r="K878" s="307">
        <f t="shared" ca="1" si="392"/>
        <v>-7.7754985707583328</v>
      </c>
      <c r="L878" s="304">
        <f t="shared" ca="1" si="377"/>
        <v>678.5797936607147</v>
      </c>
      <c r="M878" s="306">
        <f t="shared" ca="1" si="393"/>
        <v>-1.4971563009686646</v>
      </c>
      <c r="N878" s="304">
        <f t="shared" ca="1" si="394"/>
        <v>-85.780737316922526</v>
      </c>
      <c r="P878" s="310">
        <f t="shared" ca="1" si="395"/>
        <v>23</v>
      </c>
      <c r="Q878" s="304">
        <f t="shared" ca="1" si="396"/>
        <v>0</v>
      </c>
      <c r="R878" s="306">
        <f t="shared" ca="1" si="397"/>
        <v>0</v>
      </c>
      <c r="S878" s="307">
        <f t="shared" ca="1" si="398"/>
        <v>4.341000000000002</v>
      </c>
      <c r="T878" s="304">
        <f t="shared" ca="1" si="378"/>
        <v>42.585210000000025</v>
      </c>
      <c r="U878" s="311">
        <f t="shared" ca="1" si="379"/>
        <v>0</v>
      </c>
      <c r="V878" s="306">
        <f t="shared" ca="1" si="380"/>
        <v>1.2259528690265056</v>
      </c>
      <c r="W878" s="304">
        <f t="shared" ca="1" si="381"/>
        <v>38.804508240003884</v>
      </c>
      <c r="Y878" s="314" t="str">
        <f t="shared" ca="1" si="399"/>
        <v/>
      </c>
      <c r="Z878" s="315" t="str">
        <f t="shared" ca="1" si="400"/>
        <v/>
      </c>
      <c r="AA878" s="316" t="str">
        <f t="shared" ca="1" si="401"/>
        <v/>
      </c>
      <c r="AC878" s="310" t="e">
        <f t="shared" ca="1" si="402"/>
        <v>#N/A</v>
      </c>
      <c r="AD878" s="323" t="e">
        <f t="shared" ca="1" si="403"/>
        <v>#N/A</v>
      </c>
      <c r="AE878" s="324" t="e">
        <f t="shared" ca="1" si="382"/>
        <v>#N/A</v>
      </c>
      <c r="AG878" s="306">
        <f t="shared" ca="1" si="404"/>
        <v>0.84436524639307464</v>
      </c>
      <c r="AH878" s="304">
        <f t="shared" ca="1" si="405"/>
        <v>-8.9390471483220377</v>
      </c>
    </row>
    <row r="879" spans="1:34" x14ac:dyDescent="0.2">
      <c r="A879" s="347">
        <f t="shared" ca="1" si="383"/>
        <v>1E-4</v>
      </c>
      <c r="B879" s="304">
        <f t="shared" ca="1" si="384"/>
        <v>28.649900000000024</v>
      </c>
      <c r="D879" s="306">
        <f t="shared" ca="1" si="385"/>
        <v>-0.65767864466362147</v>
      </c>
      <c r="E879" s="307">
        <f t="shared" ca="1" si="386"/>
        <v>-0.89515544828269533</v>
      </c>
      <c r="F879" s="304">
        <f t="shared" ca="1" si="387"/>
        <v>1.110785522158428</v>
      </c>
      <c r="G879" s="306">
        <f t="shared" ca="1" si="388"/>
        <v>7.2669204636306368</v>
      </c>
      <c r="H879" s="307">
        <f t="shared" ca="1" si="389"/>
        <v>-98.504204160142152</v>
      </c>
      <c r="I879" s="304">
        <f t="shared" ca="1" si="390"/>
        <v>98.771890587594299</v>
      </c>
      <c r="J879" s="306">
        <f t="shared" ca="1" si="391"/>
        <v>678.53524446899166</v>
      </c>
      <c r="K879" s="307">
        <f t="shared" ca="1" si="392"/>
        <v>-7.7853489866985699</v>
      </c>
      <c r="L879" s="304">
        <f t="shared" ca="1" si="377"/>
        <v>678.57990660307576</v>
      </c>
      <c r="M879" s="306">
        <f t="shared" ca="1" si="393"/>
        <v>-1.4971570316987404</v>
      </c>
      <c r="N879" s="304">
        <f t="shared" ca="1" si="394"/>
        <v>-85.780779184671829</v>
      </c>
      <c r="P879" s="310">
        <f t="shared" ca="1" si="395"/>
        <v>23</v>
      </c>
      <c r="Q879" s="304">
        <f t="shared" ca="1" si="396"/>
        <v>0</v>
      </c>
      <c r="R879" s="306">
        <f t="shared" ca="1" si="397"/>
        <v>0</v>
      </c>
      <c r="S879" s="307">
        <f t="shared" ca="1" si="398"/>
        <v>4.341000000000002</v>
      </c>
      <c r="T879" s="304">
        <f t="shared" ca="1" si="378"/>
        <v>42.585210000000025</v>
      </c>
      <c r="U879" s="311">
        <f t="shared" ca="1" si="379"/>
        <v>0</v>
      </c>
      <c r="V879" s="306">
        <f t="shared" ca="1" si="380"/>
        <v>1.2259540766418513</v>
      </c>
      <c r="W879" s="304">
        <f t="shared" ca="1" si="381"/>
        <v>38.804612807550292</v>
      </c>
      <c r="Y879" s="314" t="str">
        <f t="shared" ca="1" si="399"/>
        <v/>
      </c>
      <c r="Z879" s="315" t="str">
        <f t="shared" ca="1" si="400"/>
        <v/>
      </c>
      <c r="AA879" s="316" t="str">
        <f t="shared" ca="1" si="401"/>
        <v/>
      </c>
      <c r="AC879" s="310" t="e">
        <f t="shared" ca="1" si="402"/>
        <v>#N/A</v>
      </c>
      <c r="AD879" s="323" t="e">
        <f t="shared" ca="1" si="403"/>
        <v>#N/A</v>
      </c>
      <c r="AE879" s="324" t="e">
        <f t="shared" ca="1" si="382"/>
        <v>#N/A</v>
      </c>
      <c r="AG879" s="306">
        <f t="shared" ca="1" si="404"/>
        <v>0.84434168508910545</v>
      </c>
      <c r="AH879" s="304">
        <f t="shared" ca="1" si="405"/>
        <v>-8.9390712370430467</v>
      </c>
    </row>
    <row r="880" spans="1:34" x14ac:dyDescent="0.2">
      <c r="A880" s="347">
        <f t="shared" ca="1" si="383"/>
        <v>1E-4</v>
      </c>
      <c r="B880" s="304">
        <f t="shared" ca="1" si="384"/>
        <v>28.650000000000023</v>
      </c>
      <c r="D880" s="306">
        <f t="shared" ca="1" si="385"/>
        <v>-0.65767390256509406</v>
      </c>
      <c r="E880" s="307">
        <f t="shared" ca="1" si="386"/>
        <v>-0.89513094462812148</v>
      </c>
      <c r="F880" s="304">
        <f t="shared" ca="1" si="387"/>
        <v>1.1107629675795074</v>
      </c>
      <c r="G880" s="306">
        <f t="shared" ca="1" si="388"/>
        <v>7.2668546962403804</v>
      </c>
      <c r="H880" s="307">
        <f t="shared" ca="1" si="389"/>
        <v>-98.504293673236617</v>
      </c>
      <c r="I880" s="304">
        <f t="shared" ca="1" si="390"/>
        <v>98.7719750194331</v>
      </c>
      <c r="J880" s="306">
        <f t="shared" ca="1" si="391"/>
        <v>678.53524446899166</v>
      </c>
      <c r="K880" s="307">
        <f t="shared" ca="1" si="392"/>
        <v>-7.7951994115902385</v>
      </c>
      <c r="L880" s="304">
        <f t="shared" ca="1" si="377"/>
        <v>678.58001968851158</v>
      </c>
      <c r="M880" s="306">
        <f t="shared" ca="1" si="393"/>
        <v>-1.4971577624209538</v>
      </c>
      <c r="N880" s="304">
        <f t="shared" ca="1" si="394"/>
        <v>-85.780821051970662</v>
      </c>
      <c r="P880" s="310">
        <f t="shared" ca="1" si="395"/>
        <v>23</v>
      </c>
      <c r="Q880" s="304">
        <f t="shared" ca="1" si="396"/>
        <v>0</v>
      </c>
      <c r="R880" s="306">
        <f t="shared" ca="1" si="397"/>
        <v>0</v>
      </c>
      <c r="S880" s="307">
        <f t="shared" ca="1" si="398"/>
        <v>4.341000000000002</v>
      </c>
      <c r="T880" s="304">
        <f t="shared" ca="1" si="378"/>
        <v>42.585210000000025</v>
      </c>
      <c r="U880" s="311">
        <f t="shared" ca="1" si="379"/>
        <v>0</v>
      </c>
      <c r="V880" s="306">
        <f t="shared" ca="1" si="380"/>
        <v>1.2259552842594847</v>
      </c>
      <c r="W880" s="304">
        <f t="shared" ca="1" si="381"/>
        <v>38.804717373505255</v>
      </c>
      <c r="Y880" s="314" t="str">
        <f t="shared" ca="1" si="399"/>
        <v/>
      </c>
      <c r="Z880" s="315" t="str">
        <f t="shared" ca="1" si="400"/>
        <v/>
      </c>
      <c r="AA880" s="316" t="str">
        <f t="shared" ca="1" si="401"/>
        <v/>
      </c>
      <c r="AC880" s="310" t="e">
        <f t="shared" ca="1" si="402"/>
        <v>#N/A</v>
      </c>
      <c r="AD880" s="323" t="e">
        <f t="shared" ca="1" si="403"/>
        <v>#N/A</v>
      </c>
      <c r="AE880" s="324" t="e">
        <f t="shared" ca="1" si="382"/>
        <v>#N/A</v>
      </c>
      <c r="AG880" s="306">
        <f t="shared" ca="1" si="404"/>
        <v>0.8443181241408535</v>
      </c>
      <c r="AH880" s="304">
        <f t="shared" ca="1" si="405"/>
        <v>-8.939095325397437</v>
      </c>
    </row>
    <row r="881" spans="1:34" x14ac:dyDescent="0.2">
      <c r="A881" s="347">
        <f t="shared" ca="1" si="383"/>
        <v>1E-4</v>
      </c>
      <c r="B881" s="304">
        <f t="shared" ca="1" si="384"/>
        <v>28.650100000000023</v>
      </c>
      <c r="D881" s="306">
        <f t="shared" ca="1" si="385"/>
        <v>-0.65766916047422663</v>
      </c>
      <c r="E881" s="307">
        <f t="shared" ca="1" si="386"/>
        <v>-0.89510644134650263</v>
      </c>
      <c r="F881" s="304">
        <f t="shared" ca="1" si="387"/>
        <v>1.1107404134084948</v>
      </c>
      <c r="G881" s="306">
        <f t="shared" ca="1" si="388"/>
        <v>7.2667889293243331</v>
      </c>
      <c r="H881" s="307">
        <f t="shared" ca="1" si="389"/>
        <v>-98.504383183880748</v>
      </c>
      <c r="I881" s="304">
        <f t="shared" ca="1" si="390"/>
        <v>98.772059448915812</v>
      </c>
      <c r="J881" s="306">
        <f t="shared" ca="1" si="391"/>
        <v>678.53524446899166</v>
      </c>
      <c r="K881" s="307">
        <f t="shared" ca="1" si="392"/>
        <v>-7.8050498454330945</v>
      </c>
      <c r="L881" s="304">
        <f t="shared" ca="1" si="377"/>
        <v>678.58013291702252</v>
      </c>
      <c r="M881" s="306">
        <f t="shared" ca="1" si="393"/>
        <v>-1.4971584931353046</v>
      </c>
      <c r="N881" s="304">
        <f t="shared" ca="1" si="394"/>
        <v>-85.780862918818983</v>
      </c>
      <c r="P881" s="310">
        <f t="shared" ca="1" si="395"/>
        <v>23</v>
      </c>
      <c r="Q881" s="304">
        <f t="shared" ca="1" si="396"/>
        <v>0</v>
      </c>
      <c r="R881" s="306">
        <f t="shared" ca="1" si="397"/>
        <v>0</v>
      </c>
      <c r="S881" s="307">
        <f t="shared" ca="1" si="398"/>
        <v>4.341000000000002</v>
      </c>
      <c r="T881" s="304">
        <f t="shared" ca="1" si="378"/>
        <v>42.585210000000025</v>
      </c>
      <c r="U881" s="311">
        <f t="shared" ca="1" si="379"/>
        <v>0</v>
      </c>
      <c r="V881" s="306">
        <f t="shared" ca="1" si="380"/>
        <v>1.2259564918794053</v>
      </c>
      <c r="W881" s="304">
        <f t="shared" ca="1" si="381"/>
        <v>38.804821937868752</v>
      </c>
      <c r="Y881" s="314" t="str">
        <f t="shared" ca="1" si="399"/>
        <v/>
      </c>
      <c r="Z881" s="315" t="str">
        <f t="shared" ca="1" si="400"/>
        <v/>
      </c>
      <c r="AA881" s="316" t="str">
        <f t="shared" ca="1" si="401"/>
        <v/>
      </c>
      <c r="AC881" s="310" t="e">
        <f t="shared" ca="1" si="402"/>
        <v>#N/A</v>
      </c>
      <c r="AD881" s="323" t="e">
        <f t="shared" ca="1" si="403"/>
        <v>#N/A</v>
      </c>
      <c r="AE881" s="324" t="e">
        <f t="shared" ca="1" si="382"/>
        <v>#N/A</v>
      </c>
      <c r="AG881" s="306">
        <f t="shared" ca="1" si="404"/>
        <v>0.84429456354831345</v>
      </c>
      <c r="AH881" s="304">
        <f t="shared" ca="1" si="405"/>
        <v>-8.9391194133852192</v>
      </c>
    </row>
    <row r="882" spans="1:34" x14ac:dyDescent="0.2">
      <c r="A882" s="347">
        <f t="shared" ca="1" si="383"/>
        <v>1E-4</v>
      </c>
      <c r="B882" s="304">
        <f t="shared" ca="1" si="384"/>
        <v>28.650200000000023</v>
      </c>
      <c r="D882" s="306">
        <f t="shared" ca="1" si="385"/>
        <v>-0.65766441839102263</v>
      </c>
      <c r="E882" s="307">
        <f t="shared" ca="1" si="386"/>
        <v>-0.89508193843784412</v>
      </c>
      <c r="F882" s="304">
        <f t="shared" ca="1" si="387"/>
        <v>1.1107178596453964</v>
      </c>
      <c r="G882" s="306">
        <f t="shared" ca="1" si="388"/>
        <v>7.266723162882494</v>
      </c>
      <c r="H882" s="307">
        <f t="shared" ca="1" si="389"/>
        <v>-98.504472692074586</v>
      </c>
      <c r="I882" s="304">
        <f t="shared" ca="1" si="390"/>
        <v>98.772143876042506</v>
      </c>
      <c r="J882" s="306">
        <f t="shared" ca="1" si="391"/>
        <v>678.53524446899166</v>
      </c>
      <c r="K882" s="307">
        <f t="shared" ca="1" si="392"/>
        <v>-7.8149002882268928</v>
      </c>
      <c r="L882" s="304">
        <f t="shared" ca="1" si="377"/>
        <v>678.58024628860903</v>
      </c>
      <c r="M882" s="306">
        <f t="shared" ca="1" si="393"/>
        <v>-1.497159223841793</v>
      </c>
      <c r="N882" s="304">
        <f t="shared" ca="1" si="394"/>
        <v>-85.780904785216833</v>
      </c>
      <c r="P882" s="310">
        <f t="shared" ca="1" si="395"/>
        <v>23</v>
      </c>
      <c r="Q882" s="304">
        <f t="shared" ca="1" si="396"/>
        <v>0</v>
      </c>
      <c r="R882" s="306">
        <f t="shared" ca="1" si="397"/>
        <v>0</v>
      </c>
      <c r="S882" s="307">
        <f t="shared" ca="1" si="398"/>
        <v>4.341000000000002</v>
      </c>
      <c r="T882" s="304">
        <f t="shared" ca="1" si="378"/>
        <v>42.585210000000025</v>
      </c>
      <c r="U882" s="311">
        <f t="shared" ca="1" si="379"/>
        <v>0</v>
      </c>
      <c r="V882" s="306">
        <f t="shared" ca="1" si="380"/>
        <v>1.2259576995016135</v>
      </c>
      <c r="W882" s="304">
        <f t="shared" ca="1" si="381"/>
        <v>38.804926500640825</v>
      </c>
      <c r="Y882" s="314" t="str">
        <f t="shared" ca="1" si="399"/>
        <v/>
      </c>
      <c r="Z882" s="315" t="str">
        <f t="shared" ca="1" si="400"/>
        <v/>
      </c>
      <c r="AA882" s="316" t="str">
        <f t="shared" ca="1" si="401"/>
        <v/>
      </c>
      <c r="AC882" s="310" t="e">
        <f t="shared" ca="1" si="402"/>
        <v>#N/A</v>
      </c>
      <c r="AD882" s="323" t="e">
        <f t="shared" ca="1" si="403"/>
        <v>#N/A</v>
      </c>
      <c r="AE882" s="324" t="e">
        <f t="shared" ca="1" si="382"/>
        <v>#N/A</v>
      </c>
      <c r="AG882" s="306">
        <f t="shared" ca="1" si="404"/>
        <v>0.84427100331148353</v>
      </c>
      <c r="AH882" s="304">
        <f t="shared" ca="1" si="405"/>
        <v>-8.9391435010063898</v>
      </c>
    </row>
    <row r="883" spans="1:34" x14ac:dyDescent="0.2">
      <c r="A883" s="347">
        <f t="shared" ca="1" si="383"/>
        <v>1E-4</v>
      </c>
      <c r="B883" s="304">
        <f t="shared" ca="1" si="384"/>
        <v>28.650300000000023</v>
      </c>
      <c r="D883" s="306">
        <f t="shared" ca="1" si="385"/>
        <v>-0.65765967631548183</v>
      </c>
      <c r="E883" s="307">
        <f t="shared" ca="1" si="386"/>
        <v>-0.89505743590213527</v>
      </c>
      <c r="F883" s="304">
        <f t="shared" ca="1" si="387"/>
        <v>1.1106953062902036</v>
      </c>
      <c r="G883" s="306">
        <f t="shared" ca="1" si="388"/>
        <v>7.2666573969148622</v>
      </c>
      <c r="H883" s="307">
        <f t="shared" ca="1" si="389"/>
        <v>-98.504562197818174</v>
      </c>
      <c r="I883" s="304">
        <f t="shared" ca="1" si="390"/>
        <v>98.772228300813211</v>
      </c>
      <c r="J883" s="306">
        <f t="shared" ca="1" si="391"/>
        <v>678.53524446899166</v>
      </c>
      <c r="K883" s="307">
        <f t="shared" ca="1" si="392"/>
        <v>-7.8247507399713871</v>
      </c>
      <c r="L883" s="304">
        <f t="shared" ca="1" si="377"/>
        <v>678.58035980327122</v>
      </c>
      <c r="M883" s="306">
        <f t="shared" ca="1" si="393"/>
        <v>-1.4971599545404193</v>
      </c>
      <c r="N883" s="304">
        <f t="shared" ca="1" si="394"/>
        <v>-85.780946651164214</v>
      </c>
      <c r="P883" s="310">
        <f t="shared" ca="1" si="395"/>
        <v>23</v>
      </c>
      <c r="Q883" s="304">
        <f t="shared" ca="1" si="396"/>
        <v>0</v>
      </c>
      <c r="R883" s="306">
        <f t="shared" ca="1" si="397"/>
        <v>0</v>
      </c>
      <c r="S883" s="307">
        <f t="shared" ca="1" si="398"/>
        <v>4.341000000000002</v>
      </c>
      <c r="T883" s="304">
        <f t="shared" ca="1" si="378"/>
        <v>42.585210000000025</v>
      </c>
      <c r="U883" s="311">
        <f t="shared" ca="1" si="379"/>
        <v>0</v>
      </c>
      <c r="V883" s="306">
        <f t="shared" ca="1" si="380"/>
        <v>1.225958907126109</v>
      </c>
      <c r="W883" s="304">
        <f t="shared" ca="1" si="381"/>
        <v>38.805031061821467</v>
      </c>
      <c r="Y883" s="314" t="str">
        <f t="shared" ca="1" si="399"/>
        <v/>
      </c>
      <c r="Z883" s="315" t="str">
        <f t="shared" ca="1" si="400"/>
        <v/>
      </c>
      <c r="AA883" s="316" t="str">
        <f t="shared" ca="1" si="401"/>
        <v/>
      </c>
      <c r="AC883" s="310" t="e">
        <f t="shared" ca="1" si="402"/>
        <v>#N/A</v>
      </c>
      <c r="AD883" s="323" t="e">
        <f t="shared" ca="1" si="403"/>
        <v>#N/A</v>
      </c>
      <c r="AE883" s="324" t="e">
        <f t="shared" ca="1" si="382"/>
        <v>#N/A</v>
      </c>
      <c r="AG883" s="306">
        <f t="shared" ca="1" si="404"/>
        <v>0.84424744343036195</v>
      </c>
      <c r="AH883" s="304">
        <f t="shared" ca="1" si="405"/>
        <v>-8.9391675882609558</v>
      </c>
    </row>
    <row r="884" spans="1:34" x14ac:dyDescent="0.2">
      <c r="A884" s="347">
        <f t="shared" ca="1" si="383"/>
        <v>1E-4</v>
      </c>
      <c r="B884" s="304">
        <f t="shared" ca="1" si="384"/>
        <v>28.650400000000023</v>
      </c>
      <c r="D884" s="306">
        <f t="shared" ca="1" si="385"/>
        <v>-0.65765493424760357</v>
      </c>
      <c r="E884" s="307">
        <f t="shared" ca="1" si="386"/>
        <v>-0.89503293373937964</v>
      </c>
      <c r="F884" s="304">
        <f t="shared" ca="1" si="387"/>
        <v>1.110672753342919</v>
      </c>
      <c r="G884" s="306">
        <f t="shared" ca="1" si="388"/>
        <v>7.2665916314214378</v>
      </c>
      <c r="H884" s="307">
        <f t="shared" ca="1" si="389"/>
        <v>-98.504651701111541</v>
      </c>
      <c r="I884" s="304">
        <f t="shared" ca="1" si="390"/>
        <v>98.772312723227969</v>
      </c>
      <c r="J884" s="306">
        <f t="shared" ca="1" si="391"/>
        <v>678.53524446899166</v>
      </c>
      <c r="K884" s="307">
        <f t="shared" ca="1" si="392"/>
        <v>-7.8346012006663335</v>
      </c>
      <c r="L884" s="304">
        <f t="shared" ca="1" si="377"/>
        <v>678.58047346100943</v>
      </c>
      <c r="M884" s="306">
        <f t="shared" ca="1" si="393"/>
        <v>-1.4971606852311834</v>
      </c>
      <c r="N884" s="304">
        <f t="shared" ca="1" si="394"/>
        <v>-85.780988516661125</v>
      </c>
      <c r="P884" s="310">
        <f t="shared" ca="1" si="395"/>
        <v>23</v>
      </c>
      <c r="Q884" s="304">
        <f t="shared" ca="1" si="396"/>
        <v>0</v>
      </c>
      <c r="R884" s="306">
        <f t="shared" ca="1" si="397"/>
        <v>0</v>
      </c>
      <c r="S884" s="307">
        <f t="shared" ca="1" si="398"/>
        <v>4.341000000000002</v>
      </c>
      <c r="T884" s="304">
        <f t="shared" ca="1" si="378"/>
        <v>42.585210000000025</v>
      </c>
      <c r="U884" s="311">
        <f t="shared" ca="1" si="379"/>
        <v>0</v>
      </c>
      <c r="V884" s="306">
        <f t="shared" ca="1" si="380"/>
        <v>1.2259601147528914</v>
      </c>
      <c r="W884" s="304">
        <f t="shared" ca="1" si="381"/>
        <v>38.805135621410713</v>
      </c>
      <c r="Y884" s="314" t="str">
        <f t="shared" ca="1" si="399"/>
        <v/>
      </c>
      <c r="Z884" s="315" t="str">
        <f t="shared" ca="1" si="400"/>
        <v/>
      </c>
      <c r="AA884" s="316" t="str">
        <f t="shared" ca="1" si="401"/>
        <v/>
      </c>
      <c r="AC884" s="310" t="e">
        <f t="shared" ca="1" si="402"/>
        <v>#N/A</v>
      </c>
      <c r="AD884" s="323" t="e">
        <f t="shared" ca="1" si="403"/>
        <v>#N/A</v>
      </c>
      <c r="AE884" s="324" t="e">
        <f t="shared" ca="1" si="382"/>
        <v>#N/A</v>
      </c>
      <c r="AG884" s="306">
        <f t="shared" ca="1" si="404"/>
        <v>0.84422388390494696</v>
      </c>
      <c r="AH884" s="304">
        <f t="shared" ca="1" si="405"/>
        <v>-8.9391916751489173</v>
      </c>
    </row>
    <row r="885" spans="1:34" x14ac:dyDescent="0.2">
      <c r="A885" s="347">
        <f t="shared" ca="1" si="383"/>
        <v>1E-4</v>
      </c>
      <c r="B885" s="304">
        <f t="shared" ca="1" si="384"/>
        <v>28.650500000000022</v>
      </c>
      <c r="D885" s="306">
        <f t="shared" ca="1" si="385"/>
        <v>-0.65765019218738985</v>
      </c>
      <c r="E885" s="307">
        <f t="shared" ca="1" si="386"/>
        <v>-0.89500843194957014</v>
      </c>
      <c r="F885" s="304">
        <f t="shared" ca="1" si="387"/>
        <v>1.1106502008035379</v>
      </c>
      <c r="G885" s="306">
        <f t="shared" ca="1" si="388"/>
        <v>7.266525866402219</v>
      </c>
      <c r="H885" s="307">
        <f t="shared" ca="1" si="389"/>
        <v>-98.504741201954729</v>
      </c>
      <c r="I885" s="304">
        <f t="shared" ca="1" si="390"/>
        <v>98.772397143286796</v>
      </c>
      <c r="J885" s="306">
        <f t="shared" ca="1" si="391"/>
        <v>678.53524446899166</v>
      </c>
      <c r="K885" s="307">
        <f t="shared" ca="1" si="392"/>
        <v>-7.8444516703114866</v>
      </c>
      <c r="L885" s="304">
        <f t="shared" ca="1" si="377"/>
        <v>678.58058726182412</v>
      </c>
      <c r="M885" s="306">
        <f t="shared" ca="1" si="393"/>
        <v>-1.4971614159140856</v>
      </c>
      <c r="N885" s="304">
        <f t="shared" ca="1" si="394"/>
        <v>-85.781030381707581</v>
      </c>
      <c r="P885" s="310">
        <f t="shared" ca="1" si="395"/>
        <v>23</v>
      </c>
      <c r="Q885" s="304">
        <f t="shared" ca="1" si="396"/>
        <v>0</v>
      </c>
      <c r="R885" s="306">
        <f t="shared" ca="1" si="397"/>
        <v>0</v>
      </c>
      <c r="S885" s="307">
        <f t="shared" ca="1" si="398"/>
        <v>4.341000000000002</v>
      </c>
      <c r="T885" s="304">
        <f t="shared" ca="1" si="378"/>
        <v>42.585210000000025</v>
      </c>
      <c r="U885" s="311">
        <f t="shared" ca="1" si="379"/>
        <v>0</v>
      </c>
      <c r="V885" s="306">
        <f t="shared" ca="1" si="380"/>
        <v>1.2259613223819616</v>
      </c>
      <c r="W885" s="304">
        <f t="shared" ca="1" si="381"/>
        <v>38.805240179408578</v>
      </c>
      <c r="Y885" s="314" t="str">
        <f t="shared" ca="1" si="399"/>
        <v/>
      </c>
      <c r="Z885" s="315" t="str">
        <f t="shared" ca="1" si="400"/>
        <v/>
      </c>
      <c r="AA885" s="316" t="str">
        <f t="shared" ca="1" si="401"/>
        <v/>
      </c>
      <c r="AC885" s="310" t="e">
        <f t="shared" ca="1" si="402"/>
        <v>#N/A</v>
      </c>
      <c r="AD885" s="323" t="e">
        <f t="shared" ca="1" si="403"/>
        <v>#N/A</v>
      </c>
      <c r="AE885" s="324" t="e">
        <f t="shared" ca="1" si="382"/>
        <v>#N/A</v>
      </c>
      <c r="AG885" s="306">
        <f t="shared" ca="1" si="404"/>
        <v>0.84420032473522966</v>
      </c>
      <c r="AH885" s="304">
        <f t="shared" ca="1" si="405"/>
        <v>-8.9392157616702814</v>
      </c>
    </row>
    <row r="886" spans="1:34" x14ac:dyDescent="0.2">
      <c r="A886" s="347">
        <f t="shared" ca="1" si="383"/>
        <v>1E-4</v>
      </c>
      <c r="B886" s="304">
        <f t="shared" ca="1" si="384"/>
        <v>28.650600000000022</v>
      </c>
      <c r="D886" s="306">
        <f t="shared" ca="1" si="385"/>
        <v>-0.65764545013484066</v>
      </c>
      <c r="E886" s="307">
        <f t="shared" ca="1" si="386"/>
        <v>-0.89498393053269787</v>
      </c>
      <c r="F886" s="304">
        <f t="shared" ca="1" si="387"/>
        <v>1.1106276486720534</v>
      </c>
      <c r="G886" s="306">
        <f t="shared" ca="1" si="388"/>
        <v>7.2664601018572057</v>
      </c>
      <c r="H886" s="307">
        <f t="shared" ca="1" si="389"/>
        <v>-98.504830700347782</v>
      </c>
      <c r="I886" s="304">
        <f t="shared" ca="1" si="390"/>
        <v>98.77248156098976</v>
      </c>
      <c r="J886" s="306">
        <f t="shared" ca="1" si="391"/>
        <v>678.53524446899166</v>
      </c>
      <c r="K886" s="307">
        <f t="shared" ca="1" si="392"/>
        <v>-7.8543021489066014</v>
      </c>
      <c r="L886" s="304">
        <f t="shared" ca="1" si="377"/>
        <v>678.58070120571563</v>
      </c>
      <c r="M886" s="306">
        <f t="shared" ca="1" si="393"/>
        <v>-1.4971621465891256</v>
      </c>
      <c r="N886" s="304">
        <f t="shared" ca="1" si="394"/>
        <v>-85.78107224630358</v>
      </c>
      <c r="P886" s="310">
        <f t="shared" ca="1" si="395"/>
        <v>23</v>
      </c>
      <c r="Q886" s="304">
        <f t="shared" ca="1" si="396"/>
        <v>0</v>
      </c>
      <c r="R886" s="306">
        <f t="shared" ca="1" si="397"/>
        <v>0</v>
      </c>
      <c r="S886" s="307">
        <f t="shared" ca="1" si="398"/>
        <v>4.341000000000002</v>
      </c>
      <c r="T886" s="304">
        <f t="shared" ca="1" si="378"/>
        <v>42.585210000000025</v>
      </c>
      <c r="U886" s="311">
        <f t="shared" ca="1" si="379"/>
        <v>0</v>
      </c>
      <c r="V886" s="306">
        <f t="shared" ca="1" si="380"/>
        <v>1.2259625300133188</v>
      </c>
      <c r="W886" s="304">
        <f t="shared" ca="1" si="381"/>
        <v>38.80534473581509</v>
      </c>
      <c r="Y886" s="314" t="str">
        <f t="shared" ca="1" si="399"/>
        <v/>
      </c>
      <c r="Z886" s="315" t="str">
        <f t="shared" ca="1" si="400"/>
        <v/>
      </c>
      <c r="AA886" s="316" t="str">
        <f t="shared" ca="1" si="401"/>
        <v/>
      </c>
      <c r="AC886" s="310" t="e">
        <f t="shared" ca="1" si="402"/>
        <v>#N/A</v>
      </c>
      <c r="AD886" s="323" t="e">
        <f t="shared" ca="1" si="403"/>
        <v>#N/A</v>
      </c>
      <c r="AE886" s="324" t="e">
        <f t="shared" ca="1" si="382"/>
        <v>#N/A</v>
      </c>
      <c r="AG886" s="306">
        <f t="shared" ca="1" si="404"/>
        <v>0.84417676592121005</v>
      </c>
      <c r="AH886" s="304">
        <f t="shared" ca="1" si="405"/>
        <v>-8.9392398478250534</v>
      </c>
    </row>
    <row r="887" spans="1:34" x14ac:dyDescent="0.2">
      <c r="A887" s="347">
        <f t="shared" ca="1" si="383"/>
        <v>1E-4</v>
      </c>
      <c r="B887" s="304">
        <f t="shared" ca="1" si="384"/>
        <v>28.650700000000022</v>
      </c>
      <c r="D887" s="306">
        <f t="shared" ca="1" si="385"/>
        <v>-0.65764070808995945</v>
      </c>
      <c r="E887" s="307">
        <f t="shared" ca="1" si="386"/>
        <v>-0.89495942948876106</v>
      </c>
      <c r="F887" s="304">
        <f t="shared" ca="1" si="387"/>
        <v>1.1106050969484662</v>
      </c>
      <c r="G887" s="306">
        <f t="shared" ca="1" si="388"/>
        <v>7.2663943377863971</v>
      </c>
      <c r="H887" s="307">
        <f t="shared" ca="1" si="389"/>
        <v>-98.504920196290726</v>
      </c>
      <c r="I887" s="304">
        <f t="shared" ca="1" si="390"/>
        <v>98.772565976336864</v>
      </c>
      <c r="J887" s="306">
        <f t="shared" ca="1" si="391"/>
        <v>678.53524446899166</v>
      </c>
      <c r="K887" s="307">
        <f t="shared" ca="1" si="392"/>
        <v>-7.8641526364514336</v>
      </c>
      <c r="L887" s="304">
        <f t="shared" ca="1" si="377"/>
        <v>678.58081529268395</v>
      </c>
      <c r="M887" s="306">
        <f t="shared" ca="1" si="393"/>
        <v>-1.4971628772563041</v>
      </c>
      <c r="N887" s="304">
        <f t="shared" ca="1" si="394"/>
        <v>-85.781114110449138</v>
      </c>
      <c r="P887" s="310">
        <f t="shared" ca="1" si="395"/>
        <v>23</v>
      </c>
      <c r="Q887" s="304">
        <f t="shared" ca="1" si="396"/>
        <v>0</v>
      </c>
      <c r="R887" s="306">
        <f t="shared" ca="1" si="397"/>
        <v>0</v>
      </c>
      <c r="S887" s="307">
        <f t="shared" ca="1" si="398"/>
        <v>4.341000000000002</v>
      </c>
      <c r="T887" s="304">
        <f t="shared" ca="1" si="378"/>
        <v>42.585210000000025</v>
      </c>
      <c r="U887" s="311">
        <f t="shared" ca="1" si="379"/>
        <v>0</v>
      </c>
      <c r="V887" s="306">
        <f t="shared" ca="1" si="380"/>
        <v>1.2259637376469634</v>
      </c>
      <c r="W887" s="304">
        <f t="shared" ca="1" si="381"/>
        <v>38.80544929063025</v>
      </c>
      <c r="Y887" s="314" t="str">
        <f t="shared" ca="1" si="399"/>
        <v/>
      </c>
      <c r="Z887" s="315" t="str">
        <f t="shared" ca="1" si="400"/>
        <v/>
      </c>
      <c r="AA887" s="316" t="str">
        <f t="shared" ca="1" si="401"/>
        <v/>
      </c>
      <c r="AC887" s="310" t="e">
        <f t="shared" ca="1" si="402"/>
        <v>#N/A</v>
      </c>
      <c r="AD887" s="323" t="e">
        <f t="shared" ca="1" si="403"/>
        <v>#N/A</v>
      </c>
      <c r="AE887" s="324" t="e">
        <f t="shared" ca="1" si="382"/>
        <v>#N/A</v>
      </c>
      <c r="AG887" s="306">
        <f t="shared" ca="1" si="404"/>
        <v>0.84415320746287748</v>
      </c>
      <c r="AH887" s="304">
        <f t="shared" ca="1" si="405"/>
        <v>-8.9392639336132387</v>
      </c>
    </row>
    <row r="888" spans="1:34" x14ac:dyDescent="0.2">
      <c r="A888" s="347">
        <f t="shared" ca="1" si="383"/>
        <v>1E-4</v>
      </c>
      <c r="B888" s="304">
        <f t="shared" ca="1" si="384"/>
        <v>28.650800000000022</v>
      </c>
      <c r="D888" s="306">
        <f t="shared" ca="1" si="385"/>
        <v>-0.65763596605274199</v>
      </c>
      <c r="E888" s="307">
        <f t="shared" ca="1" si="386"/>
        <v>-0.89493492881775438</v>
      </c>
      <c r="F888" s="304">
        <f t="shared" ca="1" si="387"/>
        <v>1.1105825456327694</v>
      </c>
      <c r="G888" s="306">
        <f t="shared" ca="1" si="388"/>
        <v>7.2663285741897914</v>
      </c>
      <c r="H888" s="307">
        <f t="shared" ca="1" si="389"/>
        <v>-98.505009689783606</v>
      </c>
      <c r="I888" s="304">
        <f t="shared" ca="1" si="390"/>
        <v>98.772650389328163</v>
      </c>
      <c r="J888" s="306">
        <f t="shared" ca="1" si="391"/>
        <v>678.53524446899166</v>
      </c>
      <c r="K888" s="307">
        <f t="shared" ca="1" si="392"/>
        <v>-7.8740031329457372</v>
      </c>
      <c r="L888" s="304">
        <f t="shared" ca="1" si="377"/>
        <v>678.58092952272978</v>
      </c>
      <c r="M888" s="306">
        <f t="shared" ca="1" si="393"/>
        <v>-1.4971636079156208</v>
      </c>
      <c r="N888" s="304">
        <f t="shared" ca="1" si="394"/>
        <v>-85.781155974144241</v>
      </c>
      <c r="P888" s="310">
        <f t="shared" ca="1" si="395"/>
        <v>23</v>
      </c>
      <c r="Q888" s="304">
        <f t="shared" ca="1" si="396"/>
        <v>0</v>
      </c>
      <c r="R888" s="306">
        <f t="shared" ca="1" si="397"/>
        <v>0</v>
      </c>
      <c r="S888" s="307">
        <f t="shared" ca="1" si="398"/>
        <v>4.341000000000002</v>
      </c>
      <c r="T888" s="304">
        <f t="shared" ca="1" si="378"/>
        <v>42.585210000000025</v>
      </c>
      <c r="U888" s="311">
        <f t="shared" ca="1" si="379"/>
        <v>0</v>
      </c>
      <c r="V888" s="306">
        <f t="shared" ca="1" si="380"/>
        <v>1.2259649452828951</v>
      </c>
      <c r="W888" s="304">
        <f t="shared" ca="1" si="381"/>
        <v>38.805553843854078</v>
      </c>
      <c r="Y888" s="314" t="str">
        <f t="shared" ca="1" si="399"/>
        <v/>
      </c>
      <c r="Z888" s="315" t="str">
        <f t="shared" ca="1" si="400"/>
        <v/>
      </c>
      <c r="AA888" s="316" t="str">
        <f t="shared" ca="1" si="401"/>
        <v/>
      </c>
      <c r="AC888" s="310" t="e">
        <f t="shared" ca="1" si="402"/>
        <v>#N/A</v>
      </c>
      <c r="AD888" s="323" t="e">
        <f t="shared" ca="1" si="403"/>
        <v>#N/A</v>
      </c>
      <c r="AE888" s="324" t="e">
        <f t="shared" ca="1" si="382"/>
        <v>#N/A</v>
      </c>
      <c r="AG888" s="306">
        <f t="shared" ca="1" si="404"/>
        <v>0.84412964936023371</v>
      </c>
      <c r="AH888" s="304">
        <f t="shared" ca="1" si="405"/>
        <v>-8.9392880190348389</v>
      </c>
    </row>
    <row r="889" spans="1:34" x14ac:dyDescent="0.2">
      <c r="A889" s="347">
        <f t="shared" ca="1" si="383"/>
        <v>1E-4</v>
      </c>
      <c r="B889" s="304">
        <f t="shared" ca="1" si="384"/>
        <v>28.650900000000021</v>
      </c>
      <c r="D889" s="306">
        <f t="shared" ca="1" si="385"/>
        <v>-0.65763122402319341</v>
      </c>
      <c r="E889" s="307">
        <f t="shared" ca="1" si="386"/>
        <v>-0.89491042851968139</v>
      </c>
      <c r="F889" s="304">
        <f t="shared" ca="1" si="387"/>
        <v>1.1105599947249691</v>
      </c>
      <c r="G889" s="306">
        <f t="shared" ca="1" si="388"/>
        <v>7.2662628110673895</v>
      </c>
      <c r="H889" s="307">
        <f t="shared" ca="1" si="389"/>
        <v>-98.505099180826463</v>
      </c>
      <c r="I889" s="304">
        <f t="shared" ca="1" si="390"/>
        <v>98.7727347999637</v>
      </c>
      <c r="J889" s="306">
        <f t="shared" ca="1" si="391"/>
        <v>678.53524446899166</v>
      </c>
      <c r="K889" s="307">
        <f t="shared" ca="1" si="392"/>
        <v>-7.8838536383892679</v>
      </c>
      <c r="L889" s="304">
        <f t="shared" ca="1" si="377"/>
        <v>678.58104389585321</v>
      </c>
      <c r="M889" s="306">
        <f t="shared" ca="1" si="393"/>
        <v>-1.4971643385670759</v>
      </c>
      <c r="N889" s="304">
        <f t="shared" ca="1" si="394"/>
        <v>-85.781197837388916</v>
      </c>
      <c r="P889" s="310">
        <f t="shared" ca="1" si="395"/>
        <v>23</v>
      </c>
      <c r="Q889" s="304">
        <f t="shared" ca="1" si="396"/>
        <v>0</v>
      </c>
      <c r="R889" s="306">
        <f t="shared" ca="1" si="397"/>
        <v>0</v>
      </c>
      <c r="S889" s="307">
        <f t="shared" ca="1" si="398"/>
        <v>4.341000000000002</v>
      </c>
      <c r="T889" s="304">
        <f t="shared" ca="1" si="378"/>
        <v>42.585210000000025</v>
      </c>
      <c r="U889" s="311">
        <f t="shared" ca="1" si="379"/>
        <v>0</v>
      </c>
      <c r="V889" s="306">
        <f t="shared" ca="1" si="380"/>
        <v>1.2259661529211137</v>
      </c>
      <c r="W889" s="304">
        <f t="shared" ca="1" si="381"/>
        <v>38.805658395486596</v>
      </c>
      <c r="Y889" s="314" t="str">
        <f t="shared" ca="1" si="399"/>
        <v/>
      </c>
      <c r="Z889" s="315" t="str">
        <f t="shared" ca="1" si="400"/>
        <v/>
      </c>
      <c r="AA889" s="316" t="str">
        <f t="shared" ca="1" si="401"/>
        <v/>
      </c>
      <c r="AC889" s="310" t="e">
        <f t="shared" ca="1" si="402"/>
        <v>#N/A</v>
      </c>
      <c r="AD889" s="323" t="e">
        <f t="shared" ca="1" si="403"/>
        <v>#N/A</v>
      </c>
      <c r="AE889" s="324" t="e">
        <f t="shared" ca="1" si="382"/>
        <v>#N/A</v>
      </c>
      <c r="AG889" s="306">
        <f t="shared" ca="1" si="404"/>
        <v>0.84410609161327876</v>
      </c>
      <c r="AH889" s="304">
        <f t="shared" ca="1" si="405"/>
        <v>-8.9393121040898542</v>
      </c>
    </row>
    <row r="890" spans="1:34" x14ac:dyDescent="0.2">
      <c r="A890" s="347">
        <f t="shared" ca="1" si="383"/>
        <v>1E-4</v>
      </c>
      <c r="B890" s="304">
        <f t="shared" ca="1" si="384"/>
        <v>28.651000000000021</v>
      </c>
      <c r="D890" s="306">
        <f t="shared" ca="1" si="385"/>
        <v>-0.65762648200131202</v>
      </c>
      <c r="E890" s="307">
        <f t="shared" ca="1" si="386"/>
        <v>-0.89488592859452964</v>
      </c>
      <c r="F890" s="304">
        <f t="shared" ca="1" si="387"/>
        <v>1.1105374442250544</v>
      </c>
      <c r="G890" s="306">
        <f t="shared" ca="1" si="388"/>
        <v>7.2661970484191896</v>
      </c>
      <c r="H890" s="307">
        <f t="shared" ca="1" si="389"/>
        <v>-98.505188669419326</v>
      </c>
      <c r="I890" s="304">
        <f t="shared" ca="1" si="390"/>
        <v>98.77281920824349</v>
      </c>
      <c r="J890" s="306">
        <f t="shared" ca="1" si="391"/>
        <v>678.53524446899166</v>
      </c>
      <c r="K890" s="307">
        <f t="shared" ca="1" si="392"/>
        <v>-7.8937041527817806</v>
      </c>
      <c r="L890" s="304">
        <f t="shared" ca="1" si="377"/>
        <v>678.58115841205461</v>
      </c>
      <c r="M890" s="306">
        <f t="shared" ca="1" si="393"/>
        <v>-1.4971650692106697</v>
      </c>
      <c r="N890" s="304">
        <f t="shared" ca="1" si="394"/>
        <v>-85.781239700183164</v>
      </c>
      <c r="P890" s="310">
        <f t="shared" ca="1" si="395"/>
        <v>23</v>
      </c>
      <c r="Q890" s="304">
        <f t="shared" ca="1" si="396"/>
        <v>0</v>
      </c>
      <c r="R890" s="306">
        <f t="shared" ca="1" si="397"/>
        <v>0</v>
      </c>
      <c r="S890" s="307">
        <f t="shared" ca="1" si="398"/>
        <v>4.341000000000002</v>
      </c>
      <c r="T890" s="304">
        <f t="shared" ca="1" si="378"/>
        <v>42.585210000000025</v>
      </c>
      <c r="U890" s="311">
        <f t="shared" ca="1" si="379"/>
        <v>0</v>
      </c>
      <c r="V890" s="306">
        <f t="shared" ca="1" si="380"/>
        <v>1.2259673605616201</v>
      </c>
      <c r="W890" s="304">
        <f t="shared" ca="1" si="381"/>
        <v>38.805762945527832</v>
      </c>
      <c r="Y890" s="314" t="str">
        <f t="shared" ca="1" si="399"/>
        <v/>
      </c>
      <c r="Z890" s="315" t="str">
        <f t="shared" ca="1" si="400"/>
        <v/>
      </c>
      <c r="AA890" s="316" t="str">
        <f t="shared" ca="1" si="401"/>
        <v/>
      </c>
      <c r="AC890" s="310" t="e">
        <f t="shared" ca="1" si="402"/>
        <v>#N/A</v>
      </c>
      <c r="AD890" s="323" t="e">
        <f t="shared" ca="1" si="403"/>
        <v>#N/A</v>
      </c>
      <c r="AE890" s="324" t="e">
        <f t="shared" ca="1" si="382"/>
        <v>#N/A</v>
      </c>
      <c r="AG890" s="306">
        <f t="shared" ca="1" si="404"/>
        <v>0.84408253422200019</v>
      </c>
      <c r="AH890" s="304">
        <f t="shared" ca="1" si="405"/>
        <v>-8.9393361887782952</v>
      </c>
    </row>
    <row r="891" spans="1:34" x14ac:dyDescent="0.2">
      <c r="A891" s="347">
        <f t="shared" ca="1" si="383"/>
        <v>1E-4</v>
      </c>
      <c r="B891" s="304">
        <f t="shared" ca="1" si="384"/>
        <v>28.651100000000021</v>
      </c>
      <c r="D891" s="306">
        <f t="shared" ca="1" si="385"/>
        <v>-0.65762173998709772</v>
      </c>
      <c r="E891" s="307">
        <f t="shared" ca="1" si="386"/>
        <v>-0.8948614290422956</v>
      </c>
      <c r="F891" s="304">
        <f t="shared" ca="1" si="387"/>
        <v>1.1105148941330221</v>
      </c>
      <c r="G891" s="306">
        <f t="shared" ca="1" si="388"/>
        <v>7.2661312862451908</v>
      </c>
      <c r="H891" s="307">
        <f t="shared" ca="1" si="389"/>
        <v>-98.505278155562223</v>
      </c>
      <c r="I891" s="304">
        <f t="shared" ca="1" si="390"/>
        <v>98.772903614167561</v>
      </c>
      <c r="J891" s="306">
        <f t="shared" ca="1" si="391"/>
        <v>678.53524446899166</v>
      </c>
      <c r="K891" s="307">
        <f t="shared" ca="1" si="392"/>
        <v>-7.9035546761230293</v>
      </c>
      <c r="L891" s="304">
        <f t="shared" ca="1" si="377"/>
        <v>678.58127307133429</v>
      </c>
      <c r="M891" s="306">
        <f t="shared" ca="1" si="393"/>
        <v>-1.4971657998464019</v>
      </c>
      <c r="N891" s="304">
        <f t="shared" ca="1" si="394"/>
        <v>-85.781281562526985</v>
      </c>
      <c r="P891" s="310">
        <f t="shared" ca="1" si="395"/>
        <v>23</v>
      </c>
      <c r="Q891" s="304">
        <f t="shared" ca="1" si="396"/>
        <v>0</v>
      </c>
      <c r="R891" s="306">
        <f t="shared" ca="1" si="397"/>
        <v>0</v>
      </c>
      <c r="S891" s="307">
        <f t="shared" ca="1" si="398"/>
        <v>4.341000000000002</v>
      </c>
      <c r="T891" s="304">
        <f t="shared" ca="1" si="378"/>
        <v>42.585210000000025</v>
      </c>
      <c r="U891" s="311">
        <f t="shared" ca="1" si="379"/>
        <v>0</v>
      </c>
      <c r="V891" s="306">
        <f t="shared" ca="1" si="380"/>
        <v>1.225968568204413</v>
      </c>
      <c r="W891" s="304">
        <f t="shared" ca="1" si="381"/>
        <v>38.805867493977772</v>
      </c>
      <c r="Y891" s="314" t="str">
        <f t="shared" ca="1" si="399"/>
        <v/>
      </c>
      <c r="Z891" s="315" t="str">
        <f t="shared" ca="1" si="400"/>
        <v/>
      </c>
      <c r="AA891" s="316" t="str">
        <f t="shared" ca="1" si="401"/>
        <v/>
      </c>
      <c r="AC891" s="310" t="e">
        <f t="shared" ca="1" si="402"/>
        <v>#N/A</v>
      </c>
      <c r="AD891" s="323" t="e">
        <f t="shared" ca="1" si="403"/>
        <v>#N/A</v>
      </c>
      <c r="AE891" s="324" t="e">
        <f t="shared" ca="1" si="382"/>
        <v>#N/A</v>
      </c>
      <c r="AG891" s="306">
        <f t="shared" ca="1" si="404"/>
        <v>0.844058977186398</v>
      </c>
      <c r="AH891" s="304">
        <f t="shared" ca="1" si="405"/>
        <v>-8.9393602731001653</v>
      </c>
    </row>
    <row r="892" spans="1:34" x14ac:dyDescent="0.2">
      <c r="A892" s="347">
        <f t="shared" ca="1" si="383"/>
        <v>1E-4</v>
      </c>
      <c r="B892" s="304">
        <f t="shared" ca="1" si="384"/>
        <v>28.651200000000021</v>
      </c>
      <c r="D892" s="306">
        <f t="shared" ca="1" si="385"/>
        <v>-0.65761699798055506</v>
      </c>
      <c r="E892" s="307">
        <f t="shared" ca="1" si="386"/>
        <v>-0.89483692986298102</v>
      </c>
      <c r="F892" s="304">
        <f t="shared" ca="1" si="387"/>
        <v>1.1104923444488768</v>
      </c>
      <c r="G892" s="306">
        <f t="shared" ca="1" si="388"/>
        <v>7.2660655245453931</v>
      </c>
      <c r="H892" s="307">
        <f t="shared" ca="1" si="389"/>
        <v>-98.505367639255212</v>
      </c>
      <c r="I892" s="304">
        <f t="shared" ca="1" si="390"/>
        <v>98.772988017735983</v>
      </c>
      <c r="J892" s="306">
        <f t="shared" ca="1" si="391"/>
        <v>678.53524446899166</v>
      </c>
      <c r="K892" s="307">
        <f t="shared" ca="1" si="392"/>
        <v>-7.9134052084127706</v>
      </c>
      <c r="L892" s="304">
        <f t="shared" ca="1" si="377"/>
        <v>678.58138787369262</v>
      </c>
      <c r="M892" s="306">
        <f t="shared" ca="1" si="393"/>
        <v>-1.4971665304742729</v>
      </c>
      <c r="N892" s="304">
        <f t="shared" ca="1" si="394"/>
        <v>-85.781323424420393</v>
      </c>
      <c r="P892" s="310">
        <f t="shared" ca="1" si="395"/>
        <v>23</v>
      </c>
      <c r="Q892" s="304">
        <f t="shared" ca="1" si="396"/>
        <v>0</v>
      </c>
      <c r="R892" s="306">
        <f t="shared" ca="1" si="397"/>
        <v>0</v>
      </c>
      <c r="S892" s="307">
        <f t="shared" ca="1" si="398"/>
        <v>4.341000000000002</v>
      </c>
      <c r="T892" s="304">
        <f t="shared" ca="1" si="378"/>
        <v>42.585210000000025</v>
      </c>
      <c r="U892" s="311">
        <f t="shared" ca="1" si="379"/>
        <v>0</v>
      </c>
      <c r="V892" s="306">
        <f t="shared" ca="1" si="380"/>
        <v>1.2259697758494934</v>
      </c>
      <c r="W892" s="304">
        <f t="shared" ca="1" si="381"/>
        <v>38.805972040836473</v>
      </c>
      <c r="Y892" s="314" t="str">
        <f t="shared" ca="1" si="399"/>
        <v/>
      </c>
      <c r="Z892" s="315" t="str">
        <f t="shared" ca="1" si="400"/>
        <v/>
      </c>
      <c r="AA892" s="316" t="str">
        <f t="shared" ca="1" si="401"/>
        <v/>
      </c>
      <c r="AC892" s="310" t="e">
        <f t="shared" ca="1" si="402"/>
        <v>#N/A</v>
      </c>
      <c r="AD892" s="323" t="e">
        <f t="shared" ca="1" si="403"/>
        <v>#N/A</v>
      </c>
      <c r="AE892" s="324" t="e">
        <f t="shared" ca="1" si="382"/>
        <v>#N/A</v>
      </c>
      <c r="AG892" s="306">
        <f t="shared" ca="1" si="404"/>
        <v>0.84403542050647218</v>
      </c>
      <c r="AH892" s="304">
        <f t="shared" ca="1" si="405"/>
        <v>-8.9393843570554612</v>
      </c>
    </row>
    <row r="893" spans="1:34" x14ac:dyDescent="0.2">
      <c r="A893" s="347">
        <f t="shared" ca="1" si="383"/>
        <v>1E-4</v>
      </c>
      <c r="B893" s="304">
        <f t="shared" ca="1" si="384"/>
        <v>28.65130000000002</v>
      </c>
      <c r="D893" s="306">
        <f t="shared" ca="1" si="385"/>
        <v>-0.65761225598168094</v>
      </c>
      <c r="E893" s="307">
        <f t="shared" ca="1" si="386"/>
        <v>-0.89481243105657526</v>
      </c>
      <c r="F893" s="304">
        <f t="shared" ca="1" si="387"/>
        <v>1.1104697951726081</v>
      </c>
      <c r="G893" s="306">
        <f t="shared" ca="1" si="388"/>
        <v>7.2659997633197948</v>
      </c>
      <c r="H893" s="307">
        <f t="shared" ca="1" si="389"/>
        <v>-98.50545712049832</v>
      </c>
      <c r="I893" s="304">
        <f t="shared" ca="1" si="390"/>
        <v>98.773072418948757</v>
      </c>
      <c r="J893" s="306">
        <f t="shared" ca="1" si="391"/>
        <v>678.53524446899166</v>
      </c>
      <c r="K893" s="307">
        <f t="shared" ca="1" si="392"/>
        <v>-7.9232557496507585</v>
      </c>
      <c r="L893" s="304">
        <f t="shared" ca="1" si="377"/>
        <v>678.58150281912981</v>
      </c>
      <c r="M893" s="306">
        <f t="shared" ca="1" si="393"/>
        <v>-1.4971672610942828</v>
      </c>
      <c r="N893" s="304">
        <f t="shared" ca="1" si="394"/>
        <v>-85.781365285863373</v>
      </c>
      <c r="P893" s="310">
        <f t="shared" ca="1" si="395"/>
        <v>23</v>
      </c>
      <c r="Q893" s="304">
        <f t="shared" ca="1" si="396"/>
        <v>0</v>
      </c>
      <c r="R893" s="306">
        <f t="shared" ca="1" si="397"/>
        <v>0</v>
      </c>
      <c r="S893" s="307">
        <f t="shared" ca="1" si="398"/>
        <v>4.341000000000002</v>
      </c>
      <c r="T893" s="304">
        <f t="shared" ca="1" si="378"/>
        <v>42.585210000000025</v>
      </c>
      <c r="U893" s="311">
        <f t="shared" ca="1" si="379"/>
        <v>0</v>
      </c>
      <c r="V893" s="306">
        <f t="shared" ca="1" si="380"/>
        <v>1.2259709834968611</v>
      </c>
      <c r="W893" s="304">
        <f t="shared" ca="1" si="381"/>
        <v>38.806076586103927</v>
      </c>
      <c r="Y893" s="314" t="str">
        <f t="shared" ca="1" si="399"/>
        <v/>
      </c>
      <c r="Z893" s="315" t="str">
        <f t="shared" ca="1" si="400"/>
        <v/>
      </c>
      <c r="AA893" s="316" t="str">
        <f t="shared" ca="1" si="401"/>
        <v/>
      </c>
      <c r="AC893" s="310" t="e">
        <f t="shared" ca="1" si="402"/>
        <v>#N/A</v>
      </c>
      <c r="AD893" s="323" t="e">
        <f t="shared" ca="1" si="403"/>
        <v>#N/A</v>
      </c>
      <c r="AE893" s="324" t="e">
        <f t="shared" ca="1" si="382"/>
        <v>#N/A</v>
      </c>
      <c r="AG893" s="306">
        <f t="shared" ca="1" si="404"/>
        <v>0.84401186418221386</v>
      </c>
      <c r="AH893" s="304">
        <f t="shared" ca="1" si="405"/>
        <v>-8.9394084406441952</v>
      </c>
    </row>
    <row r="894" spans="1:34" x14ac:dyDescent="0.2">
      <c r="A894" s="347">
        <f t="shared" ca="1" si="383"/>
        <v>1E-4</v>
      </c>
      <c r="B894" s="304">
        <f t="shared" ca="1" si="384"/>
        <v>28.65140000000002</v>
      </c>
      <c r="D894" s="306">
        <f t="shared" ca="1" si="385"/>
        <v>-0.65760751399047834</v>
      </c>
      <c r="E894" s="307">
        <f t="shared" ca="1" si="386"/>
        <v>-0.89478793262307832</v>
      </c>
      <c r="F894" s="304">
        <f t="shared" ca="1" si="387"/>
        <v>1.1104472463042176</v>
      </c>
      <c r="G894" s="306">
        <f t="shared" ca="1" si="388"/>
        <v>7.2659340025683958</v>
      </c>
      <c r="H894" s="307">
        <f t="shared" ca="1" si="389"/>
        <v>-98.505546599291577</v>
      </c>
      <c r="I894" s="304">
        <f t="shared" ca="1" si="390"/>
        <v>98.77315681780594</v>
      </c>
      <c r="J894" s="306">
        <f t="shared" ca="1" si="391"/>
        <v>678.53524446899166</v>
      </c>
      <c r="K894" s="307">
        <f t="shared" ca="1" si="392"/>
        <v>-7.9331062998367479</v>
      </c>
      <c r="L894" s="304">
        <f t="shared" ca="1" si="377"/>
        <v>678.5816179076462</v>
      </c>
      <c r="M894" s="306">
        <f t="shared" ca="1" si="393"/>
        <v>-1.4971679917064318</v>
      </c>
      <c r="N894" s="304">
        <f t="shared" ca="1" si="394"/>
        <v>-85.781407146855983</v>
      </c>
      <c r="P894" s="310">
        <f t="shared" ca="1" si="395"/>
        <v>23</v>
      </c>
      <c r="Q894" s="304">
        <f t="shared" ca="1" si="396"/>
        <v>0</v>
      </c>
      <c r="R894" s="306">
        <f t="shared" ca="1" si="397"/>
        <v>0</v>
      </c>
      <c r="S894" s="307">
        <f t="shared" ca="1" si="398"/>
        <v>4.341000000000002</v>
      </c>
      <c r="T894" s="304">
        <f t="shared" ca="1" si="378"/>
        <v>42.585210000000025</v>
      </c>
      <c r="U894" s="311">
        <f t="shared" ca="1" si="379"/>
        <v>0</v>
      </c>
      <c r="V894" s="306">
        <f t="shared" ca="1" si="380"/>
        <v>1.2259721911465153</v>
      </c>
      <c r="W894" s="304">
        <f t="shared" ca="1" si="381"/>
        <v>38.80618112978015</v>
      </c>
      <c r="Y894" s="314" t="str">
        <f t="shared" ca="1" si="399"/>
        <v/>
      </c>
      <c r="Z894" s="315" t="str">
        <f t="shared" ca="1" si="400"/>
        <v/>
      </c>
      <c r="AA894" s="316" t="str">
        <f t="shared" ca="1" si="401"/>
        <v/>
      </c>
      <c r="AC894" s="310" t="e">
        <f t="shared" ca="1" si="402"/>
        <v>#N/A</v>
      </c>
      <c r="AD894" s="323" t="e">
        <f t="shared" ca="1" si="403"/>
        <v>#N/A</v>
      </c>
      <c r="AE894" s="324" t="e">
        <f t="shared" ca="1" si="382"/>
        <v>#N/A</v>
      </c>
      <c r="AG894" s="306">
        <f t="shared" ca="1" si="404"/>
        <v>0.84398830821361948</v>
      </c>
      <c r="AH894" s="304">
        <f t="shared" ca="1" si="405"/>
        <v>-8.939432523866369</v>
      </c>
    </row>
    <row r="895" spans="1:34" x14ac:dyDescent="0.2">
      <c r="A895" s="347">
        <f t="shared" ca="1" si="383"/>
        <v>1E-4</v>
      </c>
      <c r="B895" s="304">
        <f t="shared" ca="1" si="384"/>
        <v>28.65150000000002</v>
      </c>
      <c r="D895" s="306">
        <f t="shared" ca="1" si="385"/>
        <v>-0.65760277200694539</v>
      </c>
      <c r="E895" s="307">
        <f t="shared" ca="1" si="386"/>
        <v>-0.89476343456248486</v>
      </c>
      <c r="F895" s="304">
        <f t="shared" ca="1" si="387"/>
        <v>1.1104246978437</v>
      </c>
      <c r="G895" s="306">
        <f t="shared" ca="1" si="388"/>
        <v>7.2658682422911953</v>
      </c>
      <c r="H895" s="307">
        <f t="shared" ca="1" si="389"/>
        <v>-98.505636075635039</v>
      </c>
      <c r="I895" s="304">
        <f t="shared" ca="1" si="390"/>
        <v>98.773241214307561</v>
      </c>
      <c r="J895" s="306">
        <f t="shared" ca="1" si="391"/>
        <v>678.53524446899166</v>
      </c>
      <c r="K895" s="307">
        <f t="shared" ca="1" si="392"/>
        <v>-7.9429568589704944</v>
      </c>
      <c r="L895" s="304">
        <f t="shared" ca="1" si="377"/>
        <v>678.58173313924226</v>
      </c>
      <c r="M895" s="306">
        <f t="shared" ca="1" si="393"/>
        <v>-1.4971687223107197</v>
      </c>
      <c r="N895" s="304">
        <f t="shared" ca="1" si="394"/>
        <v>-85.78144900739818</v>
      </c>
      <c r="P895" s="310">
        <f t="shared" ca="1" si="395"/>
        <v>23</v>
      </c>
      <c r="Q895" s="304">
        <f t="shared" ca="1" si="396"/>
        <v>0</v>
      </c>
      <c r="R895" s="306">
        <f t="shared" ca="1" si="397"/>
        <v>0</v>
      </c>
      <c r="S895" s="307">
        <f t="shared" ca="1" si="398"/>
        <v>4.341000000000002</v>
      </c>
      <c r="T895" s="304">
        <f t="shared" ca="1" si="378"/>
        <v>42.585210000000025</v>
      </c>
      <c r="U895" s="311">
        <f t="shared" ca="1" si="379"/>
        <v>0</v>
      </c>
      <c r="V895" s="306">
        <f t="shared" ca="1" si="380"/>
        <v>1.2259733987984569</v>
      </c>
      <c r="W895" s="304">
        <f t="shared" ca="1" si="381"/>
        <v>38.806285671865162</v>
      </c>
      <c r="Y895" s="314" t="str">
        <f t="shared" ca="1" si="399"/>
        <v/>
      </c>
      <c r="Z895" s="315" t="str">
        <f t="shared" ca="1" si="400"/>
        <v/>
      </c>
      <c r="AA895" s="316" t="str">
        <f t="shared" ca="1" si="401"/>
        <v/>
      </c>
      <c r="AC895" s="310" t="e">
        <f t="shared" ca="1" si="402"/>
        <v>#N/A</v>
      </c>
      <c r="AD895" s="323" t="e">
        <f t="shared" ca="1" si="403"/>
        <v>#N/A</v>
      </c>
      <c r="AE895" s="324" t="e">
        <f t="shared" ca="1" si="382"/>
        <v>#N/A</v>
      </c>
      <c r="AG895" s="306">
        <f t="shared" ca="1" si="404"/>
        <v>0.84396475260068904</v>
      </c>
      <c r="AH895" s="304">
        <f t="shared" ca="1" si="405"/>
        <v>-8.9394566067219845</v>
      </c>
    </row>
    <row r="896" spans="1:34" x14ac:dyDescent="0.2">
      <c r="A896" s="347">
        <f t="shared" ca="1" si="383"/>
        <v>1E-4</v>
      </c>
      <c r="B896" s="304">
        <f t="shared" ca="1" si="384"/>
        <v>28.65160000000002</v>
      </c>
      <c r="D896" s="306">
        <f t="shared" ca="1" si="385"/>
        <v>-0.6575980300310853</v>
      </c>
      <c r="E896" s="307">
        <f t="shared" ca="1" si="386"/>
        <v>-0.89473893687479134</v>
      </c>
      <c r="F896" s="304">
        <f t="shared" ca="1" si="387"/>
        <v>1.1104021497910548</v>
      </c>
      <c r="G896" s="306">
        <f t="shared" ca="1" si="388"/>
        <v>7.2658024824881924</v>
      </c>
      <c r="H896" s="307">
        <f t="shared" ca="1" si="389"/>
        <v>-98.505725549528719</v>
      </c>
      <c r="I896" s="304">
        <f t="shared" ca="1" si="390"/>
        <v>98.773325608453661</v>
      </c>
      <c r="J896" s="306">
        <f t="shared" ca="1" si="391"/>
        <v>678.53524446899166</v>
      </c>
      <c r="K896" s="307">
        <f t="shared" ca="1" si="392"/>
        <v>-7.952807427051753</v>
      </c>
      <c r="L896" s="304">
        <f t="shared" ca="1" si="377"/>
        <v>678.58184851391809</v>
      </c>
      <c r="M896" s="306">
        <f t="shared" ca="1" si="393"/>
        <v>-1.4971694529071466</v>
      </c>
      <c r="N896" s="304">
        <f t="shared" ca="1" si="394"/>
        <v>-85.781490867489964</v>
      </c>
      <c r="P896" s="310">
        <f t="shared" ca="1" si="395"/>
        <v>23</v>
      </c>
      <c r="Q896" s="304">
        <f t="shared" ca="1" si="396"/>
        <v>0</v>
      </c>
      <c r="R896" s="306">
        <f t="shared" ca="1" si="397"/>
        <v>0</v>
      </c>
      <c r="S896" s="307">
        <f t="shared" ca="1" si="398"/>
        <v>4.341000000000002</v>
      </c>
      <c r="T896" s="304">
        <f t="shared" ca="1" si="378"/>
        <v>42.585210000000025</v>
      </c>
      <c r="U896" s="311">
        <f t="shared" ca="1" si="379"/>
        <v>0</v>
      </c>
      <c r="V896" s="306">
        <f t="shared" ca="1" si="380"/>
        <v>1.225974606452686</v>
      </c>
      <c r="W896" s="304">
        <f t="shared" ca="1" si="381"/>
        <v>38.806390212359027</v>
      </c>
      <c r="Y896" s="314" t="str">
        <f t="shared" ca="1" si="399"/>
        <v/>
      </c>
      <c r="Z896" s="315" t="str">
        <f t="shared" ca="1" si="400"/>
        <v/>
      </c>
      <c r="AA896" s="316" t="str">
        <f t="shared" ca="1" si="401"/>
        <v/>
      </c>
      <c r="AC896" s="310" t="e">
        <f t="shared" ca="1" si="402"/>
        <v>#N/A</v>
      </c>
      <c r="AD896" s="323" t="e">
        <f t="shared" ca="1" si="403"/>
        <v>#N/A</v>
      </c>
      <c r="AE896" s="324" t="e">
        <f t="shared" ca="1" si="382"/>
        <v>#N/A</v>
      </c>
      <c r="AG896" s="306">
        <f t="shared" ca="1" si="404"/>
        <v>0.84394119734341544</v>
      </c>
      <c r="AH896" s="304">
        <f t="shared" ca="1" si="405"/>
        <v>-8.9394806892110452</v>
      </c>
    </row>
    <row r="897" spans="1:34" x14ac:dyDescent="0.2">
      <c r="A897" s="347">
        <f t="shared" ca="1" si="383"/>
        <v>1E-4</v>
      </c>
      <c r="B897" s="304">
        <f t="shared" ca="1" si="384"/>
        <v>28.651700000000019</v>
      </c>
      <c r="D897" s="306">
        <f t="shared" ca="1" si="385"/>
        <v>-0.65759328806290052</v>
      </c>
      <c r="E897" s="307">
        <f t="shared" ca="1" si="386"/>
        <v>-0.89471443955998708</v>
      </c>
      <c r="F897" s="304">
        <f t="shared" ca="1" si="387"/>
        <v>1.1103796021462744</v>
      </c>
      <c r="G897" s="306">
        <f t="shared" ca="1" si="388"/>
        <v>7.2657367231593861</v>
      </c>
      <c r="H897" s="307">
        <f t="shared" ca="1" si="389"/>
        <v>-98.505815020972676</v>
      </c>
      <c r="I897" s="304">
        <f t="shared" ca="1" si="390"/>
        <v>98.773410000244255</v>
      </c>
      <c r="J897" s="306">
        <f t="shared" ca="1" si="391"/>
        <v>678.53524446899166</v>
      </c>
      <c r="K897" s="307">
        <f t="shared" ca="1" si="392"/>
        <v>-7.9626580040802777</v>
      </c>
      <c r="L897" s="304">
        <f t="shared" ca="1" si="377"/>
        <v>678.58196403167415</v>
      </c>
      <c r="M897" s="306">
        <f t="shared" ca="1" si="393"/>
        <v>-1.4971701834957132</v>
      </c>
      <c r="N897" s="304">
        <f t="shared" ca="1" si="394"/>
        <v>-85.781532727131392</v>
      </c>
      <c r="P897" s="310">
        <f t="shared" ca="1" si="395"/>
        <v>23</v>
      </c>
      <c r="Q897" s="304">
        <f t="shared" ca="1" si="396"/>
        <v>0</v>
      </c>
      <c r="R897" s="306">
        <f t="shared" ca="1" si="397"/>
        <v>0</v>
      </c>
      <c r="S897" s="307">
        <f t="shared" ca="1" si="398"/>
        <v>4.341000000000002</v>
      </c>
      <c r="T897" s="304">
        <f t="shared" ca="1" si="378"/>
        <v>42.585210000000025</v>
      </c>
      <c r="U897" s="311">
        <f t="shared" ca="1" si="379"/>
        <v>0</v>
      </c>
      <c r="V897" s="306">
        <f t="shared" ca="1" si="380"/>
        <v>1.2259758141092012</v>
      </c>
      <c r="W897" s="304">
        <f t="shared" ca="1" si="381"/>
        <v>38.806494751261667</v>
      </c>
      <c r="Y897" s="314" t="str">
        <f t="shared" ca="1" si="399"/>
        <v/>
      </c>
      <c r="Z897" s="315" t="str">
        <f t="shared" ca="1" si="400"/>
        <v/>
      </c>
      <c r="AA897" s="316" t="str">
        <f t="shared" ca="1" si="401"/>
        <v/>
      </c>
      <c r="AC897" s="310" t="e">
        <f t="shared" ca="1" si="402"/>
        <v>#N/A</v>
      </c>
      <c r="AD897" s="323" t="e">
        <f t="shared" ca="1" si="403"/>
        <v>#N/A</v>
      </c>
      <c r="AE897" s="324" t="e">
        <f t="shared" ca="1" si="382"/>
        <v>#N/A</v>
      </c>
      <c r="AG897" s="306">
        <f t="shared" ca="1" si="404"/>
        <v>0.84391764244179157</v>
      </c>
      <c r="AH897" s="304">
        <f t="shared" ca="1" si="405"/>
        <v>-8.9395047713335654</v>
      </c>
    </row>
    <row r="898" spans="1:34" x14ac:dyDescent="0.2">
      <c r="A898" s="347">
        <f t="shared" ca="1" si="383"/>
        <v>1E-4</v>
      </c>
      <c r="B898" s="304">
        <f t="shared" ca="1" si="384"/>
        <v>28.651800000000019</v>
      </c>
      <c r="D898" s="306">
        <f t="shared" ca="1" si="385"/>
        <v>-0.6575885461023856</v>
      </c>
      <c r="E898" s="307">
        <f t="shared" ca="1" si="386"/>
        <v>-0.89468994261808277</v>
      </c>
      <c r="F898" s="304">
        <f t="shared" ca="1" si="387"/>
        <v>1.1103570549093644</v>
      </c>
      <c r="G898" s="306">
        <f t="shared" ca="1" si="388"/>
        <v>7.2656709643047757</v>
      </c>
      <c r="H898" s="307">
        <f t="shared" ca="1" si="389"/>
        <v>-98.505904489966937</v>
      </c>
      <c r="I898" s="304">
        <f t="shared" ca="1" si="390"/>
        <v>98.773494389679414</v>
      </c>
      <c r="J898" s="306">
        <f t="shared" ca="1" si="391"/>
        <v>678.53524446899166</v>
      </c>
      <c r="K898" s="307">
        <f t="shared" ca="1" si="392"/>
        <v>-7.972508590055825</v>
      </c>
      <c r="L898" s="304">
        <f t="shared" ca="1" si="377"/>
        <v>678.58207969251055</v>
      </c>
      <c r="M898" s="306">
        <f t="shared" ca="1" si="393"/>
        <v>-1.4971709140764189</v>
      </c>
      <c r="N898" s="304">
        <f t="shared" ca="1" si="394"/>
        <v>-85.781574586322421</v>
      </c>
      <c r="P898" s="310">
        <f t="shared" ca="1" si="395"/>
        <v>23</v>
      </c>
      <c r="Q898" s="304">
        <f t="shared" ca="1" si="396"/>
        <v>0</v>
      </c>
      <c r="R898" s="306">
        <f t="shared" ca="1" si="397"/>
        <v>0</v>
      </c>
      <c r="S898" s="307">
        <f t="shared" ca="1" si="398"/>
        <v>4.341000000000002</v>
      </c>
      <c r="T898" s="304">
        <f t="shared" ca="1" si="378"/>
        <v>42.585210000000025</v>
      </c>
      <c r="U898" s="311">
        <f t="shared" ca="1" si="379"/>
        <v>0</v>
      </c>
      <c r="V898" s="306">
        <f t="shared" ca="1" si="380"/>
        <v>1.2259770217680039</v>
      </c>
      <c r="W898" s="304">
        <f t="shared" ca="1" si="381"/>
        <v>38.806599288573189</v>
      </c>
      <c r="Y898" s="314" t="str">
        <f t="shared" ca="1" si="399"/>
        <v/>
      </c>
      <c r="Z898" s="315" t="str">
        <f t="shared" ca="1" si="400"/>
        <v/>
      </c>
      <c r="AA898" s="316" t="str">
        <f t="shared" ca="1" si="401"/>
        <v/>
      </c>
      <c r="AC898" s="310" t="e">
        <f t="shared" ca="1" si="402"/>
        <v>#N/A</v>
      </c>
      <c r="AD898" s="323" t="e">
        <f t="shared" ca="1" si="403"/>
        <v>#N/A</v>
      </c>
      <c r="AE898" s="324" t="e">
        <f t="shared" ca="1" si="382"/>
        <v>#N/A</v>
      </c>
      <c r="AG898" s="306">
        <f t="shared" ca="1" si="404"/>
        <v>0.84389408789582454</v>
      </c>
      <c r="AH898" s="304">
        <f t="shared" ca="1" si="405"/>
        <v>-8.9395288530895307</v>
      </c>
    </row>
    <row r="899" spans="1:34" x14ac:dyDescent="0.2">
      <c r="A899" s="347">
        <f t="shared" ca="1" si="383"/>
        <v>1E-4</v>
      </c>
      <c r="B899" s="304">
        <f t="shared" ca="1" si="384"/>
        <v>28.651900000000019</v>
      </c>
      <c r="D899" s="306">
        <f t="shared" ca="1" si="385"/>
        <v>-0.6575838041495472</v>
      </c>
      <c r="E899" s="307">
        <f t="shared" ca="1" si="386"/>
        <v>-0.89466544604906062</v>
      </c>
      <c r="F899" s="304">
        <f t="shared" ca="1" si="387"/>
        <v>1.1103345080803149</v>
      </c>
      <c r="G899" s="306">
        <f t="shared" ca="1" si="388"/>
        <v>7.265605205924361</v>
      </c>
      <c r="H899" s="307">
        <f t="shared" ca="1" si="389"/>
        <v>-98.505993956511546</v>
      </c>
      <c r="I899" s="304">
        <f t="shared" ca="1" si="390"/>
        <v>98.773578776759138</v>
      </c>
      <c r="J899" s="306">
        <f t="shared" ca="1" si="391"/>
        <v>678.53524446899166</v>
      </c>
      <c r="K899" s="307">
        <f t="shared" ca="1" si="392"/>
        <v>-7.982359184978149</v>
      </c>
      <c r="L899" s="304">
        <f t="shared" ca="1" si="377"/>
        <v>678.58219549642786</v>
      </c>
      <c r="M899" s="306">
        <f t="shared" ca="1" si="393"/>
        <v>-1.4971716446492642</v>
      </c>
      <c r="N899" s="304">
        <f t="shared" ca="1" si="394"/>
        <v>-85.781616445063079</v>
      </c>
      <c r="P899" s="310">
        <f t="shared" ca="1" si="395"/>
        <v>23</v>
      </c>
      <c r="Q899" s="304">
        <f t="shared" ca="1" si="396"/>
        <v>0</v>
      </c>
      <c r="R899" s="306">
        <f t="shared" ca="1" si="397"/>
        <v>0</v>
      </c>
      <c r="S899" s="307">
        <f t="shared" ca="1" si="398"/>
        <v>4.341000000000002</v>
      </c>
      <c r="T899" s="304">
        <f t="shared" ca="1" si="378"/>
        <v>42.585210000000025</v>
      </c>
      <c r="U899" s="311">
        <f t="shared" ca="1" si="379"/>
        <v>0</v>
      </c>
      <c r="V899" s="306">
        <f t="shared" ca="1" si="380"/>
        <v>1.2259782294290933</v>
      </c>
      <c r="W899" s="304">
        <f t="shared" ca="1" si="381"/>
        <v>38.806703824293542</v>
      </c>
      <c r="Y899" s="314" t="str">
        <f t="shared" ca="1" si="399"/>
        <v/>
      </c>
      <c r="Z899" s="315" t="str">
        <f t="shared" ca="1" si="400"/>
        <v/>
      </c>
      <c r="AA899" s="316" t="str">
        <f t="shared" ca="1" si="401"/>
        <v/>
      </c>
      <c r="AC899" s="310" t="e">
        <f t="shared" ca="1" si="402"/>
        <v>#N/A</v>
      </c>
      <c r="AD899" s="323" t="e">
        <f t="shared" ca="1" si="403"/>
        <v>#N/A</v>
      </c>
      <c r="AE899" s="324" t="e">
        <f t="shared" ca="1" si="382"/>
        <v>#N/A</v>
      </c>
      <c r="AG899" s="306">
        <f t="shared" ca="1" si="404"/>
        <v>0.84387053370550014</v>
      </c>
      <c r="AH899" s="304">
        <f t="shared" ca="1" si="405"/>
        <v>-8.9395529344789608</v>
      </c>
    </row>
    <row r="900" spans="1:34" x14ac:dyDescent="0.2">
      <c r="A900" s="347">
        <f t="shared" ca="1" si="383"/>
        <v>1E-4</v>
      </c>
      <c r="B900" s="304">
        <f t="shared" ca="1" si="384"/>
        <v>28.652000000000019</v>
      </c>
      <c r="D900" s="306">
        <f t="shared" ca="1" si="385"/>
        <v>-0.65757906220438223</v>
      </c>
      <c r="E900" s="307">
        <f t="shared" ca="1" si="386"/>
        <v>-0.89464094985292597</v>
      </c>
      <c r="F900" s="304">
        <f t="shared" ca="1" si="387"/>
        <v>1.1103119616591277</v>
      </c>
      <c r="G900" s="306">
        <f t="shared" ca="1" si="388"/>
        <v>7.2655394480181403</v>
      </c>
      <c r="H900" s="307">
        <f t="shared" ca="1" si="389"/>
        <v>-98.506083420606529</v>
      </c>
      <c r="I900" s="304">
        <f t="shared" ca="1" si="390"/>
        <v>98.773663161483483</v>
      </c>
      <c r="J900" s="306">
        <f t="shared" ca="1" si="391"/>
        <v>678.53524446899166</v>
      </c>
      <c r="K900" s="307">
        <f t="shared" ca="1" si="392"/>
        <v>-7.9922097888470045</v>
      </c>
      <c r="L900" s="304">
        <f t="shared" ref="L900:L963" ca="1" si="406">SQRT(pos_x^2+pos_z^2)</f>
        <v>678.58231144342631</v>
      </c>
      <c r="M900" s="306">
        <f t="shared" ca="1" si="393"/>
        <v>-1.497172375214249</v>
      </c>
      <c r="N900" s="304">
        <f t="shared" ca="1" si="394"/>
        <v>-85.781658303353368</v>
      </c>
      <c r="P900" s="310">
        <f t="shared" ca="1" si="395"/>
        <v>23</v>
      </c>
      <c r="Q900" s="304">
        <f t="shared" ca="1" si="396"/>
        <v>0</v>
      </c>
      <c r="R900" s="306">
        <f t="shared" ca="1" si="397"/>
        <v>0</v>
      </c>
      <c r="S900" s="307">
        <f t="shared" ca="1" si="398"/>
        <v>4.341000000000002</v>
      </c>
      <c r="T900" s="304">
        <f t="shared" ref="T900:T963" ca="1" si="407">m*g</f>
        <v>42.585210000000025</v>
      </c>
      <c r="U900" s="311">
        <f t="shared" ref="U900:U963" ca="1" si="408">IF(pos_xz&lt;L_rampe,Poids*COS(Beta),0)</f>
        <v>0</v>
      </c>
      <c r="V900" s="306">
        <f t="shared" ref="V900:V963" ca="1" si="409">Rho_moyen*(20000-Alt_rampe-pos_z)/(20000+Alt_rampe+pos_z)</f>
        <v>1.2259794370924699</v>
      </c>
      <c r="W900" s="304">
        <f t="shared" ref="W900:W963" ca="1" si="410">1/2*Rho*Sref*Cx*vit_xz^2</f>
        <v>38.806808358422806</v>
      </c>
      <c r="Y900" s="314" t="str">
        <f t="shared" ca="1" si="399"/>
        <v/>
      </c>
      <c r="Z900" s="315" t="str">
        <f t="shared" ca="1" si="400"/>
        <v/>
      </c>
      <c r="AA900" s="316" t="str">
        <f t="shared" ca="1" si="401"/>
        <v/>
      </c>
      <c r="AC900" s="310" t="e">
        <f t="shared" ca="1" si="402"/>
        <v>#N/A</v>
      </c>
      <c r="AD900" s="323" t="e">
        <f t="shared" ca="1" si="403"/>
        <v>#N/A</v>
      </c>
      <c r="AE900" s="324" t="e">
        <f t="shared" ref="AE900:AE963" ca="1" si="411">IF(t&lt;T_para, pos_z, NA())</f>
        <v>#N/A</v>
      </c>
      <c r="AG900" s="306">
        <f t="shared" ca="1" si="404"/>
        <v>0.84384697987082546</v>
      </c>
      <c r="AH900" s="304">
        <f t="shared" ca="1" si="405"/>
        <v>-8.9395770155018486</v>
      </c>
    </row>
    <row r="901" spans="1:34" x14ac:dyDescent="0.2">
      <c r="A901" s="347">
        <f t="shared" ref="A901:A964" ca="1" si="412">IF(B900+0.01&lt;=T_ini+ROUNDUP(Temps_fin_propu,0), 0.01, IF(K900&gt;0, 0.1, 0.0001))</f>
        <v>1E-4</v>
      </c>
      <c r="B901" s="304">
        <f t="shared" ref="B901:B964" ca="1" si="413">B900+pas</f>
        <v>28.652100000000019</v>
      </c>
      <c r="D901" s="306">
        <f t="shared" ref="D901:D964" ca="1" si="414">IF(AND(L900&lt;L_rampe,Poussee&lt;Poids*SIN(M900)),0,(-W900+Poussee)/m*COS(M900)-U900/m*SIN(M900))</f>
        <v>-0.65757432026689522</v>
      </c>
      <c r="E901" s="307">
        <f t="shared" ref="E901:E964" ca="1" si="415">IF(AND(L900&lt;L_rampe,Poussee&lt;Poids*SIN(M900)),0,(-W900+Poussee)/m*SIN(M900)+U900/m*COS(M900)-Poids/m)</f>
        <v>-0.89461645402966461</v>
      </c>
      <c r="F901" s="304">
        <f t="shared" ref="F901:F964" ca="1" si="416">SQRT(acc_x^2+acc_z^2)</f>
        <v>1.1102894156457948</v>
      </c>
      <c r="G901" s="306">
        <f t="shared" ref="G901:G964" ca="1" si="417">G900+acc_x*pas</f>
        <v>7.2654736905861137</v>
      </c>
      <c r="H901" s="307">
        <f t="shared" ref="H901:H964" ca="1" si="418">H900+acc_z*pas</f>
        <v>-98.506172882251931</v>
      </c>
      <c r="I901" s="304">
        <f t="shared" ref="I901:I964" ca="1" si="419">SQRT(vit_x^2+vit_z^2)</f>
        <v>98.773747543852494</v>
      </c>
      <c r="J901" s="306">
        <f t="shared" ref="J901:J964" ca="1" si="420">J900+0.5*(vit_x+G900)*pas*(K900&gt;=0)</f>
        <v>678.53524446899166</v>
      </c>
      <c r="K901" s="307">
        <f t="shared" ref="K901:K964" ca="1" si="421">K900+0.5*(vit_z+H900)*pas</f>
        <v>-8.0020604016621473</v>
      </c>
      <c r="L901" s="304">
        <f t="shared" ca="1" si="406"/>
        <v>678.58242753350612</v>
      </c>
      <c r="M901" s="306">
        <f t="shared" ref="M901:M964" ca="1" si="422">IF(AND(L900&gt;L_rampe,G901&gt;0),ATAN2(G901,H901),$M$4)</f>
        <v>-1.4971731057713737</v>
      </c>
      <c r="N901" s="304">
        <f t="shared" ref="N901:N964" ca="1" si="423">DEGREES(Beta)</f>
        <v>-85.781700161193314</v>
      </c>
      <c r="P901" s="310">
        <f t="shared" ref="P901:P964" ca="1" si="424">MATCH(t-pas/2-T_ini,CdP_t)</f>
        <v>23</v>
      </c>
      <c r="Q901" s="304">
        <f t="shared" ref="Q901:Q964" ca="1" si="425">(INDEX(CdP,2,i_P+1)-INDEX(CdP,2,i_P+0))/(INDEX(CdP,1,i_P+1)-INDEX(CdP,1,i_P+0))*(t-pas/2-T_ini-INDEX(CdP,1,i_P+0))+INDEX(CdP,2,i_P+0)</f>
        <v>0</v>
      </c>
      <c r="R901" s="306">
        <f t="shared" ref="R901:R964" ca="1" si="426">Poussee/(g*ISP)</f>
        <v>0</v>
      </c>
      <c r="S901" s="307">
        <f t="shared" ref="S901:S964" ca="1" si="427">S900-Débit*pas</f>
        <v>4.341000000000002</v>
      </c>
      <c r="T901" s="304">
        <f t="shared" ca="1" si="407"/>
        <v>42.585210000000025</v>
      </c>
      <c r="U901" s="311">
        <f t="shared" ca="1" si="408"/>
        <v>0</v>
      </c>
      <c r="V901" s="306">
        <f t="shared" ca="1" si="409"/>
        <v>1.225980644758133</v>
      </c>
      <c r="W901" s="304">
        <f t="shared" ca="1" si="410"/>
        <v>38.806912890960959</v>
      </c>
      <c r="Y901" s="314" t="str">
        <f t="shared" ref="Y901:Y964" ca="1" si="428">IF(AND(pos_z&lt;=0,K900&gt;0),"Impact balistique","") &amp; IF(AND(H902&lt;0,vit_z&gt;=0),"Apogée","") &amp; IF(AND(Poussee=0,Q900&gt;0),"Fin de propulsion","") &amp; IF(AND(L902&gt;L_rampe,pos_xz&lt;=L_rampe),"Sortie de rampe","")</f>
        <v/>
      </c>
      <c r="Z901" s="315" t="str">
        <f t="shared" ref="Z901:Z964" ca="1" si="429">IF(ABS(t-T_para)&lt;pas/2,"Para","")</f>
        <v/>
      </c>
      <c r="AA901" s="316" t="str">
        <f t="shared" ref="AA901:AA964" ca="1" si="430">IF(ABS(t-T_satellite)&lt;pas/2,"Satellite","")</f>
        <v/>
      </c>
      <c r="AC901" s="310" t="e">
        <f t="shared" ref="AC901:AC964" ca="1" si="431">IF(ABS(t-ROUND(t,0))&lt;0.001,t,NA())</f>
        <v>#N/A</v>
      </c>
      <c r="AD901" s="323" t="e">
        <f t="shared" ref="AD901:AD964" ca="1" si="432">IF(ABS(t-ROUND(t,0))&lt;0.001,pos_x,NA())</f>
        <v>#N/A</v>
      </c>
      <c r="AE901" s="324" t="e">
        <f t="shared" ca="1" si="411"/>
        <v>#N/A</v>
      </c>
      <c r="AG901" s="306">
        <f t="shared" ref="AG901:AG964" ca="1" si="433">IF(AND(L900&lt;L_rampe,Poussee&lt;Poids*SIN(M900)),0,(-W900+Poussee)/m-Poids*SIN(M900)/m)</f>
        <v>0.84382342639177921</v>
      </c>
      <c r="AH901" s="304">
        <f t="shared" ref="AH901:AH964" ca="1" si="434">IF(AND(L900&lt;L_rampe,Poussee&lt;Poids*SIN(M900)), g*SIN(M900), (-W900+Poussee)/m)</f>
        <v>-8.93960109615821</v>
      </c>
    </row>
    <row r="902" spans="1:34" x14ac:dyDescent="0.2">
      <c r="A902" s="347">
        <f t="shared" ca="1" si="412"/>
        <v>1E-4</v>
      </c>
      <c r="B902" s="304">
        <f t="shared" ca="1" si="413"/>
        <v>28.652200000000018</v>
      </c>
      <c r="D902" s="306">
        <f t="shared" ca="1" si="414"/>
        <v>-0.65756957833708141</v>
      </c>
      <c r="E902" s="307">
        <f t="shared" ca="1" si="415"/>
        <v>-0.89459195857928009</v>
      </c>
      <c r="F902" s="304">
        <f t="shared" ca="1" si="416"/>
        <v>1.1102668700403158</v>
      </c>
      <c r="G902" s="306">
        <f t="shared" ca="1" si="417"/>
        <v>7.2654079336282802</v>
      </c>
      <c r="H902" s="307">
        <f t="shared" ca="1" si="418"/>
        <v>-98.506262341447794</v>
      </c>
      <c r="I902" s="304">
        <f t="shared" ca="1" si="419"/>
        <v>98.773831923866183</v>
      </c>
      <c r="J902" s="306">
        <f t="shared" ca="1" si="420"/>
        <v>678.53524446899166</v>
      </c>
      <c r="K902" s="307">
        <f t="shared" ca="1" si="421"/>
        <v>-8.0119110234233322</v>
      </c>
      <c r="L902" s="304">
        <f t="shared" ca="1" si="406"/>
        <v>678.58254376666775</v>
      </c>
      <c r="M902" s="306">
        <f t="shared" ca="1" si="422"/>
        <v>-1.4971738363206382</v>
      </c>
      <c r="N902" s="304">
        <f t="shared" ca="1" si="423"/>
        <v>-85.781742018582889</v>
      </c>
      <c r="P902" s="310">
        <f t="shared" ca="1" si="424"/>
        <v>23</v>
      </c>
      <c r="Q902" s="304">
        <f t="shared" ca="1" si="425"/>
        <v>0</v>
      </c>
      <c r="R902" s="306">
        <f t="shared" ca="1" si="426"/>
        <v>0</v>
      </c>
      <c r="S902" s="307">
        <f t="shared" ca="1" si="427"/>
        <v>4.341000000000002</v>
      </c>
      <c r="T902" s="304">
        <f t="shared" ca="1" si="407"/>
        <v>42.585210000000025</v>
      </c>
      <c r="U902" s="311">
        <f t="shared" ca="1" si="408"/>
        <v>0</v>
      </c>
      <c r="V902" s="306">
        <f t="shared" ca="1" si="409"/>
        <v>1.2259818524260833</v>
      </c>
      <c r="W902" s="304">
        <f t="shared" ca="1" si="410"/>
        <v>38.807017421908036</v>
      </c>
      <c r="Y902" s="314" t="str">
        <f t="shared" ca="1" si="428"/>
        <v/>
      </c>
      <c r="Z902" s="315" t="str">
        <f t="shared" ca="1" si="429"/>
        <v/>
      </c>
      <c r="AA902" s="316" t="str">
        <f t="shared" ca="1" si="430"/>
        <v/>
      </c>
      <c r="AC902" s="310" t="e">
        <f t="shared" ca="1" si="431"/>
        <v>#N/A</v>
      </c>
      <c r="AD902" s="323" t="e">
        <f t="shared" ca="1" si="432"/>
        <v>#N/A</v>
      </c>
      <c r="AE902" s="324" t="e">
        <f t="shared" ca="1" si="411"/>
        <v>#N/A</v>
      </c>
      <c r="AG902" s="306">
        <f t="shared" ca="1" si="433"/>
        <v>0.84379987326837558</v>
      </c>
      <c r="AH902" s="304">
        <f t="shared" ca="1" si="434"/>
        <v>-8.9396251764480397</v>
      </c>
    </row>
    <row r="903" spans="1:34" x14ac:dyDescent="0.2">
      <c r="A903" s="347">
        <f t="shared" ca="1" si="412"/>
        <v>1E-4</v>
      </c>
      <c r="B903" s="304">
        <f t="shared" ca="1" si="413"/>
        <v>28.652300000000018</v>
      </c>
      <c r="D903" s="306">
        <f t="shared" ca="1" si="414"/>
        <v>-0.65756483641494645</v>
      </c>
      <c r="E903" s="307">
        <f t="shared" ca="1" si="415"/>
        <v>-0.8945674635017653</v>
      </c>
      <c r="F903" s="304">
        <f t="shared" ca="1" si="416"/>
        <v>1.1102443248426885</v>
      </c>
      <c r="G903" s="306">
        <f t="shared" ca="1" si="417"/>
        <v>7.2653421771446389</v>
      </c>
      <c r="H903" s="307">
        <f t="shared" ca="1" si="418"/>
        <v>-98.506351798194146</v>
      </c>
      <c r="I903" s="304">
        <f t="shared" ca="1" si="419"/>
        <v>98.773916301524594</v>
      </c>
      <c r="J903" s="306">
        <f t="shared" ca="1" si="420"/>
        <v>678.53524446899166</v>
      </c>
      <c r="K903" s="307">
        <f t="shared" ca="1" si="421"/>
        <v>-8.0217616541303141</v>
      </c>
      <c r="L903" s="304">
        <f t="shared" ca="1" si="406"/>
        <v>678.58266014291144</v>
      </c>
      <c r="M903" s="306">
        <f t="shared" ca="1" si="422"/>
        <v>-1.4971745668620424</v>
      </c>
      <c r="N903" s="304">
        <f t="shared" ca="1" si="423"/>
        <v>-85.781783875522109</v>
      </c>
      <c r="P903" s="310">
        <f t="shared" ca="1" si="424"/>
        <v>23</v>
      </c>
      <c r="Q903" s="304">
        <f t="shared" ca="1" si="425"/>
        <v>0</v>
      </c>
      <c r="R903" s="306">
        <f t="shared" ca="1" si="426"/>
        <v>0</v>
      </c>
      <c r="S903" s="307">
        <f t="shared" ca="1" si="427"/>
        <v>4.341000000000002</v>
      </c>
      <c r="T903" s="304">
        <f t="shared" ca="1" si="407"/>
        <v>42.585210000000025</v>
      </c>
      <c r="U903" s="311">
        <f t="shared" ca="1" si="408"/>
        <v>0</v>
      </c>
      <c r="V903" s="306">
        <f t="shared" ca="1" si="409"/>
        <v>1.2259830600963202</v>
      </c>
      <c r="W903" s="304">
        <f t="shared" ca="1" si="410"/>
        <v>38.80712195126403</v>
      </c>
      <c r="Y903" s="314" t="str">
        <f t="shared" ca="1" si="428"/>
        <v/>
      </c>
      <c r="Z903" s="315" t="str">
        <f t="shared" ca="1" si="429"/>
        <v/>
      </c>
      <c r="AA903" s="316" t="str">
        <f t="shared" ca="1" si="430"/>
        <v/>
      </c>
      <c r="AC903" s="310" t="e">
        <f t="shared" ca="1" si="431"/>
        <v>#N/A</v>
      </c>
      <c r="AD903" s="323" t="e">
        <f t="shared" ca="1" si="432"/>
        <v>#N/A</v>
      </c>
      <c r="AE903" s="324" t="e">
        <f t="shared" ca="1" si="411"/>
        <v>#N/A</v>
      </c>
      <c r="AG903" s="306">
        <f t="shared" ca="1" si="433"/>
        <v>0.84377632050060036</v>
      </c>
      <c r="AH903" s="304">
        <f t="shared" ca="1" si="434"/>
        <v>-8.9396492563713466</v>
      </c>
    </row>
    <row r="904" spans="1:34" x14ac:dyDescent="0.2">
      <c r="A904" s="347">
        <f t="shared" ca="1" si="412"/>
        <v>1E-4</v>
      </c>
      <c r="B904" s="304">
        <f t="shared" ca="1" si="413"/>
        <v>28.652400000000018</v>
      </c>
      <c r="D904" s="306">
        <f t="shared" ca="1" si="414"/>
        <v>-0.65756009450049002</v>
      </c>
      <c r="E904" s="307">
        <f t="shared" ca="1" si="415"/>
        <v>-0.89454296879711848</v>
      </c>
      <c r="F904" s="304">
        <f t="shared" ca="1" si="416"/>
        <v>1.1102217800529117</v>
      </c>
      <c r="G904" s="306">
        <f t="shared" ca="1" si="417"/>
        <v>7.265276421135189</v>
      </c>
      <c r="H904" s="307">
        <f t="shared" ca="1" si="418"/>
        <v>-98.50644125249103</v>
      </c>
      <c r="I904" s="304">
        <f t="shared" ca="1" si="419"/>
        <v>98.774000676827754</v>
      </c>
      <c r="J904" s="306">
        <f t="shared" ca="1" si="420"/>
        <v>678.53524446899166</v>
      </c>
      <c r="K904" s="307">
        <f t="shared" ca="1" si="421"/>
        <v>-8.0316122937828478</v>
      </c>
      <c r="L904" s="304">
        <f t="shared" ca="1" si="406"/>
        <v>678.58277666223739</v>
      </c>
      <c r="M904" s="306">
        <f t="shared" ca="1" si="422"/>
        <v>-1.497175297395587</v>
      </c>
      <c r="N904" s="304">
        <f t="shared" ca="1" si="423"/>
        <v>-85.781825732011001</v>
      </c>
      <c r="P904" s="310">
        <f t="shared" ca="1" si="424"/>
        <v>23</v>
      </c>
      <c r="Q904" s="304">
        <f t="shared" ca="1" si="425"/>
        <v>0</v>
      </c>
      <c r="R904" s="306">
        <f t="shared" ca="1" si="426"/>
        <v>0</v>
      </c>
      <c r="S904" s="307">
        <f t="shared" ca="1" si="427"/>
        <v>4.341000000000002</v>
      </c>
      <c r="T904" s="304">
        <f t="shared" ca="1" si="407"/>
        <v>42.585210000000025</v>
      </c>
      <c r="U904" s="311">
        <f t="shared" ca="1" si="408"/>
        <v>0</v>
      </c>
      <c r="V904" s="306">
        <f t="shared" ca="1" si="409"/>
        <v>1.2259842677688442</v>
      </c>
      <c r="W904" s="304">
        <f t="shared" ca="1" si="410"/>
        <v>38.807226479028991</v>
      </c>
      <c r="Y904" s="314" t="str">
        <f t="shared" ca="1" si="428"/>
        <v/>
      </c>
      <c r="Z904" s="315" t="str">
        <f t="shared" ca="1" si="429"/>
        <v/>
      </c>
      <c r="AA904" s="316" t="str">
        <f t="shared" ca="1" si="430"/>
        <v/>
      </c>
      <c r="AC904" s="310" t="e">
        <f t="shared" ca="1" si="431"/>
        <v>#N/A</v>
      </c>
      <c r="AD904" s="323" t="e">
        <f t="shared" ca="1" si="432"/>
        <v>#N/A</v>
      </c>
      <c r="AE904" s="324" t="e">
        <f t="shared" ca="1" si="411"/>
        <v>#N/A</v>
      </c>
      <c r="AG904" s="306">
        <f t="shared" ca="1" si="433"/>
        <v>0.84375276808845179</v>
      </c>
      <c r="AH904" s="304">
        <f t="shared" ca="1" si="434"/>
        <v>-8.9396733359281306</v>
      </c>
    </row>
    <row r="905" spans="1:34" x14ac:dyDescent="0.2">
      <c r="A905" s="347">
        <f t="shared" ca="1" si="412"/>
        <v>1E-4</v>
      </c>
      <c r="B905" s="304">
        <f t="shared" ca="1" si="413"/>
        <v>28.652500000000018</v>
      </c>
      <c r="D905" s="306">
        <f t="shared" ca="1" si="414"/>
        <v>-0.6575553525937099</v>
      </c>
      <c r="E905" s="307">
        <f t="shared" ca="1" si="415"/>
        <v>-0.89451847446533428</v>
      </c>
      <c r="F905" s="304">
        <f t="shared" ca="1" si="416"/>
        <v>1.1101992356709796</v>
      </c>
      <c r="G905" s="306">
        <f t="shared" ca="1" si="417"/>
        <v>7.2652106655999296</v>
      </c>
      <c r="H905" s="307">
        <f t="shared" ca="1" si="418"/>
        <v>-98.506530704338473</v>
      </c>
      <c r="I905" s="304">
        <f t="shared" ca="1" si="419"/>
        <v>98.774085049775707</v>
      </c>
      <c r="J905" s="306">
        <f t="shared" ca="1" si="420"/>
        <v>678.53524446899166</v>
      </c>
      <c r="K905" s="307">
        <f t="shared" ca="1" si="421"/>
        <v>-8.04146294238069</v>
      </c>
      <c r="L905" s="304">
        <f t="shared" ca="1" si="406"/>
        <v>678.58289332464608</v>
      </c>
      <c r="M905" s="306">
        <f t="shared" ca="1" si="422"/>
        <v>-1.4971760279212714</v>
      </c>
      <c r="N905" s="304">
        <f t="shared" ca="1" si="423"/>
        <v>-85.78186758804955</v>
      </c>
      <c r="P905" s="310">
        <f t="shared" ca="1" si="424"/>
        <v>23</v>
      </c>
      <c r="Q905" s="304">
        <f t="shared" ca="1" si="425"/>
        <v>0</v>
      </c>
      <c r="R905" s="306">
        <f t="shared" ca="1" si="426"/>
        <v>0</v>
      </c>
      <c r="S905" s="307">
        <f t="shared" ca="1" si="427"/>
        <v>4.341000000000002</v>
      </c>
      <c r="T905" s="304">
        <f t="shared" ca="1" si="407"/>
        <v>42.585210000000025</v>
      </c>
      <c r="U905" s="311">
        <f t="shared" ca="1" si="408"/>
        <v>0</v>
      </c>
      <c r="V905" s="306">
        <f t="shared" ca="1" si="409"/>
        <v>1.2259854754436548</v>
      </c>
      <c r="W905" s="304">
        <f t="shared" ca="1" si="410"/>
        <v>38.807331005202904</v>
      </c>
      <c r="Y905" s="314" t="str">
        <f t="shared" ca="1" si="428"/>
        <v/>
      </c>
      <c r="Z905" s="315" t="str">
        <f t="shared" ca="1" si="429"/>
        <v/>
      </c>
      <c r="AA905" s="316" t="str">
        <f t="shared" ca="1" si="430"/>
        <v/>
      </c>
      <c r="AC905" s="310" t="e">
        <f t="shared" ca="1" si="431"/>
        <v>#N/A</v>
      </c>
      <c r="AD905" s="323" t="e">
        <f t="shared" ca="1" si="432"/>
        <v>#N/A</v>
      </c>
      <c r="AE905" s="324" t="e">
        <f t="shared" ca="1" si="411"/>
        <v>#N/A</v>
      </c>
      <c r="AG905" s="306">
        <f t="shared" ca="1" si="433"/>
        <v>0.84372921603192985</v>
      </c>
      <c r="AH905" s="304">
        <f t="shared" ca="1" si="434"/>
        <v>-8.939697415118399</v>
      </c>
    </row>
    <row r="906" spans="1:34" x14ac:dyDescent="0.2">
      <c r="A906" s="347">
        <f t="shared" ca="1" si="412"/>
        <v>1E-4</v>
      </c>
      <c r="B906" s="304">
        <f t="shared" ca="1" si="413"/>
        <v>28.652600000000017</v>
      </c>
      <c r="D906" s="306">
        <f t="shared" ca="1" si="414"/>
        <v>-0.65755061069461163</v>
      </c>
      <c r="E906" s="307">
        <f t="shared" ca="1" si="415"/>
        <v>-0.89449398050640738</v>
      </c>
      <c r="F906" s="304">
        <f t="shared" ca="1" si="416"/>
        <v>1.1101766916968909</v>
      </c>
      <c r="G906" s="306">
        <f t="shared" ca="1" si="417"/>
        <v>7.2651449105388597</v>
      </c>
      <c r="H906" s="307">
        <f t="shared" ca="1" si="418"/>
        <v>-98.50662015373652</v>
      </c>
      <c r="I906" s="304">
        <f t="shared" ca="1" si="419"/>
        <v>98.774169420368494</v>
      </c>
      <c r="J906" s="306">
        <f t="shared" ca="1" si="420"/>
        <v>678.53524446899166</v>
      </c>
      <c r="K906" s="307">
        <f t="shared" ca="1" si="421"/>
        <v>-8.0513135999235939</v>
      </c>
      <c r="L906" s="304">
        <f t="shared" ca="1" si="406"/>
        <v>678.58301013013772</v>
      </c>
      <c r="M906" s="306">
        <f t="shared" ca="1" si="422"/>
        <v>-1.4971767584390963</v>
      </c>
      <c r="N906" s="304">
        <f t="shared" ca="1" si="423"/>
        <v>-85.781909443637772</v>
      </c>
      <c r="P906" s="310">
        <f t="shared" ca="1" si="424"/>
        <v>23</v>
      </c>
      <c r="Q906" s="304">
        <f t="shared" ca="1" si="425"/>
        <v>0</v>
      </c>
      <c r="R906" s="306">
        <f t="shared" ca="1" si="426"/>
        <v>0</v>
      </c>
      <c r="S906" s="307">
        <f t="shared" ca="1" si="427"/>
        <v>4.341000000000002</v>
      </c>
      <c r="T906" s="304">
        <f t="shared" ca="1" si="407"/>
        <v>42.585210000000025</v>
      </c>
      <c r="U906" s="311">
        <f t="shared" ca="1" si="408"/>
        <v>0</v>
      </c>
      <c r="V906" s="306">
        <f t="shared" ca="1" si="409"/>
        <v>1.2259866831207522</v>
      </c>
      <c r="W906" s="304">
        <f t="shared" ca="1" si="410"/>
        <v>38.807435529785813</v>
      </c>
      <c r="Y906" s="314" t="str">
        <f t="shared" ca="1" si="428"/>
        <v/>
      </c>
      <c r="Z906" s="315" t="str">
        <f t="shared" ca="1" si="429"/>
        <v/>
      </c>
      <c r="AA906" s="316" t="str">
        <f t="shared" ca="1" si="430"/>
        <v/>
      </c>
      <c r="AC906" s="310" t="e">
        <f t="shared" ca="1" si="431"/>
        <v>#N/A</v>
      </c>
      <c r="AD906" s="323" t="e">
        <f t="shared" ca="1" si="432"/>
        <v>#N/A</v>
      </c>
      <c r="AE906" s="324" t="e">
        <f t="shared" ca="1" si="411"/>
        <v>#N/A</v>
      </c>
      <c r="AG906" s="306">
        <f t="shared" ca="1" si="433"/>
        <v>0.84370566433102567</v>
      </c>
      <c r="AH906" s="304">
        <f t="shared" ca="1" si="434"/>
        <v>-8.9397214939421534</v>
      </c>
    </row>
    <row r="907" spans="1:34" x14ac:dyDescent="0.2">
      <c r="A907" s="347">
        <f t="shared" ca="1" si="412"/>
        <v>1E-4</v>
      </c>
      <c r="B907" s="304">
        <f t="shared" ca="1" si="413"/>
        <v>28.652700000000017</v>
      </c>
      <c r="D907" s="306">
        <f t="shared" ca="1" si="414"/>
        <v>-0.65754586880319099</v>
      </c>
      <c r="E907" s="307">
        <f t="shared" ca="1" si="415"/>
        <v>-0.89446948692033779</v>
      </c>
      <c r="F907" s="304">
        <f t="shared" ca="1" si="416"/>
        <v>1.1101541481306438</v>
      </c>
      <c r="G907" s="306">
        <f t="shared" ca="1" si="417"/>
        <v>7.2650791559519794</v>
      </c>
      <c r="H907" s="307">
        <f t="shared" ca="1" si="418"/>
        <v>-98.506709600685213</v>
      </c>
      <c r="I907" s="304">
        <f t="shared" ca="1" si="419"/>
        <v>98.774253788606146</v>
      </c>
      <c r="J907" s="306">
        <f t="shared" ca="1" si="420"/>
        <v>678.53524446899166</v>
      </c>
      <c r="K907" s="307">
        <f t="shared" ca="1" si="421"/>
        <v>-8.0611642664113141</v>
      </c>
      <c r="L907" s="304">
        <f t="shared" ca="1" si="406"/>
        <v>678.58312707871266</v>
      </c>
      <c r="M907" s="306">
        <f t="shared" ca="1" si="422"/>
        <v>-1.4971774889490614</v>
      </c>
      <c r="N907" s="304">
        <f t="shared" ca="1" si="423"/>
        <v>-85.781951298775667</v>
      </c>
      <c r="P907" s="310">
        <f t="shared" ca="1" si="424"/>
        <v>23</v>
      </c>
      <c r="Q907" s="304">
        <f t="shared" ca="1" si="425"/>
        <v>0</v>
      </c>
      <c r="R907" s="306">
        <f t="shared" ca="1" si="426"/>
        <v>0</v>
      </c>
      <c r="S907" s="307">
        <f t="shared" ca="1" si="427"/>
        <v>4.341000000000002</v>
      </c>
      <c r="T907" s="304">
        <f t="shared" ca="1" si="407"/>
        <v>42.585210000000025</v>
      </c>
      <c r="U907" s="311">
        <f t="shared" ca="1" si="408"/>
        <v>0</v>
      </c>
      <c r="V907" s="306">
        <f t="shared" ca="1" si="409"/>
        <v>1.2259878908001363</v>
      </c>
      <c r="W907" s="304">
        <f t="shared" ca="1" si="410"/>
        <v>38.807540052777718</v>
      </c>
      <c r="Y907" s="314" t="str">
        <f t="shared" ca="1" si="428"/>
        <v/>
      </c>
      <c r="Z907" s="315" t="str">
        <f t="shared" ca="1" si="429"/>
        <v/>
      </c>
      <c r="AA907" s="316" t="str">
        <f t="shared" ca="1" si="430"/>
        <v/>
      </c>
      <c r="AC907" s="310" t="e">
        <f t="shared" ca="1" si="431"/>
        <v>#N/A</v>
      </c>
      <c r="AD907" s="323" t="e">
        <f t="shared" ca="1" si="432"/>
        <v>#N/A</v>
      </c>
      <c r="AE907" s="324" t="e">
        <f t="shared" ca="1" si="411"/>
        <v>#N/A</v>
      </c>
      <c r="AG907" s="306">
        <f t="shared" ca="1" si="433"/>
        <v>0.84368211298573925</v>
      </c>
      <c r="AH907" s="304">
        <f t="shared" ca="1" si="434"/>
        <v>-8.9397455723993993</v>
      </c>
    </row>
    <row r="908" spans="1:34" x14ac:dyDescent="0.2">
      <c r="A908" s="347">
        <f t="shared" ca="1" si="412"/>
        <v>1E-4</v>
      </c>
      <c r="B908" s="304">
        <f t="shared" ca="1" si="413"/>
        <v>28.652800000000017</v>
      </c>
      <c r="D908" s="306">
        <f t="shared" ca="1" si="414"/>
        <v>-0.65754112691945177</v>
      </c>
      <c r="E908" s="307">
        <f t="shared" ca="1" si="415"/>
        <v>-0.89444499370711661</v>
      </c>
      <c r="F908" s="304">
        <f t="shared" ca="1" si="416"/>
        <v>1.1101316049722332</v>
      </c>
      <c r="G908" s="306">
        <f t="shared" ca="1" si="417"/>
        <v>7.2650134018392878</v>
      </c>
      <c r="H908" s="307">
        <f t="shared" ca="1" si="418"/>
        <v>-98.506799045184579</v>
      </c>
      <c r="I908" s="304">
        <f t="shared" ca="1" si="419"/>
        <v>98.774338154488703</v>
      </c>
      <c r="J908" s="306">
        <f t="shared" ca="1" si="420"/>
        <v>678.53524446899166</v>
      </c>
      <c r="K908" s="307">
        <f t="shared" ca="1" si="421"/>
        <v>-8.0710149418436075</v>
      </c>
      <c r="L908" s="304">
        <f t="shared" ca="1" si="406"/>
        <v>678.58324417037124</v>
      </c>
      <c r="M908" s="306">
        <f t="shared" ca="1" si="422"/>
        <v>-1.4971782194511671</v>
      </c>
      <c r="N908" s="304">
        <f t="shared" ca="1" si="423"/>
        <v>-85.781993153463247</v>
      </c>
      <c r="P908" s="310">
        <f t="shared" ca="1" si="424"/>
        <v>23</v>
      </c>
      <c r="Q908" s="304">
        <f t="shared" ca="1" si="425"/>
        <v>0</v>
      </c>
      <c r="R908" s="306">
        <f t="shared" ca="1" si="426"/>
        <v>0</v>
      </c>
      <c r="S908" s="307">
        <f t="shared" ca="1" si="427"/>
        <v>4.341000000000002</v>
      </c>
      <c r="T908" s="304">
        <f t="shared" ca="1" si="407"/>
        <v>42.585210000000025</v>
      </c>
      <c r="U908" s="311">
        <f t="shared" ca="1" si="408"/>
        <v>0</v>
      </c>
      <c r="V908" s="306">
        <f t="shared" ca="1" si="409"/>
        <v>1.2259890984818074</v>
      </c>
      <c r="W908" s="304">
        <f t="shared" ca="1" si="410"/>
        <v>38.80764457417866</v>
      </c>
      <c r="Y908" s="314" t="str">
        <f t="shared" ca="1" si="428"/>
        <v/>
      </c>
      <c r="Z908" s="315" t="str">
        <f t="shared" ca="1" si="429"/>
        <v/>
      </c>
      <c r="AA908" s="316" t="str">
        <f t="shared" ca="1" si="430"/>
        <v/>
      </c>
      <c r="AC908" s="310" t="e">
        <f t="shared" ca="1" si="431"/>
        <v>#N/A</v>
      </c>
      <c r="AD908" s="323" t="e">
        <f t="shared" ca="1" si="432"/>
        <v>#N/A</v>
      </c>
      <c r="AE908" s="324" t="e">
        <f t="shared" ca="1" si="411"/>
        <v>#N/A</v>
      </c>
      <c r="AG908" s="306">
        <f t="shared" ca="1" si="433"/>
        <v>0.84365856199606704</v>
      </c>
      <c r="AH908" s="304">
        <f t="shared" ca="1" si="434"/>
        <v>-8.9397696504901401</v>
      </c>
    </row>
    <row r="909" spans="1:34" x14ac:dyDescent="0.2">
      <c r="A909" s="347">
        <f t="shared" ca="1" si="412"/>
        <v>1E-4</v>
      </c>
      <c r="B909" s="304">
        <f t="shared" ca="1" si="413"/>
        <v>28.652900000000017</v>
      </c>
      <c r="D909" s="306">
        <f t="shared" ca="1" si="414"/>
        <v>-0.65753638504339385</v>
      </c>
      <c r="E909" s="307">
        <f t="shared" ca="1" si="415"/>
        <v>-0.89442050086673852</v>
      </c>
      <c r="F909" s="304">
        <f t="shared" ca="1" si="416"/>
        <v>1.1101090622216547</v>
      </c>
      <c r="G909" s="306">
        <f t="shared" ca="1" si="417"/>
        <v>7.2649476482007831</v>
      </c>
      <c r="H909" s="307">
        <f t="shared" ca="1" si="418"/>
        <v>-98.506888487234662</v>
      </c>
      <c r="I909" s="304">
        <f t="shared" ca="1" si="419"/>
        <v>98.774422518016181</v>
      </c>
      <c r="J909" s="306">
        <f t="shared" ca="1" si="420"/>
        <v>678.53524446899166</v>
      </c>
      <c r="K909" s="307">
        <f t="shared" ca="1" si="421"/>
        <v>-8.0808656262202287</v>
      </c>
      <c r="L909" s="304">
        <f t="shared" ca="1" si="406"/>
        <v>678.58336140511381</v>
      </c>
      <c r="M909" s="306">
        <f t="shared" ca="1" si="422"/>
        <v>-1.4971789499454133</v>
      </c>
      <c r="N909" s="304">
        <f t="shared" ca="1" si="423"/>
        <v>-85.782035007700514</v>
      </c>
      <c r="P909" s="310">
        <f t="shared" ca="1" si="424"/>
        <v>23</v>
      </c>
      <c r="Q909" s="304">
        <f t="shared" ca="1" si="425"/>
        <v>0</v>
      </c>
      <c r="R909" s="306">
        <f t="shared" ca="1" si="426"/>
        <v>0</v>
      </c>
      <c r="S909" s="307">
        <f t="shared" ca="1" si="427"/>
        <v>4.341000000000002</v>
      </c>
      <c r="T909" s="304">
        <f t="shared" ca="1" si="407"/>
        <v>42.585210000000025</v>
      </c>
      <c r="U909" s="311">
        <f t="shared" ca="1" si="408"/>
        <v>0</v>
      </c>
      <c r="V909" s="306">
        <f t="shared" ca="1" si="409"/>
        <v>1.2259903061657647</v>
      </c>
      <c r="W909" s="304">
        <f t="shared" ca="1" si="410"/>
        <v>38.807749093988612</v>
      </c>
      <c r="Y909" s="314" t="str">
        <f t="shared" ca="1" si="428"/>
        <v/>
      </c>
      <c r="Z909" s="315" t="str">
        <f t="shared" ca="1" si="429"/>
        <v/>
      </c>
      <c r="AA909" s="316" t="str">
        <f t="shared" ca="1" si="430"/>
        <v/>
      </c>
      <c r="AC909" s="310" t="e">
        <f t="shared" ca="1" si="431"/>
        <v>#N/A</v>
      </c>
      <c r="AD909" s="323" t="e">
        <f t="shared" ca="1" si="432"/>
        <v>#N/A</v>
      </c>
      <c r="AE909" s="324" t="e">
        <f t="shared" ca="1" si="411"/>
        <v>#N/A</v>
      </c>
      <c r="AG909" s="306">
        <f t="shared" ca="1" si="433"/>
        <v>0.84363501136200014</v>
      </c>
      <c r="AH909" s="304">
        <f t="shared" ca="1" si="434"/>
        <v>-8.9397937282143847</v>
      </c>
    </row>
    <row r="910" spans="1:34" x14ac:dyDescent="0.2">
      <c r="A910" s="347">
        <f t="shared" ca="1" si="412"/>
        <v>1E-4</v>
      </c>
      <c r="B910" s="304">
        <f t="shared" ca="1" si="413"/>
        <v>28.653000000000016</v>
      </c>
      <c r="D910" s="306">
        <f t="shared" ca="1" si="414"/>
        <v>-0.657531643175018</v>
      </c>
      <c r="E910" s="307">
        <f t="shared" ca="1" si="415"/>
        <v>-0.89439600839920885</v>
      </c>
      <c r="F910" s="304">
        <f t="shared" ca="1" si="416"/>
        <v>1.1100865198789132</v>
      </c>
      <c r="G910" s="306">
        <f t="shared" ca="1" si="417"/>
        <v>7.2648818950364653</v>
      </c>
      <c r="H910" s="307">
        <f t="shared" ca="1" si="418"/>
        <v>-98.506977926835503</v>
      </c>
      <c r="I910" s="304">
        <f t="shared" ca="1" si="419"/>
        <v>98.774506879188635</v>
      </c>
      <c r="J910" s="306">
        <f t="shared" ca="1" si="420"/>
        <v>678.53524446899166</v>
      </c>
      <c r="K910" s="307">
        <f t="shared" ca="1" si="421"/>
        <v>-8.0907163195409328</v>
      </c>
      <c r="L910" s="304">
        <f t="shared" ca="1" si="406"/>
        <v>678.58347878294057</v>
      </c>
      <c r="M910" s="306">
        <f t="shared" ca="1" si="422"/>
        <v>-1.4971796804318003</v>
      </c>
      <c r="N910" s="304">
        <f t="shared" ca="1" si="423"/>
        <v>-85.782076861487482</v>
      </c>
      <c r="P910" s="310">
        <f t="shared" ca="1" si="424"/>
        <v>23</v>
      </c>
      <c r="Q910" s="304">
        <f t="shared" ca="1" si="425"/>
        <v>0</v>
      </c>
      <c r="R910" s="306">
        <f t="shared" ca="1" si="426"/>
        <v>0</v>
      </c>
      <c r="S910" s="307">
        <f t="shared" ca="1" si="427"/>
        <v>4.341000000000002</v>
      </c>
      <c r="T910" s="304">
        <f t="shared" ca="1" si="407"/>
        <v>42.585210000000025</v>
      </c>
      <c r="U910" s="311">
        <f t="shared" ca="1" si="408"/>
        <v>0</v>
      </c>
      <c r="V910" s="306">
        <f t="shared" ca="1" si="409"/>
        <v>1.225991513852009</v>
      </c>
      <c r="W910" s="304">
        <f t="shared" ca="1" si="410"/>
        <v>38.80785361220763</v>
      </c>
      <c r="Y910" s="314" t="str">
        <f t="shared" ca="1" si="428"/>
        <v/>
      </c>
      <c r="Z910" s="315" t="str">
        <f t="shared" ca="1" si="429"/>
        <v/>
      </c>
      <c r="AA910" s="316" t="str">
        <f t="shared" ca="1" si="430"/>
        <v/>
      </c>
      <c r="AC910" s="310" t="e">
        <f t="shared" ca="1" si="431"/>
        <v>#N/A</v>
      </c>
      <c r="AD910" s="323" t="e">
        <f t="shared" ca="1" si="432"/>
        <v>#N/A</v>
      </c>
      <c r="AE910" s="324" t="e">
        <f t="shared" ca="1" si="411"/>
        <v>#N/A</v>
      </c>
      <c r="AG910" s="306">
        <f t="shared" ca="1" si="433"/>
        <v>0.8436114610835439</v>
      </c>
      <c r="AH910" s="304">
        <f t="shared" ca="1" si="434"/>
        <v>-8.9398178055721242</v>
      </c>
    </row>
    <row r="911" spans="1:34" x14ac:dyDescent="0.2">
      <c r="A911" s="347">
        <f t="shared" ca="1" si="412"/>
        <v>1E-4</v>
      </c>
      <c r="B911" s="304">
        <f t="shared" ca="1" si="413"/>
        <v>28.653100000000016</v>
      </c>
      <c r="D911" s="306">
        <f t="shared" ca="1" si="414"/>
        <v>-0.65752690131432479</v>
      </c>
      <c r="E911" s="307">
        <f t="shared" ca="1" si="415"/>
        <v>-0.89437151630451517</v>
      </c>
      <c r="F911" s="304">
        <f t="shared" ca="1" si="416"/>
        <v>1.1100639779439991</v>
      </c>
      <c r="G911" s="306">
        <f t="shared" ca="1" si="417"/>
        <v>7.2648161423463335</v>
      </c>
      <c r="H911" s="307">
        <f t="shared" ca="1" si="418"/>
        <v>-98.507067363987133</v>
      </c>
      <c r="I911" s="304">
        <f t="shared" ca="1" si="419"/>
        <v>98.77459123800611</v>
      </c>
      <c r="J911" s="306">
        <f t="shared" ca="1" si="420"/>
        <v>678.53524446899166</v>
      </c>
      <c r="K911" s="307">
        <f t="shared" ca="1" si="421"/>
        <v>-8.1005670218054746</v>
      </c>
      <c r="L911" s="304">
        <f t="shared" ca="1" si="406"/>
        <v>678.58359630385189</v>
      </c>
      <c r="M911" s="306">
        <f t="shared" ca="1" si="422"/>
        <v>-1.4971804109103279</v>
      </c>
      <c r="N911" s="304">
        <f t="shared" ca="1" si="423"/>
        <v>-85.782118714824136</v>
      </c>
      <c r="P911" s="310">
        <f t="shared" ca="1" si="424"/>
        <v>23</v>
      </c>
      <c r="Q911" s="304">
        <f t="shared" ca="1" si="425"/>
        <v>0</v>
      </c>
      <c r="R911" s="306">
        <f t="shared" ca="1" si="426"/>
        <v>0</v>
      </c>
      <c r="S911" s="307">
        <f t="shared" ca="1" si="427"/>
        <v>4.341000000000002</v>
      </c>
      <c r="T911" s="304">
        <f t="shared" ca="1" si="407"/>
        <v>42.585210000000025</v>
      </c>
      <c r="U911" s="311">
        <f t="shared" ca="1" si="408"/>
        <v>0</v>
      </c>
      <c r="V911" s="306">
        <f t="shared" ca="1" si="409"/>
        <v>1.2259927215405397</v>
      </c>
      <c r="W911" s="304">
        <f t="shared" ca="1" si="410"/>
        <v>38.807958128835736</v>
      </c>
      <c r="Y911" s="314" t="str">
        <f t="shared" ca="1" si="428"/>
        <v/>
      </c>
      <c r="Z911" s="315" t="str">
        <f t="shared" ca="1" si="429"/>
        <v/>
      </c>
      <c r="AA911" s="316" t="str">
        <f t="shared" ca="1" si="430"/>
        <v/>
      </c>
      <c r="AC911" s="310" t="e">
        <f t="shared" ca="1" si="431"/>
        <v>#N/A</v>
      </c>
      <c r="AD911" s="323" t="e">
        <f t="shared" ca="1" si="432"/>
        <v>#N/A</v>
      </c>
      <c r="AE911" s="324" t="e">
        <f t="shared" ca="1" si="411"/>
        <v>#N/A</v>
      </c>
      <c r="AG911" s="306">
        <f t="shared" ca="1" si="433"/>
        <v>0.84358791116068588</v>
      </c>
      <c r="AH911" s="304">
        <f t="shared" ca="1" si="434"/>
        <v>-8.9398418825633748</v>
      </c>
    </row>
    <row r="912" spans="1:34" x14ac:dyDescent="0.2">
      <c r="A912" s="347">
        <f t="shared" ca="1" si="412"/>
        <v>1E-4</v>
      </c>
      <c r="B912" s="304">
        <f t="shared" ca="1" si="413"/>
        <v>28.653200000000016</v>
      </c>
      <c r="D912" s="306">
        <f t="shared" ca="1" si="414"/>
        <v>-0.65752215946131587</v>
      </c>
      <c r="E912" s="307">
        <f t="shared" ca="1" si="415"/>
        <v>-0.89434702458265214</v>
      </c>
      <c r="F912" s="304">
        <f t="shared" ca="1" si="416"/>
        <v>1.1100414364169091</v>
      </c>
      <c r="G912" s="306">
        <f t="shared" ca="1" si="417"/>
        <v>7.2647503901303878</v>
      </c>
      <c r="H912" s="307">
        <f t="shared" ca="1" si="418"/>
        <v>-98.507156798689593</v>
      </c>
      <c r="I912" s="304">
        <f t="shared" ca="1" si="419"/>
        <v>98.774675594468633</v>
      </c>
      <c r="J912" s="306">
        <f t="shared" ca="1" si="420"/>
        <v>678.53524446899166</v>
      </c>
      <c r="K912" s="307">
        <f t="shared" ca="1" si="421"/>
        <v>-8.1104177330136089</v>
      </c>
      <c r="L912" s="304">
        <f t="shared" ca="1" si="406"/>
        <v>678.5837139678481</v>
      </c>
      <c r="M912" s="306">
        <f t="shared" ca="1" si="422"/>
        <v>-1.4971811413809966</v>
      </c>
      <c r="N912" s="304">
        <f t="shared" ca="1" si="423"/>
        <v>-85.782160567710505</v>
      </c>
      <c r="P912" s="310">
        <f t="shared" ca="1" si="424"/>
        <v>23</v>
      </c>
      <c r="Q912" s="304">
        <f t="shared" ca="1" si="425"/>
        <v>0</v>
      </c>
      <c r="R912" s="306">
        <f t="shared" ca="1" si="426"/>
        <v>0</v>
      </c>
      <c r="S912" s="307">
        <f t="shared" ca="1" si="427"/>
        <v>4.341000000000002</v>
      </c>
      <c r="T912" s="304">
        <f t="shared" ca="1" si="407"/>
        <v>42.585210000000025</v>
      </c>
      <c r="U912" s="311">
        <f t="shared" ca="1" si="408"/>
        <v>0</v>
      </c>
      <c r="V912" s="306">
        <f t="shared" ca="1" si="409"/>
        <v>1.2259939292313573</v>
      </c>
      <c r="W912" s="304">
        <f t="shared" ca="1" si="410"/>
        <v>38.808062643872937</v>
      </c>
      <c r="Y912" s="314" t="str">
        <f t="shared" ca="1" si="428"/>
        <v/>
      </c>
      <c r="Z912" s="315" t="str">
        <f t="shared" ca="1" si="429"/>
        <v/>
      </c>
      <c r="AA912" s="316" t="str">
        <f t="shared" ca="1" si="430"/>
        <v/>
      </c>
      <c r="AC912" s="310" t="e">
        <f t="shared" ca="1" si="431"/>
        <v>#N/A</v>
      </c>
      <c r="AD912" s="323" t="e">
        <f t="shared" ca="1" si="432"/>
        <v>#N/A</v>
      </c>
      <c r="AE912" s="324" t="e">
        <f t="shared" ca="1" si="411"/>
        <v>#N/A</v>
      </c>
      <c r="AG912" s="306">
        <f t="shared" ca="1" si="433"/>
        <v>0.84356436159342252</v>
      </c>
      <c r="AH912" s="304">
        <f t="shared" ca="1" si="434"/>
        <v>-8.9398659591881398</v>
      </c>
    </row>
    <row r="913" spans="1:34" x14ac:dyDescent="0.2">
      <c r="A913" s="347">
        <f t="shared" ca="1" si="412"/>
        <v>1E-4</v>
      </c>
      <c r="B913" s="304">
        <f t="shared" ca="1" si="413"/>
        <v>28.653300000000016</v>
      </c>
      <c r="D913" s="306">
        <f t="shared" ca="1" si="414"/>
        <v>-0.65751741761599092</v>
      </c>
      <c r="E913" s="307">
        <f t="shared" ca="1" si="415"/>
        <v>-0.89432253323361621</v>
      </c>
      <c r="F913" s="304">
        <f t="shared" ca="1" si="416"/>
        <v>1.1100188952976404</v>
      </c>
      <c r="G913" s="306">
        <f t="shared" ca="1" si="417"/>
        <v>7.2646846383886263</v>
      </c>
      <c r="H913" s="307">
        <f t="shared" ca="1" si="418"/>
        <v>-98.507246230942911</v>
      </c>
      <c r="I913" s="304">
        <f t="shared" ca="1" si="419"/>
        <v>98.774759948576218</v>
      </c>
      <c r="J913" s="306">
        <f t="shared" ca="1" si="420"/>
        <v>678.53524446899166</v>
      </c>
      <c r="K913" s="307">
        <f t="shared" ca="1" si="421"/>
        <v>-8.1202684531650906</v>
      </c>
      <c r="L913" s="304">
        <f t="shared" ca="1" si="406"/>
        <v>678.58383177492942</v>
      </c>
      <c r="M913" s="306">
        <f t="shared" ca="1" si="422"/>
        <v>-1.4971818718438064</v>
      </c>
      <c r="N913" s="304">
        <f t="shared" ca="1" si="423"/>
        <v>-85.782202420146604</v>
      </c>
      <c r="P913" s="310">
        <f t="shared" ca="1" si="424"/>
        <v>23</v>
      </c>
      <c r="Q913" s="304">
        <f t="shared" ca="1" si="425"/>
        <v>0</v>
      </c>
      <c r="R913" s="306">
        <f t="shared" ca="1" si="426"/>
        <v>0</v>
      </c>
      <c r="S913" s="307">
        <f t="shared" ca="1" si="427"/>
        <v>4.341000000000002</v>
      </c>
      <c r="T913" s="304">
        <f t="shared" ca="1" si="407"/>
        <v>42.585210000000025</v>
      </c>
      <c r="U913" s="311">
        <f t="shared" ca="1" si="408"/>
        <v>0</v>
      </c>
      <c r="V913" s="306">
        <f t="shared" ca="1" si="409"/>
        <v>1.2259951369244613</v>
      </c>
      <c r="W913" s="304">
        <f t="shared" ca="1" si="410"/>
        <v>38.808167157319225</v>
      </c>
      <c r="Y913" s="314" t="str">
        <f t="shared" ca="1" si="428"/>
        <v/>
      </c>
      <c r="Z913" s="315" t="str">
        <f t="shared" ca="1" si="429"/>
        <v/>
      </c>
      <c r="AA913" s="316" t="str">
        <f t="shared" ca="1" si="430"/>
        <v/>
      </c>
      <c r="AC913" s="310" t="e">
        <f t="shared" ca="1" si="431"/>
        <v>#N/A</v>
      </c>
      <c r="AD913" s="323" t="e">
        <f t="shared" ca="1" si="432"/>
        <v>#N/A</v>
      </c>
      <c r="AE913" s="324" t="e">
        <f t="shared" ca="1" si="411"/>
        <v>#N/A</v>
      </c>
      <c r="AG913" s="306">
        <f t="shared" ca="1" si="433"/>
        <v>0.84354081238175205</v>
      </c>
      <c r="AH913" s="304">
        <f t="shared" ca="1" si="434"/>
        <v>-8.9398900354464228</v>
      </c>
    </row>
    <row r="914" spans="1:34" x14ac:dyDescent="0.2">
      <c r="A914" s="347">
        <f t="shared" ca="1" si="412"/>
        <v>1E-4</v>
      </c>
      <c r="B914" s="304">
        <f t="shared" ca="1" si="413"/>
        <v>28.653400000000016</v>
      </c>
      <c r="D914" s="306">
        <f t="shared" ca="1" si="414"/>
        <v>-0.65751267577834904</v>
      </c>
      <c r="E914" s="307">
        <f t="shared" ca="1" si="415"/>
        <v>-0.89429804225741272</v>
      </c>
      <c r="F914" s="304">
        <f t="shared" ca="1" si="416"/>
        <v>1.1099963545861966</v>
      </c>
      <c r="G914" s="306">
        <f t="shared" ca="1" si="417"/>
        <v>7.2646188871210482</v>
      </c>
      <c r="H914" s="307">
        <f t="shared" ca="1" si="418"/>
        <v>-98.507335660747131</v>
      </c>
      <c r="I914" s="304">
        <f t="shared" ca="1" si="419"/>
        <v>98.774844300328922</v>
      </c>
      <c r="J914" s="306">
        <f t="shared" ca="1" si="420"/>
        <v>678.53524446899166</v>
      </c>
      <c r="K914" s="307">
        <f t="shared" ca="1" si="421"/>
        <v>-8.1301191822596746</v>
      </c>
      <c r="L914" s="304">
        <f t="shared" ca="1" si="406"/>
        <v>678.58394972509632</v>
      </c>
      <c r="M914" s="306">
        <f t="shared" ca="1" si="422"/>
        <v>-1.4971826022987571</v>
      </c>
      <c r="N914" s="304">
        <f t="shared" ca="1" si="423"/>
        <v>-85.782244272132402</v>
      </c>
      <c r="P914" s="310">
        <f t="shared" ca="1" si="424"/>
        <v>23</v>
      </c>
      <c r="Q914" s="304">
        <f t="shared" ca="1" si="425"/>
        <v>0</v>
      </c>
      <c r="R914" s="306">
        <f t="shared" ca="1" si="426"/>
        <v>0</v>
      </c>
      <c r="S914" s="307">
        <f t="shared" ca="1" si="427"/>
        <v>4.341000000000002</v>
      </c>
      <c r="T914" s="304">
        <f t="shared" ca="1" si="407"/>
        <v>42.585210000000025</v>
      </c>
      <c r="U914" s="311">
        <f t="shared" ca="1" si="408"/>
        <v>0</v>
      </c>
      <c r="V914" s="306">
        <f t="shared" ca="1" si="409"/>
        <v>1.2259963446198523</v>
      </c>
      <c r="W914" s="304">
        <f t="shared" ca="1" si="410"/>
        <v>38.808271669174665</v>
      </c>
      <c r="Y914" s="314" t="str">
        <f t="shared" ca="1" si="428"/>
        <v/>
      </c>
      <c r="Z914" s="315" t="str">
        <f t="shared" ca="1" si="429"/>
        <v/>
      </c>
      <c r="AA914" s="316" t="str">
        <f t="shared" ca="1" si="430"/>
        <v/>
      </c>
      <c r="AC914" s="310" t="e">
        <f t="shared" ca="1" si="431"/>
        <v>#N/A</v>
      </c>
      <c r="AD914" s="323" t="e">
        <f t="shared" ca="1" si="432"/>
        <v>#N/A</v>
      </c>
      <c r="AE914" s="324" t="e">
        <f t="shared" ca="1" si="411"/>
        <v>#N/A</v>
      </c>
      <c r="AG914" s="306">
        <f t="shared" ca="1" si="433"/>
        <v>0.84351726352567624</v>
      </c>
      <c r="AH914" s="304">
        <f t="shared" ca="1" si="434"/>
        <v>-8.9399141113382186</v>
      </c>
    </row>
    <row r="915" spans="1:34" x14ac:dyDescent="0.2">
      <c r="A915" s="347">
        <f t="shared" ca="1" si="412"/>
        <v>1E-4</v>
      </c>
      <c r="B915" s="304">
        <f t="shared" ca="1" si="413"/>
        <v>28.653500000000015</v>
      </c>
      <c r="D915" s="306">
        <f t="shared" ca="1" si="414"/>
        <v>-0.65750793394839457</v>
      </c>
      <c r="E915" s="307">
        <f t="shared" ca="1" si="415"/>
        <v>-0.89427355165402389</v>
      </c>
      <c r="F915" s="304">
        <f t="shared" ca="1" si="416"/>
        <v>1.1099738142825661</v>
      </c>
      <c r="G915" s="306">
        <f t="shared" ca="1" si="417"/>
        <v>7.2645531363276534</v>
      </c>
      <c r="H915" s="307">
        <f t="shared" ca="1" si="418"/>
        <v>-98.507425088102295</v>
      </c>
      <c r="I915" s="304">
        <f t="shared" ca="1" si="419"/>
        <v>98.774928649726775</v>
      </c>
      <c r="J915" s="306">
        <f t="shared" ca="1" si="420"/>
        <v>678.53524446899166</v>
      </c>
      <c r="K915" s="307">
        <f t="shared" ca="1" si="421"/>
        <v>-8.1399699202971174</v>
      </c>
      <c r="L915" s="304">
        <f t="shared" ca="1" si="406"/>
        <v>678.58406781834901</v>
      </c>
      <c r="M915" s="306">
        <f t="shared" ca="1" si="422"/>
        <v>-1.4971833327458492</v>
      </c>
      <c r="N915" s="304">
        <f t="shared" ca="1" si="423"/>
        <v>-85.782286123667944</v>
      </c>
      <c r="P915" s="310">
        <f t="shared" ca="1" si="424"/>
        <v>23</v>
      </c>
      <c r="Q915" s="304">
        <f t="shared" ca="1" si="425"/>
        <v>0</v>
      </c>
      <c r="R915" s="306">
        <f t="shared" ca="1" si="426"/>
        <v>0</v>
      </c>
      <c r="S915" s="307">
        <f t="shared" ca="1" si="427"/>
        <v>4.341000000000002</v>
      </c>
      <c r="T915" s="304">
        <f t="shared" ca="1" si="407"/>
        <v>42.585210000000025</v>
      </c>
      <c r="U915" s="311">
        <f t="shared" ca="1" si="408"/>
        <v>0</v>
      </c>
      <c r="V915" s="306">
        <f t="shared" ca="1" si="409"/>
        <v>1.2259975523175293</v>
      </c>
      <c r="W915" s="304">
        <f t="shared" ca="1" si="410"/>
        <v>38.808376179439222</v>
      </c>
      <c r="Y915" s="314" t="str">
        <f t="shared" ca="1" si="428"/>
        <v/>
      </c>
      <c r="Z915" s="315" t="str">
        <f t="shared" ca="1" si="429"/>
        <v/>
      </c>
      <c r="AA915" s="316" t="str">
        <f t="shared" ca="1" si="430"/>
        <v/>
      </c>
      <c r="AC915" s="310" t="e">
        <f t="shared" ca="1" si="431"/>
        <v>#N/A</v>
      </c>
      <c r="AD915" s="323" t="e">
        <f t="shared" ca="1" si="432"/>
        <v>#N/A</v>
      </c>
      <c r="AE915" s="324" t="e">
        <f t="shared" ca="1" si="411"/>
        <v>#N/A</v>
      </c>
      <c r="AG915" s="306">
        <f t="shared" ca="1" si="433"/>
        <v>0.84349371502517911</v>
      </c>
      <c r="AH915" s="304">
        <f t="shared" ca="1" si="434"/>
        <v>-8.9399381868635448</v>
      </c>
    </row>
    <row r="916" spans="1:34" x14ac:dyDescent="0.2">
      <c r="A916" s="347">
        <f t="shared" ca="1" si="412"/>
        <v>1E-4</v>
      </c>
      <c r="B916" s="304">
        <f t="shared" ca="1" si="413"/>
        <v>28.653600000000015</v>
      </c>
      <c r="D916" s="306">
        <f t="shared" ca="1" si="414"/>
        <v>-0.65750319212612462</v>
      </c>
      <c r="E916" s="307">
        <f t="shared" ca="1" si="415"/>
        <v>-0.89424906142345861</v>
      </c>
      <c r="F916" s="304">
        <f t="shared" ca="1" si="416"/>
        <v>1.1099512743867543</v>
      </c>
      <c r="G916" s="306">
        <f t="shared" ca="1" si="417"/>
        <v>7.2644873860084411</v>
      </c>
      <c r="H916" s="307">
        <f t="shared" ca="1" si="418"/>
        <v>-98.507514513008431</v>
      </c>
      <c r="I916" s="304">
        <f t="shared" ca="1" si="419"/>
        <v>98.775012996769789</v>
      </c>
      <c r="J916" s="306">
        <f t="shared" ca="1" si="420"/>
        <v>678.53524446899166</v>
      </c>
      <c r="K916" s="307">
        <f t="shared" ca="1" si="421"/>
        <v>-8.1498206672771722</v>
      </c>
      <c r="L916" s="304">
        <f t="shared" ca="1" si="406"/>
        <v>678.58418605468773</v>
      </c>
      <c r="M916" s="306">
        <f t="shared" ca="1" si="422"/>
        <v>-1.4971840631850826</v>
      </c>
      <c r="N916" s="304">
        <f t="shared" ca="1" si="423"/>
        <v>-85.782327974753201</v>
      </c>
      <c r="P916" s="310">
        <f t="shared" ca="1" si="424"/>
        <v>23</v>
      </c>
      <c r="Q916" s="304">
        <f t="shared" ca="1" si="425"/>
        <v>0</v>
      </c>
      <c r="R916" s="306">
        <f t="shared" ca="1" si="426"/>
        <v>0</v>
      </c>
      <c r="S916" s="307">
        <f t="shared" ca="1" si="427"/>
        <v>4.341000000000002</v>
      </c>
      <c r="T916" s="304">
        <f t="shared" ca="1" si="407"/>
        <v>42.585210000000025</v>
      </c>
      <c r="U916" s="311">
        <f t="shared" ca="1" si="408"/>
        <v>0</v>
      </c>
      <c r="V916" s="306">
        <f t="shared" ca="1" si="409"/>
        <v>1.2259987600174931</v>
      </c>
      <c r="W916" s="304">
        <f t="shared" ca="1" si="410"/>
        <v>38.808480688112937</v>
      </c>
      <c r="Y916" s="314" t="str">
        <f t="shared" ca="1" si="428"/>
        <v/>
      </c>
      <c r="Z916" s="315" t="str">
        <f t="shared" ca="1" si="429"/>
        <v/>
      </c>
      <c r="AA916" s="316" t="str">
        <f t="shared" ca="1" si="430"/>
        <v/>
      </c>
      <c r="AC916" s="310" t="e">
        <f t="shared" ca="1" si="431"/>
        <v>#N/A</v>
      </c>
      <c r="AD916" s="323" t="e">
        <f t="shared" ca="1" si="432"/>
        <v>#N/A</v>
      </c>
      <c r="AE916" s="324" t="e">
        <f t="shared" ca="1" si="411"/>
        <v>#N/A</v>
      </c>
      <c r="AG916" s="306">
        <f t="shared" ca="1" si="433"/>
        <v>0.84347016688027132</v>
      </c>
      <c r="AH916" s="304">
        <f t="shared" ca="1" si="434"/>
        <v>-8.9399622620223926</v>
      </c>
    </row>
    <row r="917" spans="1:34" x14ac:dyDescent="0.2">
      <c r="A917" s="347">
        <f t="shared" ca="1" si="412"/>
        <v>1E-4</v>
      </c>
      <c r="B917" s="304">
        <f t="shared" ca="1" si="413"/>
        <v>28.653700000000015</v>
      </c>
      <c r="D917" s="306">
        <f t="shared" ca="1" si="414"/>
        <v>-0.65749845031154297</v>
      </c>
      <c r="E917" s="307">
        <f t="shared" ca="1" si="415"/>
        <v>-0.89422457156570623</v>
      </c>
      <c r="F917" s="304">
        <f t="shared" ca="1" si="416"/>
        <v>1.1099287348987552</v>
      </c>
      <c r="G917" s="306">
        <f t="shared" ca="1" si="417"/>
        <v>7.2644216361634104</v>
      </c>
      <c r="H917" s="307">
        <f t="shared" ca="1" si="418"/>
        <v>-98.507603935465582</v>
      </c>
      <c r="I917" s="304">
        <f t="shared" ca="1" si="419"/>
        <v>98.77509734145805</v>
      </c>
      <c r="J917" s="306">
        <f t="shared" ca="1" si="420"/>
        <v>678.53524446899166</v>
      </c>
      <c r="K917" s="307">
        <f t="shared" ca="1" si="421"/>
        <v>-8.1596714231995957</v>
      </c>
      <c r="L917" s="304">
        <f t="shared" ca="1" si="406"/>
        <v>678.58430443411294</v>
      </c>
      <c r="M917" s="306">
        <f t="shared" ca="1" si="422"/>
        <v>-1.4971847936164573</v>
      </c>
      <c r="N917" s="304">
        <f t="shared" ca="1" si="423"/>
        <v>-85.782369825388201</v>
      </c>
      <c r="P917" s="310">
        <f t="shared" ca="1" si="424"/>
        <v>23</v>
      </c>
      <c r="Q917" s="304">
        <f t="shared" ca="1" si="425"/>
        <v>0</v>
      </c>
      <c r="R917" s="306">
        <f t="shared" ca="1" si="426"/>
        <v>0</v>
      </c>
      <c r="S917" s="307">
        <f t="shared" ca="1" si="427"/>
        <v>4.341000000000002</v>
      </c>
      <c r="T917" s="304">
        <f t="shared" ca="1" si="407"/>
        <v>42.585210000000025</v>
      </c>
      <c r="U917" s="311">
        <f t="shared" ca="1" si="408"/>
        <v>0</v>
      </c>
      <c r="V917" s="306">
        <f t="shared" ca="1" si="409"/>
        <v>1.2259999677197433</v>
      </c>
      <c r="W917" s="304">
        <f t="shared" ca="1" si="410"/>
        <v>38.808585195195846</v>
      </c>
      <c r="Y917" s="314" t="str">
        <f t="shared" ca="1" si="428"/>
        <v/>
      </c>
      <c r="Z917" s="315" t="str">
        <f t="shared" ca="1" si="429"/>
        <v/>
      </c>
      <c r="AA917" s="316" t="str">
        <f t="shared" ca="1" si="430"/>
        <v/>
      </c>
      <c r="AC917" s="310" t="e">
        <f t="shared" ca="1" si="431"/>
        <v>#N/A</v>
      </c>
      <c r="AD917" s="323" t="e">
        <f t="shared" ca="1" si="432"/>
        <v>#N/A</v>
      </c>
      <c r="AE917" s="324" t="e">
        <f t="shared" ca="1" si="411"/>
        <v>#N/A</v>
      </c>
      <c r="AG917" s="306">
        <f t="shared" ca="1" si="433"/>
        <v>0.84344661909094398</v>
      </c>
      <c r="AH917" s="304">
        <f t="shared" ca="1" si="434"/>
        <v>-8.939986336814771</v>
      </c>
    </row>
    <row r="918" spans="1:34" x14ac:dyDescent="0.2">
      <c r="A918" s="347">
        <f t="shared" ca="1" si="412"/>
        <v>1E-4</v>
      </c>
      <c r="B918" s="304">
        <f t="shared" ca="1" si="413"/>
        <v>28.653800000000015</v>
      </c>
      <c r="D918" s="306">
        <f t="shared" ca="1" si="414"/>
        <v>-0.65749370850464983</v>
      </c>
      <c r="E918" s="307">
        <f t="shared" ca="1" si="415"/>
        <v>-0.8942000820807614</v>
      </c>
      <c r="F918" s="304">
        <f t="shared" ca="1" si="416"/>
        <v>1.1099061958185645</v>
      </c>
      <c r="G918" s="306">
        <f t="shared" ca="1" si="417"/>
        <v>7.2643558867925604</v>
      </c>
      <c r="H918" s="307">
        <f t="shared" ca="1" si="418"/>
        <v>-98.507693355473791</v>
      </c>
      <c r="I918" s="304">
        <f t="shared" ca="1" si="419"/>
        <v>98.775181683791558</v>
      </c>
      <c r="J918" s="306">
        <f t="shared" ca="1" si="420"/>
        <v>678.53524446899166</v>
      </c>
      <c r="K918" s="307">
        <f t="shared" ca="1" si="421"/>
        <v>-8.1695221880641427</v>
      </c>
      <c r="L918" s="304">
        <f t="shared" ca="1" si="406"/>
        <v>678.58442295662485</v>
      </c>
      <c r="M918" s="306">
        <f t="shared" ca="1" si="422"/>
        <v>-1.4971855240399736</v>
      </c>
      <c r="N918" s="304">
        <f t="shared" ca="1" si="423"/>
        <v>-85.782411675572945</v>
      </c>
      <c r="P918" s="310">
        <f t="shared" ca="1" si="424"/>
        <v>23</v>
      </c>
      <c r="Q918" s="304">
        <f t="shared" ca="1" si="425"/>
        <v>0</v>
      </c>
      <c r="R918" s="306">
        <f t="shared" ca="1" si="426"/>
        <v>0</v>
      </c>
      <c r="S918" s="307">
        <f t="shared" ca="1" si="427"/>
        <v>4.341000000000002</v>
      </c>
      <c r="T918" s="304">
        <f t="shared" ca="1" si="407"/>
        <v>42.585210000000025</v>
      </c>
      <c r="U918" s="311">
        <f t="shared" ca="1" si="408"/>
        <v>0</v>
      </c>
      <c r="V918" s="306">
        <f t="shared" ca="1" si="409"/>
        <v>1.2260011754242803</v>
      </c>
      <c r="W918" s="304">
        <f t="shared" ca="1" si="410"/>
        <v>38.80868970068795</v>
      </c>
      <c r="Y918" s="314" t="str">
        <f t="shared" ca="1" si="428"/>
        <v/>
      </c>
      <c r="Z918" s="315" t="str">
        <f t="shared" ca="1" si="429"/>
        <v/>
      </c>
      <c r="AA918" s="316" t="str">
        <f t="shared" ca="1" si="430"/>
        <v/>
      </c>
      <c r="AC918" s="310" t="e">
        <f t="shared" ca="1" si="431"/>
        <v>#N/A</v>
      </c>
      <c r="AD918" s="323" t="e">
        <f t="shared" ca="1" si="432"/>
        <v>#N/A</v>
      </c>
      <c r="AE918" s="324" t="e">
        <f t="shared" ca="1" si="411"/>
        <v>#N/A</v>
      </c>
      <c r="AG918" s="306">
        <f t="shared" ca="1" si="433"/>
        <v>0.84342307165718644</v>
      </c>
      <c r="AH918" s="304">
        <f t="shared" ca="1" si="434"/>
        <v>-8.9400104112406886</v>
      </c>
    </row>
    <row r="919" spans="1:34" x14ac:dyDescent="0.2">
      <c r="A919" s="347">
        <f t="shared" ca="1" si="412"/>
        <v>1E-4</v>
      </c>
      <c r="B919" s="304">
        <f t="shared" ca="1" si="413"/>
        <v>28.653900000000014</v>
      </c>
      <c r="D919" s="306">
        <f t="shared" ca="1" si="414"/>
        <v>-0.65748896670544466</v>
      </c>
      <c r="E919" s="307">
        <f t="shared" ca="1" si="415"/>
        <v>-0.89417559296862059</v>
      </c>
      <c r="F919" s="304">
        <f t="shared" ca="1" si="416"/>
        <v>1.1098836571461792</v>
      </c>
      <c r="G919" s="306">
        <f t="shared" ca="1" si="417"/>
        <v>7.2642901378958902</v>
      </c>
      <c r="H919" s="307">
        <f t="shared" ca="1" si="418"/>
        <v>-98.507782773033085</v>
      </c>
      <c r="I919" s="304">
        <f t="shared" ca="1" si="419"/>
        <v>98.775266023770371</v>
      </c>
      <c r="J919" s="306">
        <f t="shared" ca="1" si="420"/>
        <v>678.53524446899166</v>
      </c>
      <c r="K919" s="307">
        <f t="shared" ca="1" si="421"/>
        <v>-8.1793729618705679</v>
      </c>
      <c r="L919" s="304">
        <f t="shared" ca="1" si="406"/>
        <v>678.58454162222392</v>
      </c>
      <c r="M919" s="306">
        <f t="shared" ca="1" si="422"/>
        <v>-1.4971862544556318</v>
      </c>
      <c r="N919" s="304">
        <f t="shared" ca="1" si="423"/>
        <v>-85.782453525307446</v>
      </c>
      <c r="P919" s="310">
        <f t="shared" ca="1" si="424"/>
        <v>23</v>
      </c>
      <c r="Q919" s="304">
        <f t="shared" ca="1" si="425"/>
        <v>0</v>
      </c>
      <c r="R919" s="306">
        <f t="shared" ca="1" si="426"/>
        <v>0</v>
      </c>
      <c r="S919" s="307">
        <f t="shared" ca="1" si="427"/>
        <v>4.341000000000002</v>
      </c>
      <c r="T919" s="304">
        <f t="shared" ca="1" si="407"/>
        <v>42.585210000000025</v>
      </c>
      <c r="U919" s="311">
        <f t="shared" ca="1" si="408"/>
        <v>0</v>
      </c>
      <c r="V919" s="306">
        <f t="shared" ca="1" si="409"/>
        <v>1.2260023831311031</v>
      </c>
      <c r="W919" s="304">
        <f t="shared" ca="1" si="410"/>
        <v>38.808794204589262</v>
      </c>
      <c r="Y919" s="314" t="str">
        <f t="shared" ca="1" si="428"/>
        <v/>
      </c>
      <c r="Z919" s="315" t="str">
        <f t="shared" ca="1" si="429"/>
        <v/>
      </c>
      <c r="AA919" s="316" t="str">
        <f t="shared" ca="1" si="430"/>
        <v/>
      </c>
      <c r="AC919" s="310" t="e">
        <f t="shared" ca="1" si="431"/>
        <v>#N/A</v>
      </c>
      <c r="AD919" s="323" t="e">
        <f t="shared" ca="1" si="432"/>
        <v>#N/A</v>
      </c>
      <c r="AE919" s="324" t="e">
        <f t="shared" ca="1" si="411"/>
        <v>#N/A</v>
      </c>
      <c r="AG919" s="306">
        <f t="shared" ca="1" si="433"/>
        <v>0.84339952457900047</v>
      </c>
      <c r="AH919" s="304">
        <f t="shared" ca="1" si="434"/>
        <v>-8.9400344853001457</v>
      </c>
    </row>
    <row r="920" spans="1:34" x14ac:dyDescent="0.2">
      <c r="A920" s="347">
        <f t="shared" ca="1" si="412"/>
        <v>1E-4</v>
      </c>
      <c r="B920" s="304">
        <f t="shared" ca="1" si="413"/>
        <v>28.654000000000014</v>
      </c>
      <c r="D920" s="306">
        <f t="shared" ca="1" si="414"/>
        <v>-0.65748422491392677</v>
      </c>
      <c r="E920" s="307">
        <f t="shared" ca="1" si="415"/>
        <v>-0.89415110422928201</v>
      </c>
      <c r="F920" s="304">
        <f t="shared" ca="1" si="416"/>
        <v>1.1098611188815974</v>
      </c>
      <c r="G920" s="306">
        <f t="shared" ca="1" si="417"/>
        <v>7.2642243894733989</v>
      </c>
      <c r="H920" s="307">
        <f t="shared" ca="1" si="418"/>
        <v>-98.507872188143509</v>
      </c>
      <c r="I920" s="304">
        <f t="shared" ca="1" si="419"/>
        <v>98.775350361394501</v>
      </c>
      <c r="J920" s="306">
        <f t="shared" ca="1" si="420"/>
        <v>678.53524446899166</v>
      </c>
      <c r="K920" s="307">
        <f t="shared" ca="1" si="421"/>
        <v>-8.1892237446186265</v>
      </c>
      <c r="L920" s="304">
        <f t="shared" ca="1" si="406"/>
        <v>678.58466043091016</v>
      </c>
      <c r="M920" s="306">
        <f t="shared" ca="1" si="422"/>
        <v>-1.4971869848634316</v>
      </c>
      <c r="N920" s="304">
        <f t="shared" ca="1" si="423"/>
        <v>-85.782495374591704</v>
      </c>
      <c r="P920" s="310">
        <f t="shared" ca="1" si="424"/>
        <v>23</v>
      </c>
      <c r="Q920" s="304">
        <f t="shared" ca="1" si="425"/>
        <v>0</v>
      </c>
      <c r="R920" s="306">
        <f t="shared" ca="1" si="426"/>
        <v>0</v>
      </c>
      <c r="S920" s="307">
        <f t="shared" ca="1" si="427"/>
        <v>4.341000000000002</v>
      </c>
      <c r="T920" s="304">
        <f t="shared" ca="1" si="407"/>
        <v>42.585210000000025</v>
      </c>
      <c r="U920" s="311">
        <f t="shared" ca="1" si="408"/>
        <v>0</v>
      </c>
      <c r="V920" s="306">
        <f t="shared" ca="1" si="409"/>
        <v>1.2260035908402127</v>
      </c>
      <c r="W920" s="304">
        <f t="shared" ca="1" si="410"/>
        <v>38.808898706899804</v>
      </c>
      <c r="Y920" s="314" t="str">
        <f t="shared" ca="1" si="428"/>
        <v/>
      </c>
      <c r="Z920" s="315" t="str">
        <f t="shared" ca="1" si="429"/>
        <v/>
      </c>
      <c r="AA920" s="316" t="str">
        <f t="shared" ca="1" si="430"/>
        <v/>
      </c>
      <c r="AC920" s="310" t="e">
        <f t="shared" ca="1" si="431"/>
        <v>#N/A</v>
      </c>
      <c r="AD920" s="323" t="e">
        <f t="shared" ca="1" si="432"/>
        <v>#N/A</v>
      </c>
      <c r="AE920" s="324" t="e">
        <f t="shared" ca="1" si="411"/>
        <v>#N/A</v>
      </c>
      <c r="AG920" s="306">
        <f t="shared" ca="1" si="433"/>
        <v>0.84337597785638074</v>
      </c>
      <c r="AH920" s="304">
        <f t="shared" ca="1" si="434"/>
        <v>-8.9400585589931456</v>
      </c>
    </row>
    <row r="921" spans="1:34" x14ac:dyDescent="0.2">
      <c r="A921" s="347">
        <f t="shared" ca="1" si="412"/>
        <v>1E-4</v>
      </c>
      <c r="B921" s="304">
        <f t="shared" ca="1" si="413"/>
        <v>28.654100000000014</v>
      </c>
      <c r="D921" s="306">
        <f t="shared" ca="1" si="414"/>
        <v>-0.65747948313010018</v>
      </c>
      <c r="E921" s="307">
        <f t="shared" ca="1" si="415"/>
        <v>-0.89412661586274211</v>
      </c>
      <c r="F921" s="304">
        <f t="shared" ca="1" si="416"/>
        <v>1.1098385810248188</v>
      </c>
      <c r="G921" s="306">
        <f t="shared" ca="1" si="417"/>
        <v>7.2641586415250856</v>
      </c>
      <c r="H921" s="307">
        <f t="shared" ca="1" si="418"/>
        <v>-98.507961600805089</v>
      </c>
      <c r="I921" s="304">
        <f t="shared" ca="1" si="419"/>
        <v>98.775434696663993</v>
      </c>
      <c r="J921" s="306">
        <f t="shared" ca="1" si="420"/>
        <v>678.53524446899166</v>
      </c>
      <c r="K921" s="307">
        <f t="shared" ca="1" si="421"/>
        <v>-8.199074536308073</v>
      </c>
      <c r="L921" s="304">
        <f t="shared" ca="1" si="406"/>
        <v>678.58477938268425</v>
      </c>
      <c r="M921" s="306">
        <f t="shared" ca="1" si="422"/>
        <v>-1.4971877152633732</v>
      </c>
      <c r="N921" s="304">
        <f t="shared" ca="1" si="423"/>
        <v>-85.782537223425706</v>
      </c>
      <c r="P921" s="310">
        <f t="shared" ca="1" si="424"/>
        <v>23</v>
      </c>
      <c r="Q921" s="304">
        <f t="shared" ca="1" si="425"/>
        <v>0</v>
      </c>
      <c r="R921" s="306">
        <f t="shared" ca="1" si="426"/>
        <v>0</v>
      </c>
      <c r="S921" s="307">
        <f t="shared" ca="1" si="427"/>
        <v>4.341000000000002</v>
      </c>
      <c r="T921" s="304">
        <f t="shared" ca="1" si="407"/>
        <v>42.585210000000025</v>
      </c>
      <c r="U921" s="311">
        <f t="shared" ca="1" si="408"/>
        <v>0</v>
      </c>
      <c r="V921" s="306">
        <f t="shared" ca="1" si="409"/>
        <v>1.2260047985516087</v>
      </c>
      <c r="W921" s="304">
        <f t="shared" ca="1" si="410"/>
        <v>38.809003207619604</v>
      </c>
      <c r="Y921" s="314" t="str">
        <f t="shared" ca="1" si="428"/>
        <v/>
      </c>
      <c r="Z921" s="315" t="str">
        <f t="shared" ca="1" si="429"/>
        <v/>
      </c>
      <c r="AA921" s="316" t="str">
        <f t="shared" ca="1" si="430"/>
        <v/>
      </c>
      <c r="AC921" s="310" t="e">
        <f t="shared" ca="1" si="431"/>
        <v>#N/A</v>
      </c>
      <c r="AD921" s="323" t="e">
        <f t="shared" ca="1" si="432"/>
        <v>#N/A</v>
      </c>
      <c r="AE921" s="324" t="e">
        <f t="shared" ca="1" si="411"/>
        <v>#N/A</v>
      </c>
      <c r="AG921" s="306">
        <f t="shared" ca="1" si="433"/>
        <v>0.84335243148932726</v>
      </c>
      <c r="AH921" s="304">
        <f t="shared" ca="1" si="434"/>
        <v>-8.940082632319692</v>
      </c>
    </row>
    <row r="922" spans="1:34" x14ac:dyDescent="0.2">
      <c r="A922" s="347">
        <f t="shared" ca="1" si="412"/>
        <v>1E-4</v>
      </c>
      <c r="B922" s="304">
        <f t="shared" ca="1" si="413"/>
        <v>28.654200000000014</v>
      </c>
      <c r="D922" s="306">
        <f t="shared" ca="1" si="414"/>
        <v>-0.65747474135396478</v>
      </c>
      <c r="E922" s="307">
        <f t="shared" ca="1" si="415"/>
        <v>-0.89410212786899024</v>
      </c>
      <c r="F922" s="304">
        <f t="shared" ca="1" si="416"/>
        <v>1.1098160435758346</v>
      </c>
      <c r="G922" s="306">
        <f t="shared" ca="1" si="417"/>
        <v>7.2640928940509504</v>
      </c>
      <c r="H922" s="307">
        <f t="shared" ca="1" si="418"/>
        <v>-98.508051011017869</v>
      </c>
      <c r="I922" s="304">
        <f t="shared" ca="1" si="419"/>
        <v>98.775519029578888</v>
      </c>
      <c r="J922" s="306">
        <f t="shared" ca="1" si="420"/>
        <v>678.53524446899166</v>
      </c>
      <c r="K922" s="307">
        <f t="shared" ca="1" si="421"/>
        <v>-8.2089253369386643</v>
      </c>
      <c r="L922" s="304">
        <f t="shared" ca="1" si="406"/>
        <v>678.58489847754629</v>
      </c>
      <c r="M922" s="306">
        <f t="shared" ca="1" si="422"/>
        <v>-1.4971884456554569</v>
      </c>
      <c r="N922" s="304">
        <f t="shared" ca="1" si="423"/>
        <v>-85.782579071809494</v>
      </c>
      <c r="P922" s="310">
        <f t="shared" ca="1" si="424"/>
        <v>23</v>
      </c>
      <c r="Q922" s="304">
        <f t="shared" ca="1" si="425"/>
        <v>0</v>
      </c>
      <c r="R922" s="306">
        <f t="shared" ca="1" si="426"/>
        <v>0</v>
      </c>
      <c r="S922" s="307">
        <f t="shared" ca="1" si="427"/>
        <v>4.341000000000002</v>
      </c>
      <c r="T922" s="304">
        <f t="shared" ca="1" si="407"/>
        <v>42.585210000000025</v>
      </c>
      <c r="U922" s="311">
        <f t="shared" ca="1" si="408"/>
        <v>0</v>
      </c>
      <c r="V922" s="306">
        <f t="shared" ca="1" si="409"/>
        <v>1.2260060062652911</v>
      </c>
      <c r="W922" s="304">
        <f t="shared" ca="1" si="410"/>
        <v>38.809107706748669</v>
      </c>
      <c r="Y922" s="314" t="str">
        <f t="shared" ca="1" si="428"/>
        <v/>
      </c>
      <c r="Z922" s="315" t="str">
        <f t="shared" ca="1" si="429"/>
        <v/>
      </c>
      <c r="AA922" s="316" t="str">
        <f t="shared" ca="1" si="430"/>
        <v/>
      </c>
      <c r="AC922" s="310" t="e">
        <f t="shared" ca="1" si="431"/>
        <v>#N/A</v>
      </c>
      <c r="AD922" s="323" t="e">
        <f t="shared" ca="1" si="432"/>
        <v>#N/A</v>
      </c>
      <c r="AE922" s="324" t="e">
        <f t="shared" ca="1" si="411"/>
        <v>#N/A</v>
      </c>
      <c r="AG922" s="306">
        <f t="shared" ca="1" si="433"/>
        <v>0.84332888547782936</v>
      </c>
      <c r="AH922" s="304">
        <f t="shared" ca="1" si="434"/>
        <v>-8.9401067052797938</v>
      </c>
    </row>
    <row r="923" spans="1:34" x14ac:dyDescent="0.2">
      <c r="A923" s="347">
        <f t="shared" ca="1" si="412"/>
        <v>1E-4</v>
      </c>
      <c r="B923" s="304">
        <f t="shared" ca="1" si="413"/>
        <v>28.654300000000013</v>
      </c>
      <c r="D923" s="306">
        <f t="shared" ca="1" si="414"/>
        <v>-0.65746999958551988</v>
      </c>
      <c r="E923" s="307">
        <f t="shared" ca="1" si="415"/>
        <v>-0.89407764024802816</v>
      </c>
      <c r="F923" s="304">
        <f t="shared" ca="1" si="416"/>
        <v>1.1097935065346463</v>
      </c>
      <c r="G923" s="306">
        <f t="shared" ca="1" si="417"/>
        <v>7.2640271470509914</v>
      </c>
      <c r="H923" s="307">
        <f t="shared" ca="1" si="418"/>
        <v>-98.508140418781892</v>
      </c>
      <c r="I923" s="304">
        <f t="shared" ca="1" si="419"/>
        <v>98.775603360139215</v>
      </c>
      <c r="J923" s="306">
        <f t="shared" ca="1" si="420"/>
        <v>678.53524446899166</v>
      </c>
      <c r="K923" s="307">
        <f t="shared" ca="1" si="421"/>
        <v>-8.2187761465101552</v>
      </c>
      <c r="L923" s="304">
        <f t="shared" ca="1" si="406"/>
        <v>678.58501771549652</v>
      </c>
      <c r="M923" s="306">
        <f t="shared" ca="1" si="422"/>
        <v>-1.4971891760396827</v>
      </c>
      <c r="N923" s="304">
        <f t="shared" ca="1" si="423"/>
        <v>-85.782620919743053</v>
      </c>
      <c r="P923" s="310">
        <f t="shared" ca="1" si="424"/>
        <v>23</v>
      </c>
      <c r="Q923" s="304">
        <f t="shared" ca="1" si="425"/>
        <v>0</v>
      </c>
      <c r="R923" s="306">
        <f t="shared" ca="1" si="426"/>
        <v>0</v>
      </c>
      <c r="S923" s="307">
        <f t="shared" ca="1" si="427"/>
        <v>4.341000000000002</v>
      </c>
      <c r="T923" s="304">
        <f t="shared" ca="1" si="407"/>
        <v>42.585210000000025</v>
      </c>
      <c r="U923" s="311">
        <f t="shared" ca="1" si="408"/>
        <v>0</v>
      </c>
      <c r="V923" s="306">
        <f t="shared" ca="1" si="409"/>
        <v>1.2260072139812597</v>
      </c>
      <c r="W923" s="304">
        <f t="shared" ca="1" si="410"/>
        <v>38.809212204287</v>
      </c>
      <c r="Y923" s="314" t="str">
        <f t="shared" ca="1" si="428"/>
        <v/>
      </c>
      <c r="Z923" s="315" t="str">
        <f t="shared" ca="1" si="429"/>
        <v/>
      </c>
      <c r="AA923" s="316" t="str">
        <f t="shared" ca="1" si="430"/>
        <v/>
      </c>
      <c r="AC923" s="310" t="e">
        <f t="shared" ca="1" si="431"/>
        <v>#N/A</v>
      </c>
      <c r="AD923" s="323" t="e">
        <f t="shared" ca="1" si="432"/>
        <v>#N/A</v>
      </c>
      <c r="AE923" s="324" t="e">
        <f t="shared" ca="1" si="411"/>
        <v>#N/A</v>
      </c>
      <c r="AG923" s="306">
        <f t="shared" ca="1" si="433"/>
        <v>0.84330533982188882</v>
      </c>
      <c r="AH923" s="304">
        <f t="shared" ca="1" si="434"/>
        <v>-8.9401307778734509</v>
      </c>
    </row>
    <row r="924" spans="1:34" x14ac:dyDescent="0.2">
      <c r="A924" s="347">
        <f t="shared" ca="1" si="412"/>
        <v>1E-4</v>
      </c>
      <c r="B924" s="304">
        <f t="shared" ca="1" si="413"/>
        <v>28.654400000000013</v>
      </c>
      <c r="D924" s="306">
        <f t="shared" ca="1" si="414"/>
        <v>-0.65746525782476695</v>
      </c>
      <c r="E924" s="307">
        <f t="shared" ca="1" si="415"/>
        <v>-0.89405315299985588</v>
      </c>
      <c r="F924" s="304">
        <f t="shared" ca="1" si="416"/>
        <v>1.1097709699012543</v>
      </c>
      <c r="G924" s="306">
        <f t="shared" ca="1" si="417"/>
        <v>7.2639614005252087</v>
      </c>
      <c r="H924" s="307">
        <f t="shared" ca="1" si="418"/>
        <v>-98.508229824097185</v>
      </c>
      <c r="I924" s="304">
        <f t="shared" ca="1" si="419"/>
        <v>98.775687688345002</v>
      </c>
      <c r="J924" s="306">
        <f t="shared" ca="1" si="420"/>
        <v>678.53524446899166</v>
      </c>
      <c r="K924" s="307">
        <f t="shared" ca="1" si="421"/>
        <v>-8.2286269650222987</v>
      </c>
      <c r="L924" s="304">
        <f t="shared" ca="1" si="406"/>
        <v>678.58513709653539</v>
      </c>
      <c r="M924" s="306">
        <f t="shared" ca="1" si="422"/>
        <v>-1.4971899064160508</v>
      </c>
      <c r="N924" s="304">
        <f t="shared" ca="1" si="423"/>
        <v>-85.782662767226398</v>
      </c>
      <c r="P924" s="310">
        <f t="shared" ca="1" si="424"/>
        <v>23</v>
      </c>
      <c r="Q924" s="304">
        <f t="shared" ca="1" si="425"/>
        <v>0</v>
      </c>
      <c r="R924" s="306">
        <f t="shared" ca="1" si="426"/>
        <v>0</v>
      </c>
      <c r="S924" s="307">
        <f t="shared" ca="1" si="427"/>
        <v>4.341000000000002</v>
      </c>
      <c r="T924" s="304">
        <f t="shared" ca="1" si="407"/>
        <v>42.585210000000025</v>
      </c>
      <c r="U924" s="311">
        <f t="shared" ca="1" si="408"/>
        <v>0</v>
      </c>
      <c r="V924" s="306">
        <f t="shared" ca="1" si="409"/>
        <v>1.2260084216995146</v>
      </c>
      <c r="W924" s="304">
        <f t="shared" ca="1" si="410"/>
        <v>38.809316700234639</v>
      </c>
      <c r="Y924" s="314" t="str">
        <f t="shared" ca="1" si="428"/>
        <v/>
      </c>
      <c r="Z924" s="315" t="str">
        <f t="shared" ca="1" si="429"/>
        <v/>
      </c>
      <c r="AA924" s="316" t="str">
        <f t="shared" ca="1" si="430"/>
        <v/>
      </c>
      <c r="AC924" s="310" t="e">
        <f t="shared" ca="1" si="431"/>
        <v>#N/A</v>
      </c>
      <c r="AD924" s="323" t="e">
        <f t="shared" ca="1" si="432"/>
        <v>#N/A</v>
      </c>
      <c r="AE924" s="324" t="e">
        <f t="shared" ca="1" si="411"/>
        <v>#N/A</v>
      </c>
      <c r="AG924" s="306">
        <f t="shared" ca="1" si="433"/>
        <v>0.84328179452150387</v>
      </c>
      <c r="AH924" s="304">
        <f t="shared" ca="1" si="434"/>
        <v>-8.9401548501006634</v>
      </c>
    </row>
    <row r="925" spans="1:34" x14ac:dyDescent="0.2">
      <c r="A925" s="347">
        <f t="shared" ca="1" si="412"/>
        <v>1E-4</v>
      </c>
      <c r="B925" s="304">
        <f t="shared" ca="1" si="413"/>
        <v>28.654500000000013</v>
      </c>
      <c r="D925" s="306">
        <f t="shared" ca="1" si="414"/>
        <v>-0.65746051607170619</v>
      </c>
      <c r="E925" s="307">
        <f t="shared" ca="1" si="415"/>
        <v>-0.89402866612446097</v>
      </c>
      <c r="F925" s="304">
        <f t="shared" ca="1" si="416"/>
        <v>1.1097484336756493</v>
      </c>
      <c r="G925" s="306">
        <f t="shared" ca="1" si="417"/>
        <v>7.2638956544736013</v>
      </c>
      <c r="H925" s="307">
        <f t="shared" ca="1" si="418"/>
        <v>-98.508319226963792</v>
      </c>
      <c r="I925" s="304">
        <f t="shared" ca="1" si="419"/>
        <v>98.775772014196306</v>
      </c>
      <c r="J925" s="306">
        <f t="shared" ca="1" si="420"/>
        <v>678.53524446899166</v>
      </c>
      <c r="K925" s="307">
        <f t="shared" ca="1" si="421"/>
        <v>-8.2384777924748516</v>
      </c>
      <c r="L925" s="304">
        <f t="shared" ca="1" si="406"/>
        <v>678.58525662066324</v>
      </c>
      <c r="M925" s="306">
        <f t="shared" ca="1" si="422"/>
        <v>-1.4971906367845611</v>
      </c>
      <c r="N925" s="304">
        <f t="shared" ca="1" si="423"/>
        <v>-85.782704614259529</v>
      </c>
      <c r="P925" s="310">
        <f t="shared" ca="1" si="424"/>
        <v>23</v>
      </c>
      <c r="Q925" s="304">
        <f t="shared" ca="1" si="425"/>
        <v>0</v>
      </c>
      <c r="R925" s="306">
        <f t="shared" ca="1" si="426"/>
        <v>0</v>
      </c>
      <c r="S925" s="307">
        <f t="shared" ca="1" si="427"/>
        <v>4.341000000000002</v>
      </c>
      <c r="T925" s="304">
        <f t="shared" ca="1" si="407"/>
        <v>42.585210000000025</v>
      </c>
      <c r="U925" s="311">
        <f t="shared" ca="1" si="408"/>
        <v>0</v>
      </c>
      <c r="V925" s="306">
        <f t="shared" ca="1" si="409"/>
        <v>1.226009629420056</v>
      </c>
      <c r="W925" s="304">
        <f t="shared" ca="1" si="410"/>
        <v>38.8094211945916</v>
      </c>
      <c r="Y925" s="314" t="str">
        <f t="shared" ca="1" si="428"/>
        <v/>
      </c>
      <c r="Z925" s="315" t="str">
        <f t="shared" ca="1" si="429"/>
        <v/>
      </c>
      <c r="AA925" s="316" t="str">
        <f t="shared" ca="1" si="430"/>
        <v/>
      </c>
      <c r="AC925" s="310" t="e">
        <f t="shared" ca="1" si="431"/>
        <v>#N/A</v>
      </c>
      <c r="AD925" s="323" t="e">
        <f t="shared" ca="1" si="432"/>
        <v>#N/A</v>
      </c>
      <c r="AE925" s="324" t="e">
        <f t="shared" ca="1" si="411"/>
        <v>#N/A</v>
      </c>
      <c r="AG925" s="306">
        <f t="shared" ca="1" si="433"/>
        <v>0.84325824957666562</v>
      </c>
      <c r="AH925" s="304">
        <f t="shared" ca="1" si="434"/>
        <v>-8.9401789219614418</v>
      </c>
    </row>
    <row r="926" spans="1:34" x14ac:dyDescent="0.2">
      <c r="A926" s="347">
        <f t="shared" ca="1" si="412"/>
        <v>1E-4</v>
      </c>
      <c r="B926" s="304">
        <f t="shared" ca="1" si="413"/>
        <v>28.654600000000013</v>
      </c>
      <c r="D926" s="306">
        <f t="shared" ca="1" si="414"/>
        <v>-0.65745577432633917</v>
      </c>
      <c r="E926" s="307">
        <f t="shared" ca="1" si="415"/>
        <v>-0.89400417962183987</v>
      </c>
      <c r="F926" s="304">
        <f t="shared" ca="1" si="416"/>
        <v>1.1097258978578293</v>
      </c>
      <c r="G926" s="306">
        <f t="shared" ca="1" si="417"/>
        <v>7.2638299088961684</v>
      </c>
      <c r="H926" s="307">
        <f t="shared" ca="1" si="418"/>
        <v>-98.508408627381755</v>
      </c>
      <c r="I926" s="304">
        <f t="shared" ca="1" si="419"/>
        <v>98.775856337693142</v>
      </c>
      <c r="J926" s="306">
        <f t="shared" ca="1" si="420"/>
        <v>678.53524446899166</v>
      </c>
      <c r="K926" s="307">
        <f t="shared" ca="1" si="421"/>
        <v>-8.2483286288675686</v>
      </c>
      <c r="L926" s="304">
        <f t="shared" ca="1" si="406"/>
        <v>678.58537628788031</v>
      </c>
      <c r="M926" s="306">
        <f t="shared" ca="1" si="422"/>
        <v>-1.4971913671452137</v>
      </c>
      <c r="N926" s="304">
        <f t="shared" ca="1" si="423"/>
        <v>-85.782746460842446</v>
      </c>
      <c r="P926" s="310">
        <f t="shared" ca="1" si="424"/>
        <v>23</v>
      </c>
      <c r="Q926" s="304">
        <f t="shared" ca="1" si="425"/>
        <v>0</v>
      </c>
      <c r="R926" s="306">
        <f t="shared" ca="1" si="426"/>
        <v>0</v>
      </c>
      <c r="S926" s="307">
        <f t="shared" ca="1" si="427"/>
        <v>4.341000000000002</v>
      </c>
      <c r="T926" s="304">
        <f t="shared" ca="1" si="407"/>
        <v>42.585210000000025</v>
      </c>
      <c r="U926" s="311">
        <f t="shared" ca="1" si="408"/>
        <v>0</v>
      </c>
      <c r="V926" s="306">
        <f t="shared" ca="1" si="409"/>
        <v>1.2260108371428835</v>
      </c>
      <c r="W926" s="304">
        <f t="shared" ca="1" si="410"/>
        <v>38.809525687357898</v>
      </c>
      <c r="Y926" s="314" t="str">
        <f t="shared" ca="1" si="428"/>
        <v/>
      </c>
      <c r="Z926" s="315" t="str">
        <f t="shared" ca="1" si="429"/>
        <v/>
      </c>
      <c r="AA926" s="316" t="str">
        <f t="shared" ca="1" si="430"/>
        <v/>
      </c>
      <c r="AC926" s="310" t="e">
        <f t="shared" ca="1" si="431"/>
        <v>#N/A</v>
      </c>
      <c r="AD926" s="323" t="e">
        <f t="shared" ca="1" si="432"/>
        <v>#N/A</v>
      </c>
      <c r="AE926" s="324" t="e">
        <f t="shared" ca="1" si="411"/>
        <v>#N/A</v>
      </c>
      <c r="AG926" s="306">
        <f t="shared" ca="1" si="433"/>
        <v>0.84323470498736874</v>
      </c>
      <c r="AH926" s="304">
        <f t="shared" ca="1" si="434"/>
        <v>-8.9402029934557898</v>
      </c>
    </row>
    <row r="927" spans="1:34" x14ac:dyDescent="0.2">
      <c r="A927" s="347">
        <f t="shared" ca="1" si="412"/>
        <v>1E-4</v>
      </c>
      <c r="B927" s="304">
        <f t="shared" ca="1" si="413"/>
        <v>28.654700000000012</v>
      </c>
      <c r="D927" s="306">
        <f t="shared" ca="1" si="414"/>
        <v>-0.65745103258866744</v>
      </c>
      <c r="E927" s="307">
        <f t="shared" ca="1" si="415"/>
        <v>-0.89397969349199435</v>
      </c>
      <c r="F927" s="304">
        <f t="shared" ca="1" si="416"/>
        <v>1.1097033624477963</v>
      </c>
      <c r="G927" s="306">
        <f t="shared" ca="1" si="417"/>
        <v>7.2637641637929091</v>
      </c>
      <c r="H927" s="307">
        <f t="shared" ca="1" si="418"/>
        <v>-98.508498025351102</v>
      </c>
      <c r="I927" s="304">
        <f t="shared" ca="1" si="419"/>
        <v>98.775940658835566</v>
      </c>
      <c r="J927" s="306">
        <f t="shared" ca="1" si="420"/>
        <v>678.53524446899166</v>
      </c>
      <c r="K927" s="307">
        <f t="shared" ca="1" si="421"/>
        <v>-8.2581794742002046</v>
      </c>
      <c r="L927" s="304">
        <f t="shared" ca="1" si="406"/>
        <v>678.58549609818692</v>
      </c>
      <c r="M927" s="306">
        <f t="shared" ca="1" si="422"/>
        <v>-1.4971920974980091</v>
      </c>
      <c r="N927" s="304">
        <f t="shared" ca="1" si="423"/>
        <v>-85.782788306975178</v>
      </c>
      <c r="P927" s="310">
        <f t="shared" ca="1" si="424"/>
        <v>23</v>
      </c>
      <c r="Q927" s="304">
        <f t="shared" ca="1" si="425"/>
        <v>0</v>
      </c>
      <c r="R927" s="306">
        <f t="shared" ca="1" si="426"/>
        <v>0</v>
      </c>
      <c r="S927" s="307">
        <f t="shared" ca="1" si="427"/>
        <v>4.341000000000002</v>
      </c>
      <c r="T927" s="304">
        <f t="shared" ca="1" si="407"/>
        <v>42.585210000000025</v>
      </c>
      <c r="U927" s="311">
        <f t="shared" ca="1" si="408"/>
        <v>0</v>
      </c>
      <c r="V927" s="306">
        <f t="shared" ca="1" si="409"/>
        <v>1.2260120448679974</v>
      </c>
      <c r="W927" s="304">
        <f t="shared" ca="1" si="410"/>
        <v>38.809630178533553</v>
      </c>
      <c r="Y927" s="314" t="str">
        <f t="shared" ca="1" si="428"/>
        <v/>
      </c>
      <c r="Z927" s="315" t="str">
        <f t="shared" ca="1" si="429"/>
        <v/>
      </c>
      <c r="AA927" s="316" t="str">
        <f t="shared" ca="1" si="430"/>
        <v/>
      </c>
      <c r="AC927" s="310" t="e">
        <f t="shared" ca="1" si="431"/>
        <v>#N/A</v>
      </c>
      <c r="AD927" s="323" t="e">
        <f t="shared" ca="1" si="432"/>
        <v>#N/A</v>
      </c>
      <c r="AE927" s="324" t="e">
        <f t="shared" ca="1" si="411"/>
        <v>#N/A</v>
      </c>
      <c r="AG927" s="306">
        <f t="shared" ca="1" si="433"/>
        <v>0.84321116075361502</v>
      </c>
      <c r="AH927" s="304">
        <f t="shared" ca="1" si="434"/>
        <v>-8.9402270645837092</v>
      </c>
    </row>
    <row r="928" spans="1:34" x14ac:dyDescent="0.2">
      <c r="A928" s="347">
        <f t="shared" ca="1" si="412"/>
        <v>1E-4</v>
      </c>
      <c r="B928" s="304">
        <f t="shared" ca="1" si="413"/>
        <v>28.654800000000012</v>
      </c>
      <c r="D928" s="306">
        <f t="shared" ca="1" si="414"/>
        <v>-0.657446290858689</v>
      </c>
      <c r="E928" s="307">
        <f t="shared" ca="1" si="415"/>
        <v>-0.89395520773491377</v>
      </c>
      <c r="F928" s="304">
        <f t="shared" ca="1" si="416"/>
        <v>1.1096808274455412</v>
      </c>
      <c r="G928" s="306">
        <f t="shared" ca="1" si="417"/>
        <v>7.2636984191638234</v>
      </c>
      <c r="H928" s="307">
        <f t="shared" ca="1" si="418"/>
        <v>-98.508587420871876</v>
      </c>
      <c r="I928" s="304">
        <f t="shared" ca="1" si="419"/>
        <v>98.776024977623592</v>
      </c>
      <c r="J928" s="306">
        <f t="shared" ca="1" si="420"/>
        <v>678.53524446899166</v>
      </c>
      <c r="K928" s="307">
        <f t="shared" ca="1" si="421"/>
        <v>-8.2680303284725163</v>
      </c>
      <c r="L928" s="304">
        <f t="shared" ca="1" si="406"/>
        <v>678.58561605158332</v>
      </c>
      <c r="M928" s="306">
        <f t="shared" ca="1" si="422"/>
        <v>-1.4971928278429469</v>
      </c>
      <c r="N928" s="304">
        <f t="shared" ca="1" si="423"/>
        <v>-85.782830152657709</v>
      </c>
      <c r="P928" s="310">
        <f t="shared" ca="1" si="424"/>
        <v>23</v>
      </c>
      <c r="Q928" s="304">
        <f t="shared" ca="1" si="425"/>
        <v>0</v>
      </c>
      <c r="R928" s="306">
        <f t="shared" ca="1" si="426"/>
        <v>0</v>
      </c>
      <c r="S928" s="307">
        <f t="shared" ca="1" si="427"/>
        <v>4.341000000000002</v>
      </c>
      <c r="T928" s="304">
        <f t="shared" ca="1" si="407"/>
        <v>42.585210000000025</v>
      </c>
      <c r="U928" s="311">
        <f t="shared" ca="1" si="408"/>
        <v>0</v>
      </c>
      <c r="V928" s="306">
        <f t="shared" ca="1" si="409"/>
        <v>1.2260132525953973</v>
      </c>
      <c r="W928" s="304">
        <f t="shared" ca="1" si="410"/>
        <v>38.809734668118566</v>
      </c>
      <c r="Y928" s="314" t="str">
        <f t="shared" ca="1" si="428"/>
        <v/>
      </c>
      <c r="Z928" s="315" t="str">
        <f t="shared" ca="1" si="429"/>
        <v/>
      </c>
      <c r="AA928" s="316" t="str">
        <f t="shared" ca="1" si="430"/>
        <v/>
      </c>
      <c r="AC928" s="310" t="e">
        <f t="shared" ca="1" si="431"/>
        <v>#N/A</v>
      </c>
      <c r="AD928" s="323" t="e">
        <f t="shared" ca="1" si="432"/>
        <v>#N/A</v>
      </c>
      <c r="AE928" s="324" t="e">
        <f t="shared" ca="1" si="411"/>
        <v>#N/A</v>
      </c>
      <c r="AG928" s="306">
        <f t="shared" ca="1" si="433"/>
        <v>0.84318761687539734</v>
      </c>
      <c r="AH928" s="304">
        <f t="shared" ca="1" si="434"/>
        <v>-8.9402511353452052</v>
      </c>
    </row>
    <row r="929" spans="1:34" x14ac:dyDescent="0.2">
      <c r="A929" s="347">
        <f t="shared" ca="1" si="412"/>
        <v>1E-4</v>
      </c>
      <c r="B929" s="304">
        <f t="shared" ca="1" si="413"/>
        <v>28.654900000000012</v>
      </c>
      <c r="D929" s="306">
        <f t="shared" ca="1" si="414"/>
        <v>-0.65744154913640684</v>
      </c>
      <c r="E929" s="307">
        <f t="shared" ca="1" si="415"/>
        <v>-0.89393072235060167</v>
      </c>
      <c r="F929" s="304">
        <f t="shared" ca="1" si="416"/>
        <v>1.1096582928510681</v>
      </c>
      <c r="G929" s="306">
        <f t="shared" ca="1" si="417"/>
        <v>7.2636326750089095</v>
      </c>
      <c r="H929" s="307">
        <f t="shared" ca="1" si="418"/>
        <v>-98.508676813944106</v>
      </c>
      <c r="I929" s="304">
        <f t="shared" ca="1" si="419"/>
        <v>98.776109294057264</v>
      </c>
      <c r="J929" s="306">
        <f t="shared" ca="1" si="420"/>
        <v>678.53524446899166</v>
      </c>
      <c r="K929" s="307">
        <f t="shared" ca="1" si="421"/>
        <v>-8.2778811916842567</v>
      </c>
      <c r="L929" s="304">
        <f t="shared" ca="1" si="406"/>
        <v>678.58573614806994</v>
      </c>
      <c r="M929" s="306">
        <f t="shared" ca="1" si="422"/>
        <v>-1.4971935581800278</v>
      </c>
      <c r="N929" s="304">
        <f t="shared" ca="1" si="423"/>
        <v>-85.782871997890055</v>
      </c>
      <c r="P929" s="310">
        <f t="shared" ca="1" si="424"/>
        <v>23</v>
      </c>
      <c r="Q929" s="304">
        <f t="shared" ca="1" si="425"/>
        <v>0</v>
      </c>
      <c r="R929" s="306">
        <f t="shared" ca="1" si="426"/>
        <v>0</v>
      </c>
      <c r="S929" s="307">
        <f t="shared" ca="1" si="427"/>
        <v>4.341000000000002</v>
      </c>
      <c r="T929" s="304">
        <f t="shared" ca="1" si="407"/>
        <v>42.585210000000025</v>
      </c>
      <c r="U929" s="311">
        <f t="shared" ca="1" si="408"/>
        <v>0</v>
      </c>
      <c r="V929" s="306">
        <f t="shared" ca="1" si="409"/>
        <v>1.2260144603250835</v>
      </c>
      <c r="W929" s="304">
        <f t="shared" ca="1" si="410"/>
        <v>38.809839156112986</v>
      </c>
      <c r="Y929" s="314" t="str">
        <f t="shared" ca="1" si="428"/>
        <v/>
      </c>
      <c r="Z929" s="315" t="str">
        <f t="shared" ca="1" si="429"/>
        <v/>
      </c>
      <c r="AA929" s="316" t="str">
        <f t="shared" ca="1" si="430"/>
        <v/>
      </c>
      <c r="AC929" s="310" t="e">
        <f t="shared" ca="1" si="431"/>
        <v>#N/A</v>
      </c>
      <c r="AD929" s="323" t="e">
        <f t="shared" ca="1" si="432"/>
        <v>#N/A</v>
      </c>
      <c r="AE929" s="324" t="e">
        <f t="shared" ca="1" si="411"/>
        <v>#N/A</v>
      </c>
      <c r="AG929" s="306">
        <f t="shared" ca="1" si="433"/>
        <v>0.84316407335271393</v>
      </c>
      <c r="AH929" s="304">
        <f t="shared" ca="1" si="434"/>
        <v>-8.9402752057402779</v>
      </c>
    </row>
    <row r="930" spans="1:34" x14ac:dyDescent="0.2">
      <c r="A930" s="347">
        <f t="shared" ca="1" si="412"/>
        <v>1E-4</v>
      </c>
      <c r="B930" s="304">
        <f t="shared" ca="1" si="413"/>
        <v>28.655000000000012</v>
      </c>
      <c r="D930" s="306">
        <f t="shared" ca="1" si="414"/>
        <v>-0.65743680742181954</v>
      </c>
      <c r="E930" s="307">
        <f t="shared" ca="1" si="415"/>
        <v>-0.89390623733904206</v>
      </c>
      <c r="F930" s="304">
        <f t="shared" ca="1" si="416"/>
        <v>1.1096357586643639</v>
      </c>
      <c r="G930" s="306">
        <f t="shared" ca="1" si="417"/>
        <v>7.2635669313281674</v>
      </c>
      <c r="H930" s="307">
        <f t="shared" ca="1" si="418"/>
        <v>-98.508766204567834</v>
      </c>
      <c r="I930" s="304">
        <f t="shared" ca="1" si="419"/>
        <v>98.776193608136623</v>
      </c>
      <c r="J930" s="306">
        <f t="shared" ca="1" si="420"/>
        <v>678.53524446899166</v>
      </c>
      <c r="K930" s="307">
        <f t="shared" ca="1" si="421"/>
        <v>-8.2877320638351826</v>
      </c>
      <c r="L930" s="304">
        <f t="shared" ca="1" si="406"/>
        <v>678.58585638764691</v>
      </c>
      <c r="M930" s="306">
        <f t="shared" ca="1" si="422"/>
        <v>-1.4971942885092513</v>
      </c>
      <c r="N930" s="304">
        <f t="shared" ca="1" si="423"/>
        <v>-85.78291384267223</v>
      </c>
      <c r="P930" s="310">
        <f t="shared" ca="1" si="424"/>
        <v>23</v>
      </c>
      <c r="Q930" s="304">
        <f t="shared" ca="1" si="425"/>
        <v>0</v>
      </c>
      <c r="R930" s="306">
        <f t="shared" ca="1" si="426"/>
        <v>0</v>
      </c>
      <c r="S930" s="307">
        <f t="shared" ca="1" si="427"/>
        <v>4.341000000000002</v>
      </c>
      <c r="T930" s="304">
        <f t="shared" ca="1" si="407"/>
        <v>42.585210000000025</v>
      </c>
      <c r="U930" s="311">
        <f t="shared" ca="1" si="408"/>
        <v>0</v>
      </c>
      <c r="V930" s="306">
        <f t="shared" ca="1" si="409"/>
        <v>1.2260156680570562</v>
      </c>
      <c r="W930" s="304">
        <f t="shared" ca="1" si="410"/>
        <v>38.809943642516799</v>
      </c>
      <c r="Y930" s="314" t="str">
        <f t="shared" ca="1" si="428"/>
        <v/>
      </c>
      <c r="Z930" s="315" t="str">
        <f t="shared" ca="1" si="429"/>
        <v/>
      </c>
      <c r="AA930" s="316" t="str">
        <f t="shared" ca="1" si="430"/>
        <v/>
      </c>
      <c r="AC930" s="310" t="e">
        <f t="shared" ca="1" si="431"/>
        <v>#N/A</v>
      </c>
      <c r="AD930" s="323" t="e">
        <f t="shared" ca="1" si="432"/>
        <v>#N/A</v>
      </c>
      <c r="AE930" s="324" t="e">
        <f t="shared" ca="1" si="411"/>
        <v>#N/A</v>
      </c>
      <c r="AG930" s="306">
        <f t="shared" ca="1" si="433"/>
        <v>0.84314053018555768</v>
      </c>
      <c r="AH930" s="304">
        <f t="shared" ca="1" si="434"/>
        <v>-8.9402992757689397</v>
      </c>
    </row>
    <row r="931" spans="1:34" x14ac:dyDescent="0.2">
      <c r="A931" s="347">
        <f t="shared" ca="1" si="412"/>
        <v>1E-4</v>
      </c>
      <c r="B931" s="304">
        <f t="shared" ca="1" si="413"/>
        <v>28.655100000000012</v>
      </c>
      <c r="D931" s="306">
        <f t="shared" ca="1" si="414"/>
        <v>-0.65743206571493007</v>
      </c>
      <c r="E931" s="307">
        <f t="shared" ca="1" si="415"/>
        <v>-0.89388175270024384</v>
      </c>
      <c r="F931" s="304">
        <f t="shared" ca="1" si="416"/>
        <v>1.1096132248854373</v>
      </c>
      <c r="G931" s="306">
        <f t="shared" ca="1" si="417"/>
        <v>7.2635011881215963</v>
      </c>
      <c r="H931" s="307">
        <f t="shared" ca="1" si="418"/>
        <v>-98.508855592743103</v>
      </c>
      <c r="I931" s="304">
        <f t="shared" ca="1" si="419"/>
        <v>98.776277919861698</v>
      </c>
      <c r="J931" s="306">
        <f t="shared" ca="1" si="420"/>
        <v>678.53524446899166</v>
      </c>
      <c r="K931" s="307">
        <f t="shared" ca="1" si="421"/>
        <v>-8.2975829449250487</v>
      </c>
      <c r="L931" s="304">
        <f t="shared" ca="1" si="406"/>
        <v>678.5859767703148</v>
      </c>
      <c r="M931" s="306">
        <f t="shared" ca="1" si="422"/>
        <v>-1.4971950188306178</v>
      </c>
      <c r="N931" s="304">
        <f t="shared" ca="1" si="423"/>
        <v>-85.782955687004218</v>
      </c>
      <c r="P931" s="310">
        <f t="shared" ca="1" si="424"/>
        <v>23</v>
      </c>
      <c r="Q931" s="304">
        <f t="shared" ca="1" si="425"/>
        <v>0</v>
      </c>
      <c r="R931" s="306">
        <f t="shared" ca="1" si="426"/>
        <v>0</v>
      </c>
      <c r="S931" s="307">
        <f t="shared" ca="1" si="427"/>
        <v>4.341000000000002</v>
      </c>
      <c r="T931" s="304">
        <f t="shared" ca="1" si="407"/>
        <v>42.585210000000025</v>
      </c>
      <c r="U931" s="311">
        <f t="shared" ca="1" si="408"/>
        <v>0</v>
      </c>
      <c r="V931" s="306">
        <f t="shared" ca="1" si="409"/>
        <v>1.2260168757913144</v>
      </c>
      <c r="W931" s="304">
        <f t="shared" ca="1" si="410"/>
        <v>38.810048127330028</v>
      </c>
      <c r="Y931" s="314" t="str">
        <f t="shared" ca="1" si="428"/>
        <v/>
      </c>
      <c r="Z931" s="315" t="str">
        <f t="shared" ca="1" si="429"/>
        <v/>
      </c>
      <c r="AA931" s="316" t="str">
        <f t="shared" ca="1" si="430"/>
        <v/>
      </c>
      <c r="AC931" s="310" t="e">
        <f t="shared" ca="1" si="431"/>
        <v>#N/A</v>
      </c>
      <c r="AD931" s="323" t="e">
        <f t="shared" ca="1" si="432"/>
        <v>#N/A</v>
      </c>
      <c r="AE931" s="324" t="e">
        <f t="shared" ca="1" si="411"/>
        <v>#N/A</v>
      </c>
      <c r="AG931" s="306">
        <f t="shared" ca="1" si="433"/>
        <v>0.84311698737392859</v>
      </c>
      <c r="AH931" s="304">
        <f t="shared" ca="1" si="434"/>
        <v>-8.940323345431187</v>
      </c>
    </row>
    <row r="932" spans="1:34" x14ac:dyDescent="0.2">
      <c r="A932" s="347">
        <f t="shared" ca="1" si="412"/>
        <v>1E-4</v>
      </c>
      <c r="B932" s="304">
        <f t="shared" ca="1" si="413"/>
        <v>28.655200000000011</v>
      </c>
      <c r="D932" s="306">
        <f t="shared" ca="1" si="414"/>
        <v>-0.65742732401573822</v>
      </c>
      <c r="E932" s="307">
        <f t="shared" ca="1" si="415"/>
        <v>-0.8938572684341981</v>
      </c>
      <c r="F932" s="304">
        <f t="shared" ca="1" si="416"/>
        <v>1.109590691514281</v>
      </c>
      <c r="G932" s="306">
        <f t="shared" ca="1" si="417"/>
        <v>7.2634354453891943</v>
      </c>
      <c r="H932" s="307">
        <f t="shared" ca="1" si="418"/>
        <v>-98.508944978469941</v>
      </c>
      <c r="I932" s="304">
        <f t="shared" ca="1" si="419"/>
        <v>98.776362229232532</v>
      </c>
      <c r="J932" s="306">
        <f t="shared" ca="1" si="420"/>
        <v>678.53524446899166</v>
      </c>
      <c r="K932" s="307">
        <f t="shared" ca="1" si="421"/>
        <v>-8.3074338349536099</v>
      </c>
      <c r="L932" s="304">
        <f t="shared" ca="1" si="406"/>
        <v>678.58609729607372</v>
      </c>
      <c r="M932" s="306">
        <f t="shared" ca="1" si="422"/>
        <v>-1.4971957491441272</v>
      </c>
      <c r="N932" s="304">
        <f t="shared" ca="1" si="423"/>
        <v>-85.782997530886021</v>
      </c>
      <c r="P932" s="310">
        <f t="shared" ca="1" si="424"/>
        <v>23</v>
      </c>
      <c r="Q932" s="304">
        <f t="shared" ca="1" si="425"/>
        <v>0</v>
      </c>
      <c r="R932" s="306">
        <f t="shared" ca="1" si="426"/>
        <v>0</v>
      </c>
      <c r="S932" s="307">
        <f t="shared" ca="1" si="427"/>
        <v>4.341000000000002</v>
      </c>
      <c r="T932" s="304">
        <f t="shared" ca="1" si="407"/>
        <v>42.585210000000025</v>
      </c>
      <c r="U932" s="311">
        <f t="shared" ca="1" si="408"/>
        <v>0</v>
      </c>
      <c r="V932" s="306">
        <f t="shared" ca="1" si="409"/>
        <v>1.2260180835278593</v>
      </c>
      <c r="W932" s="304">
        <f t="shared" ca="1" si="410"/>
        <v>38.810152610552713</v>
      </c>
      <c r="Y932" s="314" t="str">
        <f t="shared" ca="1" si="428"/>
        <v/>
      </c>
      <c r="Z932" s="315" t="str">
        <f t="shared" ca="1" si="429"/>
        <v/>
      </c>
      <c r="AA932" s="316" t="str">
        <f t="shared" ca="1" si="430"/>
        <v/>
      </c>
      <c r="AC932" s="310" t="e">
        <f t="shared" ca="1" si="431"/>
        <v>#N/A</v>
      </c>
      <c r="AD932" s="323" t="e">
        <f t="shared" ca="1" si="432"/>
        <v>#N/A</v>
      </c>
      <c r="AE932" s="324" t="e">
        <f t="shared" ca="1" si="411"/>
        <v>#N/A</v>
      </c>
      <c r="AG932" s="306">
        <f t="shared" ca="1" si="433"/>
        <v>0.84309344491782312</v>
      </c>
      <c r="AH932" s="304">
        <f t="shared" ca="1" si="434"/>
        <v>-8.9403474147270234</v>
      </c>
    </row>
    <row r="933" spans="1:34" x14ac:dyDescent="0.2">
      <c r="A933" s="347">
        <f t="shared" ca="1" si="412"/>
        <v>1E-4</v>
      </c>
      <c r="B933" s="304">
        <f t="shared" ca="1" si="413"/>
        <v>28.655300000000011</v>
      </c>
      <c r="D933" s="306">
        <f t="shared" ca="1" si="414"/>
        <v>-0.65742258232424611</v>
      </c>
      <c r="E933" s="307">
        <f t="shared" ca="1" si="415"/>
        <v>-0.89383278454089599</v>
      </c>
      <c r="F933" s="304">
        <f t="shared" ca="1" si="416"/>
        <v>1.1095681585508896</v>
      </c>
      <c r="G933" s="306">
        <f t="shared" ca="1" si="417"/>
        <v>7.2633697031309614</v>
      </c>
      <c r="H933" s="307">
        <f t="shared" ca="1" si="418"/>
        <v>-98.509034361748391</v>
      </c>
      <c r="I933" s="304">
        <f t="shared" ca="1" si="419"/>
        <v>98.776446536249153</v>
      </c>
      <c r="J933" s="306">
        <f t="shared" ca="1" si="420"/>
        <v>678.53524446899166</v>
      </c>
      <c r="K933" s="307">
        <f t="shared" ca="1" si="421"/>
        <v>-8.3172847339206211</v>
      </c>
      <c r="L933" s="304">
        <f t="shared" ca="1" si="406"/>
        <v>678.586217964924</v>
      </c>
      <c r="M933" s="306">
        <f t="shared" ca="1" si="422"/>
        <v>-1.4971964794497801</v>
      </c>
      <c r="N933" s="304">
        <f t="shared" ca="1" si="423"/>
        <v>-85.783039374317681</v>
      </c>
      <c r="P933" s="310">
        <f t="shared" ca="1" si="424"/>
        <v>23</v>
      </c>
      <c r="Q933" s="304">
        <f t="shared" ca="1" si="425"/>
        <v>0</v>
      </c>
      <c r="R933" s="306">
        <f t="shared" ca="1" si="426"/>
        <v>0</v>
      </c>
      <c r="S933" s="307">
        <f t="shared" ca="1" si="427"/>
        <v>4.341000000000002</v>
      </c>
      <c r="T933" s="304">
        <f t="shared" ca="1" si="407"/>
        <v>42.585210000000025</v>
      </c>
      <c r="U933" s="311">
        <f t="shared" ca="1" si="408"/>
        <v>0</v>
      </c>
      <c r="V933" s="306">
        <f t="shared" ca="1" si="409"/>
        <v>1.2260192912666898</v>
      </c>
      <c r="W933" s="304">
        <f t="shared" ca="1" si="410"/>
        <v>38.810257092184841</v>
      </c>
      <c r="Y933" s="314" t="str">
        <f t="shared" ca="1" si="428"/>
        <v/>
      </c>
      <c r="Z933" s="315" t="str">
        <f t="shared" ca="1" si="429"/>
        <v/>
      </c>
      <c r="AA933" s="316" t="str">
        <f t="shared" ca="1" si="430"/>
        <v/>
      </c>
      <c r="AC933" s="310" t="e">
        <f t="shared" ca="1" si="431"/>
        <v>#N/A</v>
      </c>
      <c r="AD933" s="323" t="e">
        <f t="shared" ca="1" si="432"/>
        <v>#N/A</v>
      </c>
      <c r="AE933" s="324" t="e">
        <f t="shared" ca="1" si="411"/>
        <v>#N/A</v>
      </c>
      <c r="AG933" s="306">
        <f t="shared" ca="1" si="433"/>
        <v>0.8430699028172306</v>
      </c>
      <c r="AH933" s="304">
        <f t="shared" ca="1" si="434"/>
        <v>-8.9403714836564614</v>
      </c>
    </row>
    <row r="934" spans="1:34" x14ac:dyDescent="0.2">
      <c r="A934" s="347">
        <f t="shared" ca="1" si="412"/>
        <v>1E-4</v>
      </c>
      <c r="B934" s="304">
        <f t="shared" ca="1" si="413"/>
        <v>28.655400000000011</v>
      </c>
      <c r="D934" s="306">
        <f t="shared" ca="1" si="414"/>
        <v>-0.65741784064045083</v>
      </c>
      <c r="E934" s="307">
        <f t="shared" ca="1" si="415"/>
        <v>-0.89380830102034281</v>
      </c>
      <c r="F934" s="304">
        <f t="shared" ca="1" si="416"/>
        <v>1.1095456259952652</v>
      </c>
      <c r="G934" s="306">
        <f t="shared" ca="1" si="417"/>
        <v>7.2633039613468977</v>
      </c>
      <c r="H934" s="307">
        <f t="shared" ca="1" si="418"/>
        <v>-98.509123742578495</v>
      </c>
      <c r="I934" s="304">
        <f t="shared" ca="1" si="419"/>
        <v>98.77653084091159</v>
      </c>
      <c r="J934" s="306">
        <f t="shared" ca="1" si="420"/>
        <v>678.53524446899166</v>
      </c>
      <c r="K934" s="307">
        <f t="shared" ca="1" si="421"/>
        <v>-8.3271356418258371</v>
      </c>
      <c r="L934" s="304">
        <f t="shared" ca="1" si="406"/>
        <v>678.58633877686611</v>
      </c>
      <c r="M934" s="306">
        <f t="shared" ca="1" si="422"/>
        <v>-1.4971972097475761</v>
      </c>
      <c r="N934" s="304">
        <f t="shared" ca="1" si="423"/>
        <v>-85.783081217299184</v>
      </c>
      <c r="P934" s="310">
        <f t="shared" ca="1" si="424"/>
        <v>23</v>
      </c>
      <c r="Q934" s="304">
        <f t="shared" ca="1" si="425"/>
        <v>0</v>
      </c>
      <c r="R934" s="306">
        <f t="shared" ca="1" si="426"/>
        <v>0</v>
      </c>
      <c r="S934" s="307">
        <f t="shared" ca="1" si="427"/>
        <v>4.341000000000002</v>
      </c>
      <c r="T934" s="304">
        <f t="shared" ca="1" si="407"/>
        <v>42.585210000000025</v>
      </c>
      <c r="U934" s="311">
        <f t="shared" ca="1" si="408"/>
        <v>0</v>
      </c>
      <c r="V934" s="306">
        <f t="shared" ca="1" si="409"/>
        <v>1.2260204990078067</v>
      </c>
      <c r="W934" s="304">
        <f t="shared" ca="1" si="410"/>
        <v>38.810361572226448</v>
      </c>
      <c r="Y934" s="314" t="str">
        <f t="shared" ca="1" si="428"/>
        <v/>
      </c>
      <c r="Z934" s="315" t="str">
        <f t="shared" ca="1" si="429"/>
        <v/>
      </c>
      <c r="AA934" s="316" t="str">
        <f t="shared" ca="1" si="430"/>
        <v/>
      </c>
      <c r="AC934" s="310" t="e">
        <f t="shared" ca="1" si="431"/>
        <v>#N/A</v>
      </c>
      <c r="AD934" s="323" t="e">
        <f t="shared" ca="1" si="432"/>
        <v>#N/A</v>
      </c>
      <c r="AE934" s="324" t="e">
        <f t="shared" ca="1" si="411"/>
        <v>#N/A</v>
      </c>
      <c r="AG934" s="306">
        <f t="shared" ca="1" si="433"/>
        <v>0.84304636107215636</v>
      </c>
      <c r="AH934" s="304">
        <f t="shared" ca="1" si="434"/>
        <v>-8.9403955522194938</v>
      </c>
    </row>
    <row r="935" spans="1:34" x14ac:dyDescent="0.2">
      <c r="A935" s="347">
        <f t="shared" ca="1" si="412"/>
        <v>1E-4</v>
      </c>
      <c r="B935" s="304">
        <f t="shared" ca="1" si="413"/>
        <v>28.655500000000011</v>
      </c>
      <c r="D935" s="306">
        <f t="shared" ca="1" si="414"/>
        <v>-0.65741309896435662</v>
      </c>
      <c r="E935" s="307">
        <f t="shared" ca="1" si="415"/>
        <v>-0.89378381787252614</v>
      </c>
      <c r="F935" s="304">
        <f t="shared" ca="1" si="416"/>
        <v>1.1095230938474008</v>
      </c>
      <c r="G935" s="306">
        <f t="shared" ca="1" si="417"/>
        <v>7.2632382200370014</v>
      </c>
      <c r="H935" s="307">
        <f t="shared" ca="1" si="418"/>
        <v>-98.509213120960283</v>
      </c>
      <c r="I935" s="304">
        <f t="shared" ca="1" si="419"/>
        <v>98.7766151432199</v>
      </c>
      <c r="J935" s="306">
        <f t="shared" ca="1" si="420"/>
        <v>678.53524446899166</v>
      </c>
      <c r="K935" s="307">
        <f t="shared" ca="1" si="421"/>
        <v>-8.3369865586690146</v>
      </c>
      <c r="L935" s="304">
        <f t="shared" ca="1" si="406"/>
        <v>678.58645973190016</v>
      </c>
      <c r="M935" s="306">
        <f t="shared" ca="1" si="422"/>
        <v>-1.4971979400375155</v>
      </c>
      <c r="N935" s="304">
        <f t="shared" ca="1" si="423"/>
        <v>-85.78312305983053</v>
      </c>
      <c r="P935" s="310">
        <f t="shared" ca="1" si="424"/>
        <v>23</v>
      </c>
      <c r="Q935" s="304">
        <f t="shared" ca="1" si="425"/>
        <v>0</v>
      </c>
      <c r="R935" s="306">
        <f t="shared" ca="1" si="426"/>
        <v>0</v>
      </c>
      <c r="S935" s="307">
        <f t="shared" ca="1" si="427"/>
        <v>4.341000000000002</v>
      </c>
      <c r="T935" s="304">
        <f t="shared" ca="1" si="407"/>
        <v>42.585210000000025</v>
      </c>
      <c r="U935" s="311">
        <f t="shared" ca="1" si="408"/>
        <v>0</v>
      </c>
      <c r="V935" s="306">
        <f t="shared" ca="1" si="409"/>
        <v>1.2260217067512096</v>
      </c>
      <c r="W935" s="304">
        <f t="shared" ca="1" si="410"/>
        <v>38.810466050677555</v>
      </c>
      <c r="Y935" s="314" t="str">
        <f t="shared" ca="1" si="428"/>
        <v/>
      </c>
      <c r="Z935" s="315" t="str">
        <f t="shared" ca="1" si="429"/>
        <v/>
      </c>
      <c r="AA935" s="316" t="str">
        <f t="shared" ca="1" si="430"/>
        <v/>
      </c>
      <c r="AC935" s="310" t="e">
        <f t="shared" ca="1" si="431"/>
        <v>#N/A</v>
      </c>
      <c r="AD935" s="323" t="e">
        <f t="shared" ca="1" si="432"/>
        <v>#N/A</v>
      </c>
      <c r="AE935" s="324" t="e">
        <f t="shared" ca="1" si="411"/>
        <v>#N/A</v>
      </c>
      <c r="AG935" s="306">
        <f t="shared" ca="1" si="433"/>
        <v>0.84302281968259152</v>
      </c>
      <c r="AH935" s="304">
        <f t="shared" ca="1" si="434"/>
        <v>-8.940419620416133</v>
      </c>
    </row>
    <row r="936" spans="1:34" x14ac:dyDescent="0.2">
      <c r="A936" s="347">
        <f t="shared" ca="1" si="412"/>
        <v>1E-4</v>
      </c>
      <c r="B936" s="304">
        <f t="shared" ca="1" si="413"/>
        <v>28.65560000000001</v>
      </c>
      <c r="D936" s="306">
        <f t="shared" ca="1" si="414"/>
        <v>-0.65740835729596292</v>
      </c>
      <c r="E936" s="307">
        <f t="shared" ca="1" si="415"/>
        <v>-0.89375933509744421</v>
      </c>
      <c r="F936" s="304">
        <f t="shared" ca="1" si="416"/>
        <v>1.1095005621072942</v>
      </c>
      <c r="G936" s="306">
        <f t="shared" ca="1" si="417"/>
        <v>7.2631724792012715</v>
      </c>
      <c r="H936" s="307">
        <f t="shared" ca="1" si="418"/>
        <v>-98.509302496893795</v>
      </c>
      <c r="I936" s="304">
        <f t="shared" ca="1" si="419"/>
        <v>98.77669944317411</v>
      </c>
      <c r="J936" s="306">
        <f t="shared" ca="1" si="420"/>
        <v>678.53524446899166</v>
      </c>
      <c r="K936" s="307">
        <f t="shared" ca="1" si="421"/>
        <v>-8.3468374844499067</v>
      </c>
      <c r="L936" s="304">
        <f t="shared" ca="1" si="406"/>
        <v>678.58658083002649</v>
      </c>
      <c r="M936" s="306">
        <f t="shared" ca="1" si="422"/>
        <v>-1.4971986703195985</v>
      </c>
      <c r="N936" s="304">
        <f t="shared" ca="1" si="423"/>
        <v>-85.783164901911746</v>
      </c>
      <c r="P936" s="310">
        <f t="shared" ca="1" si="424"/>
        <v>23</v>
      </c>
      <c r="Q936" s="304">
        <f t="shared" ca="1" si="425"/>
        <v>0</v>
      </c>
      <c r="R936" s="306">
        <f t="shared" ca="1" si="426"/>
        <v>0</v>
      </c>
      <c r="S936" s="307">
        <f t="shared" ca="1" si="427"/>
        <v>4.341000000000002</v>
      </c>
      <c r="T936" s="304">
        <f t="shared" ca="1" si="407"/>
        <v>42.585210000000025</v>
      </c>
      <c r="U936" s="311">
        <f t="shared" ca="1" si="408"/>
        <v>0</v>
      </c>
      <c r="V936" s="306">
        <f t="shared" ca="1" si="409"/>
        <v>1.2260229144968984</v>
      </c>
      <c r="W936" s="304">
        <f t="shared" ca="1" si="410"/>
        <v>38.810570527538175</v>
      </c>
      <c r="Y936" s="314" t="str">
        <f t="shared" ca="1" si="428"/>
        <v/>
      </c>
      <c r="Z936" s="315" t="str">
        <f t="shared" ca="1" si="429"/>
        <v/>
      </c>
      <c r="AA936" s="316" t="str">
        <f t="shared" ca="1" si="430"/>
        <v/>
      </c>
      <c r="AC936" s="310" t="e">
        <f t="shared" ca="1" si="431"/>
        <v>#N/A</v>
      </c>
      <c r="AD936" s="323" t="e">
        <f t="shared" ca="1" si="432"/>
        <v>#N/A</v>
      </c>
      <c r="AE936" s="324" t="e">
        <f t="shared" ca="1" si="411"/>
        <v>#N/A</v>
      </c>
      <c r="AG936" s="306">
        <f t="shared" ca="1" si="433"/>
        <v>0.8429992786485343</v>
      </c>
      <c r="AH936" s="304">
        <f t="shared" ca="1" si="434"/>
        <v>-8.9404436882463809</v>
      </c>
    </row>
    <row r="937" spans="1:34" x14ac:dyDescent="0.2">
      <c r="A937" s="347">
        <f t="shared" ca="1" si="412"/>
        <v>1E-4</v>
      </c>
      <c r="B937" s="304">
        <f t="shared" ca="1" si="413"/>
        <v>28.65570000000001</v>
      </c>
      <c r="D937" s="306">
        <f t="shared" ca="1" si="414"/>
        <v>-0.65740361563526939</v>
      </c>
      <c r="E937" s="307">
        <f t="shared" ca="1" si="415"/>
        <v>-0.89373485269509345</v>
      </c>
      <c r="F937" s="304">
        <f t="shared" ca="1" si="416"/>
        <v>1.109478030774943</v>
      </c>
      <c r="G937" s="306">
        <f t="shared" ca="1" si="417"/>
        <v>7.2631067388397081</v>
      </c>
      <c r="H937" s="307">
        <f t="shared" ca="1" si="418"/>
        <v>-98.509391870379062</v>
      </c>
      <c r="I937" s="304">
        <f t="shared" ca="1" si="419"/>
        <v>98.776783740774249</v>
      </c>
      <c r="J937" s="306">
        <f t="shared" ca="1" si="420"/>
        <v>678.53524446899166</v>
      </c>
      <c r="K937" s="307">
        <f t="shared" ca="1" si="421"/>
        <v>-8.35668841916827</v>
      </c>
      <c r="L937" s="304">
        <f t="shared" ca="1" si="406"/>
        <v>678.58670207124555</v>
      </c>
      <c r="M937" s="306">
        <f t="shared" ca="1" si="422"/>
        <v>-1.4971994005938252</v>
      </c>
      <c r="N937" s="304">
        <f t="shared" ca="1" si="423"/>
        <v>-85.78320674354282</v>
      </c>
      <c r="P937" s="310">
        <f t="shared" ca="1" si="424"/>
        <v>23</v>
      </c>
      <c r="Q937" s="304">
        <f t="shared" ca="1" si="425"/>
        <v>0</v>
      </c>
      <c r="R937" s="306">
        <f t="shared" ca="1" si="426"/>
        <v>0</v>
      </c>
      <c r="S937" s="307">
        <f t="shared" ca="1" si="427"/>
        <v>4.341000000000002</v>
      </c>
      <c r="T937" s="304">
        <f t="shared" ca="1" si="407"/>
        <v>42.585210000000025</v>
      </c>
      <c r="U937" s="311">
        <f t="shared" ca="1" si="408"/>
        <v>0</v>
      </c>
      <c r="V937" s="306">
        <f t="shared" ca="1" si="409"/>
        <v>1.2260241222448733</v>
      </c>
      <c r="W937" s="304">
        <f t="shared" ca="1" si="410"/>
        <v>38.810675002808324</v>
      </c>
      <c r="Y937" s="314" t="str">
        <f t="shared" ca="1" si="428"/>
        <v/>
      </c>
      <c r="Z937" s="315" t="str">
        <f t="shared" ca="1" si="429"/>
        <v/>
      </c>
      <c r="AA937" s="316" t="str">
        <f t="shared" ca="1" si="430"/>
        <v/>
      </c>
      <c r="AC937" s="310" t="e">
        <f t="shared" ca="1" si="431"/>
        <v>#N/A</v>
      </c>
      <c r="AD937" s="323" t="e">
        <f t="shared" ca="1" si="432"/>
        <v>#N/A</v>
      </c>
      <c r="AE937" s="324" t="e">
        <f t="shared" ca="1" si="411"/>
        <v>#N/A</v>
      </c>
      <c r="AG937" s="306">
        <f t="shared" ca="1" si="433"/>
        <v>0.8429757379699776</v>
      </c>
      <c r="AH937" s="304">
        <f t="shared" ca="1" si="434"/>
        <v>-8.940467755710241</v>
      </c>
    </row>
    <row r="938" spans="1:34" x14ac:dyDescent="0.2">
      <c r="A938" s="347">
        <f t="shared" ca="1" si="412"/>
        <v>1E-4</v>
      </c>
      <c r="B938" s="304">
        <f t="shared" ca="1" si="413"/>
        <v>28.65580000000001</v>
      </c>
      <c r="D938" s="306">
        <f t="shared" ca="1" si="414"/>
        <v>-0.65739887398227781</v>
      </c>
      <c r="E938" s="307">
        <f t="shared" ca="1" si="415"/>
        <v>-0.89371037066546855</v>
      </c>
      <c r="F938" s="304">
        <f t="shared" ca="1" si="416"/>
        <v>1.1094554998503436</v>
      </c>
      <c r="G938" s="306">
        <f t="shared" ca="1" si="417"/>
        <v>7.2630409989523095</v>
      </c>
      <c r="H938" s="307">
        <f t="shared" ca="1" si="418"/>
        <v>-98.509481241416125</v>
      </c>
      <c r="I938" s="304">
        <f t="shared" ca="1" si="419"/>
        <v>98.776868036020346</v>
      </c>
      <c r="J938" s="306">
        <f t="shared" ca="1" si="420"/>
        <v>678.53524446899166</v>
      </c>
      <c r="K938" s="307">
        <f t="shared" ca="1" si="421"/>
        <v>-8.3665393628238593</v>
      </c>
      <c r="L938" s="304">
        <f t="shared" ca="1" si="406"/>
        <v>678.58682345555758</v>
      </c>
      <c r="M938" s="306">
        <f t="shared" ca="1" si="422"/>
        <v>-1.4972001308601954</v>
      </c>
      <c r="N938" s="304">
        <f t="shared" ca="1" si="423"/>
        <v>-85.783248584723765</v>
      </c>
      <c r="P938" s="310">
        <f t="shared" ca="1" si="424"/>
        <v>23</v>
      </c>
      <c r="Q938" s="304">
        <f t="shared" ca="1" si="425"/>
        <v>0</v>
      </c>
      <c r="R938" s="306">
        <f t="shared" ca="1" si="426"/>
        <v>0</v>
      </c>
      <c r="S938" s="307">
        <f t="shared" ca="1" si="427"/>
        <v>4.341000000000002</v>
      </c>
      <c r="T938" s="304">
        <f t="shared" ca="1" si="407"/>
        <v>42.585210000000025</v>
      </c>
      <c r="U938" s="311">
        <f t="shared" ca="1" si="408"/>
        <v>0</v>
      </c>
      <c r="V938" s="306">
        <f t="shared" ca="1" si="409"/>
        <v>1.2260253299951345</v>
      </c>
      <c r="W938" s="304">
        <f t="shared" ca="1" si="410"/>
        <v>38.810779476488015</v>
      </c>
      <c r="Y938" s="314" t="str">
        <f t="shared" ca="1" si="428"/>
        <v/>
      </c>
      <c r="Z938" s="315" t="str">
        <f t="shared" ca="1" si="429"/>
        <v/>
      </c>
      <c r="AA938" s="316" t="str">
        <f t="shared" ca="1" si="430"/>
        <v/>
      </c>
      <c r="AC938" s="310" t="e">
        <f t="shared" ca="1" si="431"/>
        <v>#N/A</v>
      </c>
      <c r="AD938" s="323" t="e">
        <f t="shared" ca="1" si="432"/>
        <v>#N/A</v>
      </c>
      <c r="AE938" s="324" t="e">
        <f t="shared" ca="1" si="411"/>
        <v>#N/A</v>
      </c>
      <c r="AG938" s="306">
        <f t="shared" ca="1" si="433"/>
        <v>0.84295219764692142</v>
      </c>
      <c r="AH938" s="304">
        <f t="shared" ca="1" si="434"/>
        <v>-8.9404918228077186</v>
      </c>
    </row>
    <row r="939" spans="1:34" x14ac:dyDescent="0.2">
      <c r="A939" s="347">
        <f t="shared" ca="1" si="412"/>
        <v>1E-4</v>
      </c>
      <c r="B939" s="304">
        <f t="shared" ca="1" si="413"/>
        <v>28.65590000000001</v>
      </c>
      <c r="D939" s="306">
        <f t="shared" ca="1" si="414"/>
        <v>-0.65739413233698973</v>
      </c>
      <c r="E939" s="307">
        <f t="shared" ca="1" si="415"/>
        <v>-0.89368588900856949</v>
      </c>
      <c r="F939" s="304">
        <f t="shared" ca="1" si="416"/>
        <v>1.1094329693334974</v>
      </c>
      <c r="G939" s="306">
        <f t="shared" ca="1" si="417"/>
        <v>7.2629752595390755</v>
      </c>
      <c r="H939" s="307">
        <f t="shared" ca="1" si="418"/>
        <v>-98.509570610005028</v>
      </c>
      <c r="I939" s="304">
        <f t="shared" ca="1" si="419"/>
        <v>98.776952328912458</v>
      </c>
      <c r="J939" s="306">
        <f t="shared" ca="1" si="420"/>
        <v>678.53524446899166</v>
      </c>
      <c r="K939" s="307">
        <f t="shared" ca="1" si="421"/>
        <v>-8.3763903154164296</v>
      </c>
      <c r="L939" s="304">
        <f t="shared" ca="1" si="406"/>
        <v>678.58694498296279</v>
      </c>
      <c r="M939" s="306">
        <f t="shared" ca="1" si="422"/>
        <v>-1.4972008611187095</v>
      </c>
      <c r="N939" s="304">
        <f t="shared" ca="1" si="423"/>
        <v>-85.783290425454567</v>
      </c>
      <c r="P939" s="310">
        <f t="shared" ca="1" si="424"/>
        <v>23</v>
      </c>
      <c r="Q939" s="304">
        <f t="shared" ca="1" si="425"/>
        <v>0</v>
      </c>
      <c r="R939" s="306">
        <f t="shared" ca="1" si="426"/>
        <v>0</v>
      </c>
      <c r="S939" s="307">
        <f t="shared" ca="1" si="427"/>
        <v>4.341000000000002</v>
      </c>
      <c r="T939" s="304">
        <f t="shared" ca="1" si="407"/>
        <v>42.585210000000025</v>
      </c>
      <c r="U939" s="311">
        <f t="shared" ca="1" si="408"/>
        <v>0</v>
      </c>
      <c r="V939" s="306">
        <f t="shared" ca="1" si="409"/>
        <v>1.2260265377476811</v>
      </c>
      <c r="W939" s="304">
        <f t="shared" ca="1" si="410"/>
        <v>38.810883948577263</v>
      </c>
      <c r="Y939" s="314" t="str">
        <f t="shared" ca="1" si="428"/>
        <v/>
      </c>
      <c r="Z939" s="315" t="str">
        <f t="shared" ca="1" si="429"/>
        <v/>
      </c>
      <c r="AA939" s="316" t="str">
        <f t="shared" ca="1" si="430"/>
        <v/>
      </c>
      <c r="AC939" s="310" t="e">
        <f t="shared" ca="1" si="431"/>
        <v>#N/A</v>
      </c>
      <c r="AD939" s="323" t="e">
        <f t="shared" ca="1" si="432"/>
        <v>#N/A</v>
      </c>
      <c r="AE939" s="324" t="e">
        <f t="shared" ca="1" si="411"/>
        <v>#N/A</v>
      </c>
      <c r="AG939" s="306">
        <f t="shared" ca="1" si="433"/>
        <v>0.84292865767935687</v>
      </c>
      <c r="AH939" s="304">
        <f t="shared" ca="1" si="434"/>
        <v>-8.9405158895388155</v>
      </c>
    </row>
    <row r="940" spans="1:34" x14ac:dyDescent="0.2">
      <c r="A940" s="347">
        <f t="shared" ca="1" si="412"/>
        <v>1E-4</v>
      </c>
      <c r="B940" s="304">
        <f t="shared" ca="1" si="413"/>
        <v>28.656000000000009</v>
      </c>
      <c r="D940" s="306">
        <f t="shared" ca="1" si="414"/>
        <v>-0.65738939069940483</v>
      </c>
      <c r="E940" s="307">
        <f t="shared" ca="1" si="415"/>
        <v>-0.8936614077243874</v>
      </c>
      <c r="F940" s="304">
        <f t="shared" ca="1" si="416"/>
        <v>1.1094104392243966</v>
      </c>
      <c r="G940" s="306">
        <f t="shared" ca="1" si="417"/>
        <v>7.2629095206000054</v>
      </c>
      <c r="H940" s="307">
        <f t="shared" ca="1" si="418"/>
        <v>-98.509659976145798</v>
      </c>
      <c r="I940" s="304">
        <f t="shared" ca="1" si="419"/>
        <v>98.777036619450584</v>
      </c>
      <c r="J940" s="306">
        <f t="shared" ca="1" si="420"/>
        <v>678.53524446899166</v>
      </c>
      <c r="K940" s="307">
        <f t="shared" ca="1" si="421"/>
        <v>-8.3862412769457375</v>
      </c>
      <c r="L940" s="304">
        <f t="shared" ca="1" si="406"/>
        <v>678.58706665346153</v>
      </c>
      <c r="M940" s="306">
        <f t="shared" ca="1" si="422"/>
        <v>-1.4972015913693675</v>
      </c>
      <c r="N940" s="304">
        <f t="shared" ca="1" si="423"/>
        <v>-85.783332265735254</v>
      </c>
      <c r="P940" s="310">
        <f t="shared" ca="1" si="424"/>
        <v>23</v>
      </c>
      <c r="Q940" s="304">
        <f t="shared" ca="1" si="425"/>
        <v>0</v>
      </c>
      <c r="R940" s="306">
        <f t="shared" ca="1" si="426"/>
        <v>0</v>
      </c>
      <c r="S940" s="307">
        <f t="shared" ca="1" si="427"/>
        <v>4.341000000000002</v>
      </c>
      <c r="T940" s="304">
        <f t="shared" ca="1" si="407"/>
        <v>42.585210000000025</v>
      </c>
      <c r="U940" s="311">
        <f t="shared" ca="1" si="408"/>
        <v>0</v>
      </c>
      <c r="V940" s="306">
        <f t="shared" ca="1" si="409"/>
        <v>1.2260277455025137</v>
      </c>
      <c r="W940" s="304">
        <f t="shared" ca="1" si="410"/>
        <v>38.810988419076075</v>
      </c>
      <c r="Y940" s="314" t="str">
        <f t="shared" ca="1" si="428"/>
        <v/>
      </c>
      <c r="Z940" s="315" t="str">
        <f t="shared" ca="1" si="429"/>
        <v/>
      </c>
      <c r="AA940" s="316" t="str">
        <f t="shared" ca="1" si="430"/>
        <v/>
      </c>
      <c r="AC940" s="310" t="e">
        <f t="shared" ca="1" si="431"/>
        <v>#N/A</v>
      </c>
      <c r="AD940" s="323" t="e">
        <f t="shared" ca="1" si="432"/>
        <v>#N/A</v>
      </c>
      <c r="AE940" s="324" t="e">
        <f t="shared" ca="1" si="411"/>
        <v>#N/A</v>
      </c>
      <c r="AG940" s="306">
        <f t="shared" ca="1" si="433"/>
        <v>0.84290511806728929</v>
      </c>
      <c r="AH940" s="304">
        <f t="shared" ca="1" si="434"/>
        <v>-8.9405399559035352</v>
      </c>
    </row>
    <row r="941" spans="1:34" x14ac:dyDescent="0.2">
      <c r="A941" s="347">
        <f t="shared" ca="1" si="412"/>
        <v>1E-4</v>
      </c>
      <c r="B941" s="304">
        <f t="shared" ca="1" si="413"/>
        <v>28.656100000000009</v>
      </c>
      <c r="D941" s="306">
        <f t="shared" ca="1" si="414"/>
        <v>-0.65738464906952454</v>
      </c>
      <c r="E941" s="307">
        <f t="shared" ca="1" si="415"/>
        <v>-0.89363692681292584</v>
      </c>
      <c r="F941" s="304">
        <f t="shared" ca="1" si="416"/>
        <v>1.1093879095230452</v>
      </c>
      <c r="G941" s="306">
        <f t="shared" ca="1" si="417"/>
        <v>7.2628437821350982</v>
      </c>
      <c r="H941" s="307">
        <f t="shared" ca="1" si="418"/>
        <v>-98.509749339838478</v>
      </c>
      <c r="I941" s="304">
        <f t="shared" ca="1" si="419"/>
        <v>98.77712090763481</v>
      </c>
      <c r="J941" s="306">
        <f t="shared" ca="1" si="420"/>
        <v>678.53524446899166</v>
      </c>
      <c r="K941" s="307">
        <f t="shared" ca="1" si="421"/>
        <v>-8.396092247411536</v>
      </c>
      <c r="L941" s="304">
        <f t="shared" ca="1" si="406"/>
        <v>678.58718846705426</v>
      </c>
      <c r="M941" s="306">
        <f t="shared" ca="1" si="422"/>
        <v>-1.4972023216121697</v>
      </c>
      <c r="N941" s="304">
        <f t="shared" ca="1" si="423"/>
        <v>-85.783374105565841</v>
      </c>
      <c r="P941" s="310">
        <f t="shared" ca="1" si="424"/>
        <v>23</v>
      </c>
      <c r="Q941" s="304">
        <f t="shared" ca="1" si="425"/>
        <v>0</v>
      </c>
      <c r="R941" s="306">
        <f t="shared" ca="1" si="426"/>
        <v>0</v>
      </c>
      <c r="S941" s="307">
        <f t="shared" ca="1" si="427"/>
        <v>4.341000000000002</v>
      </c>
      <c r="T941" s="304">
        <f t="shared" ca="1" si="407"/>
        <v>42.585210000000025</v>
      </c>
      <c r="U941" s="311">
        <f t="shared" ca="1" si="408"/>
        <v>0</v>
      </c>
      <c r="V941" s="306">
        <f t="shared" ca="1" si="409"/>
        <v>1.2260289532596322</v>
      </c>
      <c r="W941" s="304">
        <f t="shared" ca="1" si="410"/>
        <v>38.811092887984508</v>
      </c>
      <c r="Y941" s="314" t="str">
        <f t="shared" ca="1" si="428"/>
        <v/>
      </c>
      <c r="Z941" s="315" t="str">
        <f t="shared" ca="1" si="429"/>
        <v/>
      </c>
      <c r="AA941" s="316" t="str">
        <f t="shared" ca="1" si="430"/>
        <v/>
      </c>
      <c r="AC941" s="310" t="e">
        <f t="shared" ca="1" si="431"/>
        <v>#N/A</v>
      </c>
      <c r="AD941" s="323" t="e">
        <f t="shared" ca="1" si="432"/>
        <v>#N/A</v>
      </c>
      <c r="AE941" s="324" t="e">
        <f t="shared" ca="1" si="411"/>
        <v>#N/A</v>
      </c>
      <c r="AG941" s="306">
        <f t="shared" ca="1" si="433"/>
        <v>0.84288157881071157</v>
      </c>
      <c r="AH941" s="304">
        <f t="shared" ca="1" si="434"/>
        <v>-8.9405640219018796</v>
      </c>
    </row>
    <row r="942" spans="1:34" x14ac:dyDescent="0.2">
      <c r="A942" s="347">
        <f t="shared" ca="1" si="412"/>
        <v>1E-4</v>
      </c>
      <c r="B942" s="304">
        <f t="shared" ca="1" si="413"/>
        <v>28.656200000000009</v>
      </c>
      <c r="D942" s="306">
        <f t="shared" ca="1" si="414"/>
        <v>-0.65737990744734731</v>
      </c>
      <c r="E942" s="307">
        <f t="shared" ca="1" si="415"/>
        <v>-0.89361244627417058</v>
      </c>
      <c r="F942" s="304">
        <f t="shared" ca="1" si="416"/>
        <v>1.109365380229431</v>
      </c>
      <c r="G942" s="306">
        <f t="shared" ca="1" si="417"/>
        <v>7.262778044144353</v>
      </c>
      <c r="H942" s="307">
        <f t="shared" ca="1" si="418"/>
        <v>-98.509838701083112</v>
      </c>
      <c r="I942" s="304">
        <f t="shared" ca="1" si="419"/>
        <v>98.777205193465136</v>
      </c>
      <c r="J942" s="306">
        <f t="shared" ca="1" si="420"/>
        <v>678.53524446899166</v>
      </c>
      <c r="K942" s="307">
        <f t="shared" ca="1" si="421"/>
        <v>-8.4059432268135819</v>
      </c>
      <c r="L942" s="304">
        <f t="shared" ca="1" si="406"/>
        <v>678.58731042374109</v>
      </c>
      <c r="M942" s="306">
        <f t="shared" ca="1" si="422"/>
        <v>-1.497203051847116</v>
      </c>
      <c r="N942" s="304">
        <f t="shared" ca="1" si="423"/>
        <v>-85.783415944946313</v>
      </c>
      <c r="P942" s="310">
        <f t="shared" ca="1" si="424"/>
        <v>23</v>
      </c>
      <c r="Q942" s="304">
        <f t="shared" ca="1" si="425"/>
        <v>0</v>
      </c>
      <c r="R942" s="306">
        <f t="shared" ca="1" si="426"/>
        <v>0</v>
      </c>
      <c r="S942" s="307">
        <f t="shared" ca="1" si="427"/>
        <v>4.341000000000002</v>
      </c>
      <c r="T942" s="304">
        <f t="shared" ca="1" si="407"/>
        <v>42.585210000000025</v>
      </c>
      <c r="U942" s="311">
        <f t="shared" ca="1" si="408"/>
        <v>0</v>
      </c>
      <c r="V942" s="306">
        <f t="shared" ca="1" si="409"/>
        <v>1.2260301610190369</v>
      </c>
      <c r="W942" s="304">
        <f t="shared" ca="1" si="410"/>
        <v>38.811197355302568</v>
      </c>
      <c r="Y942" s="314" t="str">
        <f t="shared" ca="1" si="428"/>
        <v/>
      </c>
      <c r="Z942" s="315" t="str">
        <f t="shared" ca="1" si="429"/>
        <v/>
      </c>
      <c r="AA942" s="316" t="str">
        <f t="shared" ca="1" si="430"/>
        <v/>
      </c>
      <c r="AC942" s="310" t="e">
        <f t="shared" ca="1" si="431"/>
        <v>#N/A</v>
      </c>
      <c r="AD942" s="323" t="e">
        <f t="shared" ca="1" si="432"/>
        <v>#N/A</v>
      </c>
      <c r="AE942" s="324" t="e">
        <f t="shared" ca="1" si="411"/>
        <v>#N/A</v>
      </c>
      <c r="AG942" s="306">
        <f t="shared" ca="1" si="433"/>
        <v>0.84285803990961305</v>
      </c>
      <c r="AH942" s="304">
        <f t="shared" ca="1" si="434"/>
        <v>-8.940588087533861</v>
      </c>
    </row>
    <row r="943" spans="1:34" x14ac:dyDescent="0.2">
      <c r="A943" s="347">
        <f t="shared" ca="1" si="412"/>
        <v>1E-4</v>
      </c>
      <c r="B943" s="304">
        <f t="shared" ca="1" si="413"/>
        <v>28.656300000000009</v>
      </c>
      <c r="D943" s="306">
        <f t="shared" ca="1" si="414"/>
        <v>-0.65737516583287647</v>
      </c>
      <c r="E943" s="307">
        <f t="shared" ca="1" si="415"/>
        <v>-0.89358796610811808</v>
      </c>
      <c r="F943" s="304">
        <f t="shared" ca="1" si="416"/>
        <v>1.1093428513435535</v>
      </c>
      <c r="G943" s="306">
        <f t="shared" ca="1" si="417"/>
        <v>7.2627123066277699</v>
      </c>
      <c r="H943" s="307">
        <f t="shared" ca="1" si="418"/>
        <v>-98.509928059879726</v>
      </c>
      <c r="I943" s="304">
        <f t="shared" ca="1" si="419"/>
        <v>98.777289476941633</v>
      </c>
      <c r="J943" s="306">
        <f t="shared" ca="1" si="420"/>
        <v>678.53524446899166</v>
      </c>
      <c r="K943" s="307">
        <f t="shared" ca="1" si="421"/>
        <v>-8.4157942151516298</v>
      </c>
      <c r="L943" s="304">
        <f t="shared" ca="1" si="406"/>
        <v>678.58743252352235</v>
      </c>
      <c r="M943" s="306">
        <f t="shared" ca="1" si="422"/>
        <v>-1.4972037820742066</v>
      </c>
      <c r="N943" s="304">
        <f t="shared" ca="1" si="423"/>
        <v>-85.783457783876699</v>
      </c>
      <c r="P943" s="310">
        <f t="shared" ca="1" si="424"/>
        <v>23</v>
      </c>
      <c r="Q943" s="304">
        <f t="shared" ca="1" si="425"/>
        <v>0</v>
      </c>
      <c r="R943" s="306">
        <f t="shared" ca="1" si="426"/>
        <v>0</v>
      </c>
      <c r="S943" s="307">
        <f t="shared" ca="1" si="427"/>
        <v>4.341000000000002</v>
      </c>
      <c r="T943" s="304">
        <f t="shared" ca="1" si="407"/>
        <v>42.585210000000025</v>
      </c>
      <c r="U943" s="311">
        <f t="shared" ca="1" si="408"/>
        <v>0</v>
      </c>
      <c r="V943" s="306">
        <f t="shared" ca="1" si="409"/>
        <v>1.2260313687807269</v>
      </c>
      <c r="W943" s="304">
        <f t="shared" ca="1" si="410"/>
        <v>38.811301821030263</v>
      </c>
      <c r="Y943" s="314" t="str">
        <f t="shared" ca="1" si="428"/>
        <v/>
      </c>
      <c r="Z943" s="315" t="str">
        <f t="shared" ca="1" si="429"/>
        <v/>
      </c>
      <c r="AA943" s="316" t="str">
        <f t="shared" ca="1" si="430"/>
        <v/>
      </c>
      <c r="AC943" s="310" t="e">
        <f t="shared" ca="1" si="431"/>
        <v>#N/A</v>
      </c>
      <c r="AD943" s="323" t="e">
        <f t="shared" ca="1" si="432"/>
        <v>#N/A</v>
      </c>
      <c r="AE943" s="324" t="e">
        <f t="shared" ca="1" si="411"/>
        <v>#N/A</v>
      </c>
      <c r="AG943" s="306">
        <f t="shared" ca="1" si="433"/>
        <v>0.84283450136399196</v>
      </c>
      <c r="AH943" s="304">
        <f t="shared" ca="1" si="434"/>
        <v>-8.9406121527994813</v>
      </c>
    </row>
    <row r="944" spans="1:34" x14ac:dyDescent="0.2">
      <c r="A944" s="347">
        <f t="shared" ca="1" si="412"/>
        <v>1E-4</v>
      </c>
      <c r="B944" s="304">
        <f t="shared" ca="1" si="413"/>
        <v>28.656400000000009</v>
      </c>
      <c r="D944" s="306">
        <f t="shared" ca="1" si="414"/>
        <v>-0.6573704242261118</v>
      </c>
      <c r="E944" s="307">
        <f t="shared" ca="1" si="415"/>
        <v>-0.89356348631476656</v>
      </c>
      <c r="F944" s="304">
        <f t="shared" ca="1" si="416"/>
        <v>1.1093203228654103</v>
      </c>
      <c r="G944" s="306">
        <f t="shared" ca="1" si="417"/>
        <v>7.262646569585347</v>
      </c>
      <c r="H944" s="307">
        <f t="shared" ca="1" si="418"/>
        <v>-98.510017416228351</v>
      </c>
      <c r="I944" s="304">
        <f t="shared" ca="1" si="419"/>
        <v>98.777373758064272</v>
      </c>
      <c r="J944" s="306">
        <f t="shared" ca="1" si="420"/>
        <v>678.53524446899166</v>
      </c>
      <c r="K944" s="307">
        <f t="shared" ca="1" si="421"/>
        <v>-8.4256452124254348</v>
      </c>
      <c r="L944" s="304">
        <f t="shared" ca="1" si="406"/>
        <v>678.58755476639851</v>
      </c>
      <c r="M944" s="306">
        <f t="shared" ca="1" si="422"/>
        <v>-1.4972045122934414</v>
      </c>
      <c r="N944" s="304">
        <f t="shared" ca="1" si="423"/>
        <v>-85.78349962235697</v>
      </c>
      <c r="P944" s="310">
        <f t="shared" ca="1" si="424"/>
        <v>23</v>
      </c>
      <c r="Q944" s="304">
        <f t="shared" ca="1" si="425"/>
        <v>0</v>
      </c>
      <c r="R944" s="306">
        <f t="shared" ca="1" si="426"/>
        <v>0</v>
      </c>
      <c r="S944" s="307">
        <f t="shared" ca="1" si="427"/>
        <v>4.341000000000002</v>
      </c>
      <c r="T944" s="304">
        <f t="shared" ca="1" si="407"/>
        <v>42.585210000000025</v>
      </c>
      <c r="U944" s="311">
        <f t="shared" ca="1" si="408"/>
        <v>0</v>
      </c>
      <c r="V944" s="306">
        <f t="shared" ca="1" si="409"/>
        <v>1.2260325765447031</v>
      </c>
      <c r="W944" s="304">
        <f t="shared" ca="1" si="410"/>
        <v>38.811406285167578</v>
      </c>
      <c r="Y944" s="314" t="str">
        <f t="shared" ca="1" si="428"/>
        <v/>
      </c>
      <c r="Z944" s="315" t="str">
        <f t="shared" ca="1" si="429"/>
        <v/>
      </c>
      <c r="AA944" s="316" t="str">
        <f t="shared" ca="1" si="430"/>
        <v/>
      </c>
      <c r="AC944" s="310" t="e">
        <f t="shared" ca="1" si="431"/>
        <v>#N/A</v>
      </c>
      <c r="AD944" s="323" t="e">
        <f t="shared" ca="1" si="432"/>
        <v>#N/A</v>
      </c>
      <c r="AE944" s="324" t="e">
        <f t="shared" ca="1" si="411"/>
        <v>#N/A</v>
      </c>
      <c r="AG944" s="306">
        <f t="shared" ca="1" si="433"/>
        <v>0.84281096317384652</v>
      </c>
      <c r="AH944" s="304">
        <f t="shared" ca="1" si="434"/>
        <v>-8.9406362176987439</v>
      </c>
    </row>
    <row r="945" spans="1:34" x14ac:dyDescent="0.2">
      <c r="A945" s="347">
        <f t="shared" ca="1" si="412"/>
        <v>1E-4</v>
      </c>
      <c r="B945" s="304">
        <f t="shared" ca="1" si="413"/>
        <v>28.656500000000008</v>
      </c>
      <c r="D945" s="306">
        <f t="shared" ca="1" si="414"/>
        <v>-0.65736568262705419</v>
      </c>
      <c r="E945" s="307">
        <f t="shared" ca="1" si="415"/>
        <v>-0.89353900689412313</v>
      </c>
      <c r="F945" s="304">
        <f t="shared" ca="1" si="416"/>
        <v>1.1092977947950085</v>
      </c>
      <c r="G945" s="306">
        <f t="shared" ca="1" si="417"/>
        <v>7.2625808330170845</v>
      </c>
      <c r="H945" s="307">
        <f t="shared" ca="1" si="418"/>
        <v>-98.510106770129042</v>
      </c>
      <c r="I945" s="304">
        <f t="shared" ca="1" si="419"/>
        <v>98.777458036833139</v>
      </c>
      <c r="J945" s="306">
        <f t="shared" ca="1" si="420"/>
        <v>678.53524446899166</v>
      </c>
      <c r="K945" s="307">
        <f t="shared" ca="1" si="421"/>
        <v>-8.4354962186347535</v>
      </c>
      <c r="L945" s="304">
        <f t="shared" ca="1" si="406"/>
        <v>678.58767715236979</v>
      </c>
      <c r="M945" s="306">
        <f t="shared" ca="1" si="422"/>
        <v>-1.4972052425048208</v>
      </c>
      <c r="N945" s="304">
        <f t="shared" ca="1" si="423"/>
        <v>-85.783541460387156</v>
      </c>
      <c r="P945" s="310">
        <f t="shared" ca="1" si="424"/>
        <v>23</v>
      </c>
      <c r="Q945" s="304">
        <f t="shared" ca="1" si="425"/>
        <v>0</v>
      </c>
      <c r="R945" s="306">
        <f t="shared" ca="1" si="426"/>
        <v>0</v>
      </c>
      <c r="S945" s="307">
        <f t="shared" ca="1" si="427"/>
        <v>4.341000000000002</v>
      </c>
      <c r="T945" s="304">
        <f t="shared" ca="1" si="407"/>
        <v>42.585210000000025</v>
      </c>
      <c r="U945" s="311">
        <f t="shared" ca="1" si="408"/>
        <v>0</v>
      </c>
      <c r="V945" s="306">
        <f t="shared" ca="1" si="409"/>
        <v>1.226033784310965</v>
      </c>
      <c r="W945" s="304">
        <f t="shared" ca="1" si="410"/>
        <v>38.811510747714564</v>
      </c>
      <c r="Y945" s="314" t="str">
        <f t="shared" ca="1" si="428"/>
        <v/>
      </c>
      <c r="Z945" s="315" t="str">
        <f t="shared" ca="1" si="429"/>
        <v/>
      </c>
      <c r="AA945" s="316" t="str">
        <f t="shared" ca="1" si="430"/>
        <v/>
      </c>
      <c r="AC945" s="310" t="e">
        <f t="shared" ca="1" si="431"/>
        <v>#N/A</v>
      </c>
      <c r="AD945" s="323" t="e">
        <f t="shared" ca="1" si="432"/>
        <v>#N/A</v>
      </c>
      <c r="AE945" s="324" t="e">
        <f t="shared" ca="1" si="411"/>
        <v>#N/A</v>
      </c>
      <c r="AG945" s="306">
        <f t="shared" ca="1" si="433"/>
        <v>0.84278742533918205</v>
      </c>
      <c r="AH945" s="304">
        <f t="shared" ca="1" si="434"/>
        <v>-8.9406602822316419</v>
      </c>
    </row>
    <row r="946" spans="1:34" x14ac:dyDescent="0.2">
      <c r="A946" s="347">
        <f t="shared" ca="1" si="412"/>
        <v>1E-4</v>
      </c>
      <c r="B946" s="304">
        <f t="shared" ca="1" si="413"/>
        <v>28.656600000000008</v>
      </c>
      <c r="D946" s="306">
        <f t="shared" ca="1" si="414"/>
        <v>-0.65736094103570397</v>
      </c>
      <c r="E946" s="307">
        <f t="shared" ca="1" si="415"/>
        <v>-0.8935145278461718</v>
      </c>
      <c r="F946" s="304">
        <f t="shared" ca="1" si="416"/>
        <v>1.1092752671323352</v>
      </c>
      <c r="G946" s="306">
        <f t="shared" ca="1" si="417"/>
        <v>7.2625150969229813</v>
      </c>
      <c r="H946" s="307">
        <f t="shared" ca="1" si="418"/>
        <v>-98.510196121581828</v>
      </c>
      <c r="I946" s="304">
        <f t="shared" ca="1" si="419"/>
        <v>98.777542313248247</v>
      </c>
      <c r="J946" s="306">
        <f t="shared" ca="1" si="420"/>
        <v>678.53524446899166</v>
      </c>
      <c r="K946" s="307">
        <f t="shared" ca="1" si="421"/>
        <v>-8.4453472337793389</v>
      </c>
      <c r="L946" s="304">
        <f t="shared" ca="1" si="406"/>
        <v>678.58779968143654</v>
      </c>
      <c r="M946" s="306">
        <f t="shared" ca="1" si="422"/>
        <v>-1.4972059727083449</v>
      </c>
      <c r="N946" s="304">
        <f t="shared" ca="1" si="423"/>
        <v>-85.783583297967283</v>
      </c>
      <c r="P946" s="310">
        <f t="shared" ca="1" si="424"/>
        <v>23</v>
      </c>
      <c r="Q946" s="304">
        <f t="shared" ca="1" si="425"/>
        <v>0</v>
      </c>
      <c r="R946" s="306">
        <f t="shared" ca="1" si="426"/>
        <v>0</v>
      </c>
      <c r="S946" s="307">
        <f t="shared" ca="1" si="427"/>
        <v>4.341000000000002</v>
      </c>
      <c r="T946" s="304">
        <f t="shared" ca="1" si="407"/>
        <v>42.585210000000025</v>
      </c>
      <c r="U946" s="311">
        <f t="shared" ca="1" si="408"/>
        <v>0</v>
      </c>
      <c r="V946" s="306">
        <f t="shared" ca="1" si="409"/>
        <v>1.2260349920795131</v>
      </c>
      <c r="W946" s="304">
        <f t="shared" ca="1" si="410"/>
        <v>38.811615208671256</v>
      </c>
      <c r="Y946" s="314" t="str">
        <f t="shared" ca="1" si="428"/>
        <v/>
      </c>
      <c r="Z946" s="315" t="str">
        <f t="shared" ca="1" si="429"/>
        <v/>
      </c>
      <c r="AA946" s="316" t="str">
        <f t="shared" ca="1" si="430"/>
        <v/>
      </c>
      <c r="AC946" s="310" t="e">
        <f t="shared" ca="1" si="431"/>
        <v>#N/A</v>
      </c>
      <c r="AD946" s="323" t="e">
        <f t="shared" ca="1" si="432"/>
        <v>#N/A</v>
      </c>
      <c r="AE946" s="324" t="e">
        <f t="shared" ca="1" si="411"/>
        <v>#N/A</v>
      </c>
      <c r="AG946" s="306">
        <f t="shared" ca="1" si="433"/>
        <v>0.84276388785998435</v>
      </c>
      <c r="AH946" s="304">
        <f t="shared" ca="1" si="434"/>
        <v>-8.9406843463981911</v>
      </c>
    </row>
    <row r="947" spans="1:34" x14ac:dyDescent="0.2">
      <c r="A947" s="347">
        <f t="shared" ca="1" si="412"/>
        <v>1E-4</v>
      </c>
      <c r="B947" s="304">
        <f t="shared" ca="1" si="413"/>
        <v>28.656700000000008</v>
      </c>
      <c r="D947" s="306">
        <f t="shared" ca="1" si="414"/>
        <v>-0.65735619945206114</v>
      </c>
      <c r="E947" s="307">
        <f t="shared" ca="1" si="415"/>
        <v>-0.89349004917090546</v>
      </c>
      <c r="F947" s="304">
        <f t="shared" ca="1" si="416"/>
        <v>1.1092527398773848</v>
      </c>
      <c r="G947" s="306">
        <f t="shared" ca="1" si="417"/>
        <v>7.2624493613030356</v>
      </c>
      <c r="H947" s="307">
        <f t="shared" ca="1" si="418"/>
        <v>-98.510285470586751</v>
      </c>
      <c r="I947" s="304">
        <f t="shared" ca="1" si="419"/>
        <v>98.777626587309669</v>
      </c>
      <c r="J947" s="306">
        <f t="shared" ca="1" si="420"/>
        <v>678.53524446899166</v>
      </c>
      <c r="K947" s="307">
        <f t="shared" ca="1" si="421"/>
        <v>-8.4551982578589477</v>
      </c>
      <c r="L947" s="304">
        <f t="shared" ca="1" si="406"/>
        <v>678.58792235359897</v>
      </c>
      <c r="M947" s="306">
        <f t="shared" ca="1" si="422"/>
        <v>-1.4972067029040135</v>
      </c>
      <c r="N947" s="304">
        <f t="shared" ca="1" si="423"/>
        <v>-85.78362513509731</v>
      </c>
      <c r="P947" s="310">
        <f t="shared" ca="1" si="424"/>
        <v>23</v>
      </c>
      <c r="Q947" s="304">
        <f t="shared" ca="1" si="425"/>
        <v>0</v>
      </c>
      <c r="R947" s="306">
        <f t="shared" ca="1" si="426"/>
        <v>0</v>
      </c>
      <c r="S947" s="307">
        <f t="shared" ca="1" si="427"/>
        <v>4.341000000000002</v>
      </c>
      <c r="T947" s="304">
        <f t="shared" ca="1" si="407"/>
        <v>42.585210000000025</v>
      </c>
      <c r="U947" s="311">
        <f t="shared" ca="1" si="408"/>
        <v>0</v>
      </c>
      <c r="V947" s="306">
        <f t="shared" ca="1" si="409"/>
        <v>1.2260361998503464</v>
      </c>
      <c r="W947" s="304">
        <f t="shared" ca="1" si="410"/>
        <v>38.81171966803764</v>
      </c>
      <c r="Y947" s="314" t="str">
        <f t="shared" ca="1" si="428"/>
        <v/>
      </c>
      <c r="Z947" s="315" t="str">
        <f t="shared" ca="1" si="429"/>
        <v/>
      </c>
      <c r="AA947" s="316" t="str">
        <f t="shared" ca="1" si="430"/>
        <v/>
      </c>
      <c r="AC947" s="310" t="e">
        <f t="shared" ca="1" si="431"/>
        <v>#N/A</v>
      </c>
      <c r="AD947" s="323" t="e">
        <f t="shared" ca="1" si="432"/>
        <v>#N/A</v>
      </c>
      <c r="AE947" s="324" t="e">
        <f t="shared" ca="1" si="411"/>
        <v>#N/A</v>
      </c>
      <c r="AG947" s="306">
        <f t="shared" ca="1" si="433"/>
        <v>0.84274035073624631</v>
      </c>
      <c r="AH947" s="304">
        <f t="shared" ca="1" si="434"/>
        <v>-8.9407084101983969</v>
      </c>
    </row>
    <row r="948" spans="1:34" x14ac:dyDescent="0.2">
      <c r="A948" s="347">
        <f t="shared" ca="1" si="412"/>
        <v>1E-4</v>
      </c>
      <c r="B948" s="304">
        <f t="shared" ca="1" si="413"/>
        <v>28.656800000000008</v>
      </c>
      <c r="D948" s="306">
        <f t="shared" ca="1" si="414"/>
        <v>-0.65735145787612892</v>
      </c>
      <c r="E948" s="307">
        <f t="shared" ca="1" si="415"/>
        <v>-0.89346557086832767</v>
      </c>
      <c r="F948" s="304">
        <f t="shared" ca="1" si="416"/>
        <v>1.1092302130301621</v>
      </c>
      <c r="G948" s="306">
        <f t="shared" ca="1" si="417"/>
        <v>7.2623836261572476</v>
      </c>
      <c r="H948" s="307">
        <f t="shared" ca="1" si="418"/>
        <v>-98.510374817143841</v>
      </c>
      <c r="I948" s="304">
        <f t="shared" ca="1" si="419"/>
        <v>98.777710859017404</v>
      </c>
      <c r="J948" s="306">
        <f t="shared" ca="1" si="420"/>
        <v>678.53524446899166</v>
      </c>
      <c r="K948" s="307">
        <f t="shared" ca="1" si="421"/>
        <v>-8.4650492908733348</v>
      </c>
      <c r="L948" s="304">
        <f t="shared" ca="1" si="406"/>
        <v>678.58804516885732</v>
      </c>
      <c r="M948" s="306">
        <f t="shared" ca="1" si="422"/>
        <v>-1.497207433091827</v>
      </c>
      <c r="N948" s="304">
        <f t="shared" ca="1" si="423"/>
        <v>-85.783666971777279</v>
      </c>
      <c r="P948" s="310">
        <f t="shared" ca="1" si="424"/>
        <v>23</v>
      </c>
      <c r="Q948" s="304">
        <f t="shared" ca="1" si="425"/>
        <v>0</v>
      </c>
      <c r="R948" s="306">
        <f t="shared" ca="1" si="426"/>
        <v>0</v>
      </c>
      <c r="S948" s="307">
        <f t="shared" ca="1" si="427"/>
        <v>4.341000000000002</v>
      </c>
      <c r="T948" s="304">
        <f t="shared" ca="1" si="407"/>
        <v>42.585210000000025</v>
      </c>
      <c r="U948" s="311">
        <f t="shared" ca="1" si="408"/>
        <v>0</v>
      </c>
      <c r="V948" s="306">
        <f t="shared" ca="1" si="409"/>
        <v>1.2260374076234652</v>
      </c>
      <c r="W948" s="304">
        <f t="shared" ca="1" si="410"/>
        <v>38.81182412581375</v>
      </c>
      <c r="Y948" s="314" t="str">
        <f t="shared" ca="1" si="428"/>
        <v/>
      </c>
      <c r="Z948" s="315" t="str">
        <f t="shared" ca="1" si="429"/>
        <v/>
      </c>
      <c r="AA948" s="316" t="str">
        <f t="shared" ca="1" si="430"/>
        <v/>
      </c>
      <c r="AC948" s="310" t="e">
        <f t="shared" ca="1" si="431"/>
        <v>#N/A</v>
      </c>
      <c r="AD948" s="323" t="e">
        <f t="shared" ca="1" si="432"/>
        <v>#N/A</v>
      </c>
      <c r="AE948" s="324" t="e">
        <f t="shared" ca="1" si="411"/>
        <v>#N/A</v>
      </c>
      <c r="AG948" s="306">
        <f t="shared" ca="1" si="433"/>
        <v>0.84271681396797327</v>
      </c>
      <c r="AH948" s="304">
        <f t="shared" ca="1" si="434"/>
        <v>-8.9407324736322558</v>
      </c>
    </row>
    <row r="949" spans="1:34" x14ac:dyDescent="0.2">
      <c r="A949" s="347">
        <f t="shared" ca="1" si="412"/>
        <v>1E-4</v>
      </c>
      <c r="B949" s="304">
        <f t="shared" ca="1" si="413"/>
        <v>28.656900000000007</v>
      </c>
      <c r="D949" s="306">
        <f t="shared" ca="1" si="414"/>
        <v>-0.65734671630790509</v>
      </c>
      <c r="E949" s="307">
        <f t="shared" ca="1" si="415"/>
        <v>-0.89344109293843132</v>
      </c>
      <c r="F949" s="304">
        <f t="shared" ca="1" si="416"/>
        <v>1.1092076865906602</v>
      </c>
      <c r="G949" s="306">
        <f t="shared" ca="1" si="417"/>
        <v>7.2623178914856172</v>
      </c>
      <c r="H949" s="307">
        <f t="shared" ca="1" si="418"/>
        <v>-98.51046416125314</v>
      </c>
      <c r="I949" s="304">
        <f t="shared" ca="1" si="419"/>
        <v>98.777795128371494</v>
      </c>
      <c r="J949" s="306">
        <f t="shared" ca="1" si="420"/>
        <v>678.53524446899166</v>
      </c>
      <c r="K949" s="307">
        <f t="shared" ca="1" si="421"/>
        <v>-8.474900332822255</v>
      </c>
      <c r="L949" s="304">
        <f t="shared" ca="1" si="406"/>
        <v>678.58816812721216</v>
      </c>
      <c r="M949" s="306">
        <f t="shared" ca="1" si="422"/>
        <v>-1.4972081632717853</v>
      </c>
      <c r="N949" s="304">
        <f t="shared" ca="1" si="423"/>
        <v>-85.783708808007177</v>
      </c>
      <c r="P949" s="310">
        <f t="shared" ca="1" si="424"/>
        <v>23</v>
      </c>
      <c r="Q949" s="304">
        <f t="shared" ca="1" si="425"/>
        <v>0</v>
      </c>
      <c r="R949" s="306">
        <f t="shared" ca="1" si="426"/>
        <v>0</v>
      </c>
      <c r="S949" s="307">
        <f t="shared" ca="1" si="427"/>
        <v>4.341000000000002</v>
      </c>
      <c r="T949" s="304">
        <f t="shared" ca="1" si="407"/>
        <v>42.585210000000025</v>
      </c>
      <c r="U949" s="311">
        <f t="shared" ca="1" si="408"/>
        <v>0</v>
      </c>
      <c r="V949" s="306">
        <f t="shared" ca="1" si="409"/>
        <v>1.2260386153988703</v>
      </c>
      <c r="W949" s="304">
        <f t="shared" ca="1" si="410"/>
        <v>38.811928581999595</v>
      </c>
      <c r="Y949" s="314" t="str">
        <f t="shared" ca="1" si="428"/>
        <v/>
      </c>
      <c r="Z949" s="315" t="str">
        <f t="shared" ca="1" si="429"/>
        <v/>
      </c>
      <c r="AA949" s="316" t="str">
        <f t="shared" ca="1" si="430"/>
        <v/>
      </c>
      <c r="AC949" s="310" t="e">
        <f t="shared" ca="1" si="431"/>
        <v>#N/A</v>
      </c>
      <c r="AD949" s="323" t="e">
        <f t="shared" ca="1" si="432"/>
        <v>#N/A</v>
      </c>
      <c r="AE949" s="324" t="e">
        <f t="shared" ca="1" si="411"/>
        <v>#N/A</v>
      </c>
      <c r="AG949" s="306">
        <f t="shared" ca="1" si="433"/>
        <v>0.84269327755515455</v>
      </c>
      <c r="AH949" s="304">
        <f t="shared" ca="1" si="434"/>
        <v>-8.9407565366997765</v>
      </c>
    </row>
    <row r="950" spans="1:34" x14ac:dyDescent="0.2">
      <c r="A950" s="347">
        <f t="shared" ca="1" si="412"/>
        <v>1E-4</v>
      </c>
      <c r="B950" s="304">
        <f t="shared" ca="1" si="413"/>
        <v>28.657000000000007</v>
      </c>
      <c r="D950" s="306">
        <f t="shared" ca="1" si="414"/>
        <v>-0.65734197474739342</v>
      </c>
      <c r="E950" s="307">
        <f t="shared" ca="1" si="415"/>
        <v>-0.89341661538121286</v>
      </c>
      <c r="F950" s="304">
        <f t="shared" ca="1" si="416"/>
        <v>1.1091851605588785</v>
      </c>
      <c r="G950" s="306">
        <f t="shared" ca="1" si="417"/>
        <v>7.2622521572881427</v>
      </c>
      <c r="H950" s="307">
        <f t="shared" ca="1" si="418"/>
        <v>-98.510553502914675</v>
      </c>
      <c r="I950" s="304">
        <f t="shared" ca="1" si="419"/>
        <v>98.777879395371968</v>
      </c>
      <c r="J950" s="306">
        <f t="shared" ca="1" si="420"/>
        <v>678.53524446899166</v>
      </c>
      <c r="K950" s="307">
        <f t="shared" ca="1" si="421"/>
        <v>-8.4847513837054631</v>
      </c>
      <c r="L950" s="304">
        <f t="shared" ca="1" si="406"/>
        <v>678.58829122866359</v>
      </c>
      <c r="M950" s="306">
        <f t="shared" ca="1" si="422"/>
        <v>-1.4972088934438887</v>
      </c>
      <c r="N950" s="304">
        <f t="shared" ca="1" si="423"/>
        <v>-85.783750643787016</v>
      </c>
      <c r="P950" s="310">
        <f t="shared" ca="1" si="424"/>
        <v>23</v>
      </c>
      <c r="Q950" s="304">
        <f t="shared" ca="1" si="425"/>
        <v>0</v>
      </c>
      <c r="R950" s="306">
        <f t="shared" ca="1" si="426"/>
        <v>0</v>
      </c>
      <c r="S950" s="307">
        <f t="shared" ca="1" si="427"/>
        <v>4.341000000000002</v>
      </c>
      <c r="T950" s="304">
        <f t="shared" ca="1" si="407"/>
        <v>42.585210000000025</v>
      </c>
      <c r="U950" s="311">
        <f t="shared" ca="1" si="408"/>
        <v>0</v>
      </c>
      <c r="V950" s="306">
        <f t="shared" ca="1" si="409"/>
        <v>1.2260398231765606</v>
      </c>
      <c r="W950" s="304">
        <f t="shared" ca="1" si="410"/>
        <v>38.812033036595182</v>
      </c>
      <c r="Y950" s="314" t="str">
        <f t="shared" ca="1" si="428"/>
        <v/>
      </c>
      <c r="Z950" s="315" t="str">
        <f t="shared" ca="1" si="429"/>
        <v/>
      </c>
      <c r="AA950" s="316" t="str">
        <f t="shared" ca="1" si="430"/>
        <v/>
      </c>
      <c r="AC950" s="310" t="e">
        <f t="shared" ca="1" si="431"/>
        <v>#N/A</v>
      </c>
      <c r="AD950" s="323" t="e">
        <f t="shared" ca="1" si="432"/>
        <v>#N/A</v>
      </c>
      <c r="AE950" s="324" t="e">
        <f t="shared" ca="1" si="411"/>
        <v>#N/A</v>
      </c>
      <c r="AG950" s="306">
        <f t="shared" ca="1" si="433"/>
        <v>0.84266974149779195</v>
      </c>
      <c r="AH950" s="304">
        <f t="shared" ca="1" si="434"/>
        <v>-8.9407805994009628</v>
      </c>
    </row>
    <row r="951" spans="1:34" x14ac:dyDescent="0.2">
      <c r="A951" s="347">
        <f t="shared" ca="1" si="412"/>
        <v>1E-4</v>
      </c>
      <c r="B951" s="304">
        <f t="shared" ca="1" si="413"/>
        <v>28.657100000000007</v>
      </c>
      <c r="D951" s="306">
        <f t="shared" ca="1" si="414"/>
        <v>-0.65733723319459114</v>
      </c>
      <c r="E951" s="307">
        <f t="shared" ca="1" si="415"/>
        <v>-0.89339213819667229</v>
      </c>
      <c r="F951" s="304">
        <f t="shared" ca="1" si="416"/>
        <v>1.1091626349348154</v>
      </c>
      <c r="G951" s="306">
        <f t="shared" ca="1" si="417"/>
        <v>7.262186423564823</v>
      </c>
      <c r="H951" s="307">
        <f t="shared" ca="1" si="418"/>
        <v>-98.51064284212849</v>
      </c>
      <c r="I951" s="304">
        <f t="shared" ca="1" si="419"/>
        <v>98.77796366001887</v>
      </c>
      <c r="J951" s="306">
        <f t="shared" ca="1" si="420"/>
        <v>678.53524446899166</v>
      </c>
      <c r="K951" s="307">
        <f t="shared" ca="1" si="421"/>
        <v>-8.4946024435227159</v>
      </c>
      <c r="L951" s="304">
        <f t="shared" ca="1" si="406"/>
        <v>678.58841447321197</v>
      </c>
      <c r="M951" s="306">
        <f t="shared" ca="1" si="422"/>
        <v>-1.4972096236081374</v>
      </c>
      <c r="N951" s="304">
        <f t="shared" ca="1" si="423"/>
        <v>-85.783792479116812</v>
      </c>
      <c r="P951" s="310">
        <f t="shared" ca="1" si="424"/>
        <v>23</v>
      </c>
      <c r="Q951" s="304">
        <f t="shared" ca="1" si="425"/>
        <v>0</v>
      </c>
      <c r="R951" s="306">
        <f t="shared" ca="1" si="426"/>
        <v>0</v>
      </c>
      <c r="S951" s="307">
        <f t="shared" ca="1" si="427"/>
        <v>4.341000000000002</v>
      </c>
      <c r="T951" s="304">
        <f t="shared" ca="1" si="407"/>
        <v>42.585210000000025</v>
      </c>
      <c r="U951" s="311">
        <f t="shared" ca="1" si="408"/>
        <v>0</v>
      </c>
      <c r="V951" s="306">
        <f t="shared" ca="1" si="409"/>
        <v>1.226041030956537</v>
      </c>
      <c r="W951" s="304">
        <f t="shared" ca="1" si="410"/>
        <v>38.812137489600552</v>
      </c>
      <c r="Y951" s="314" t="str">
        <f t="shared" ca="1" si="428"/>
        <v/>
      </c>
      <c r="Z951" s="315" t="str">
        <f t="shared" ca="1" si="429"/>
        <v/>
      </c>
      <c r="AA951" s="316" t="str">
        <f t="shared" ca="1" si="430"/>
        <v/>
      </c>
      <c r="AC951" s="310" t="e">
        <f t="shared" ca="1" si="431"/>
        <v>#N/A</v>
      </c>
      <c r="AD951" s="323" t="e">
        <f t="shared" ca="1" si="432"/>
        <v>#N/A</v>
      </c>
      <c r="AE951" s="324" t="e">
        <f t="shared" ca="1" si="411"/>
        <v>#N/A</v>
      </c>
      <c r="AG951" s="306">
        <f t="shared" ca="1" si="433"/>
        <v>0.84264620579588367</v>
      </c>
      <c r="AH951" s="304">
        <f t="shared" ca="1" si="434"/>
        <v>-8.9408046617358128</v>
      </c>
    </row>
    <row r="952" spans="1:34" x14ac:dyDescent="0.2">
      <c r="A952" s="347">
        <f t="shared" ca="1" si="412"/>
        <v>1E-4</v>
      </c>
      <c r="B952" s="304">
        <f t="shared" ca="1" si="413"/>
        <v>28.657200000000007</v>
      </c>
      <c r="D952" s="306">
        <f t="shared" ca="1" si="414"/>
        <v>-0.65733249164950058</v>
      </c>
      <c r="E952" s="307">
        <f t="shared" ca="1" si="415"/>
        <v>-0.89336766138479717</v>
      </c>
      <c r="F952" s="304">
        <f t="shared" ca="1" si="416"/>
        <v>1.1091401097184623</v>
      </c>
      <c r="G952" s="306">
        <f t="shared" ca="1" si="417"/>
        <v>7.2621206903156583</v>
      </c>
      <c r="H952" s="307">
        <f t="shared" ca="1" si="418"/>
        <v>-98.510732178894628</v>
      </c>
      <c r="I952" s="304">
        <f t="shared" ca="1" si="419"/>
        <v>98.778047922312254</v>
      </c>
      <c r="J952" s="306">
        <f t="shared" ca="1" si="420"/>
        <v>678.53524446899166</v>
      </c>
      <c r="K952" s="307">
        <f t="shared" ca="1" si="421"/>
        <v>-8.5044535122737663</v>
      </c>
      <c r="L952" s="304">
        <f t="shared" ca="1" si="406"/>
        <v>678.58853786085774</v>
      </c>
      <c r="M952" s="306">
        <f t="shared" ca="1" si="422"/>
        <v>-1.4972103537645312</v>
      </c>
      <c r="N952" s="304">
        <f t="shared" ca="1" si="423"/>
        <v>-85.783834313996564</v>
      </c>
      <c r="P952" s="310">
        <f t="shared" ca="1" si="424"/>
        <v>23</v>
      </c>
      <c r="Q952" s="304">
        <f t="shared" ca="1" si="425"/>
        <v>0</v>
      </c>
      <c r="R952" s="306">
        <f t="shared" ca="1" si="426"/>
        <v>0</v>
      </c>
      <c r="S952" s="307">
        <f t="shared" ca="1" si="427"/>
        <v>4.341000000000002</v>
      </c>
      <c r="T952" s="304">
        <f t="shared" ca="1" si="407"/>
        <v>42.585210000000025</v>
      </c>
      <c r="U952" s="311">
        <f t="shared" ca="1" si="408"/>
        <v>0</v>
      </c>
      <c r="V952" s="306">
        <f t="shared" ca="1" si="409"/>
        <v>1.2260422387387986</v>
      </c>
      <c r="W952" s="304">
        <f t="shared" ca="1" si="410"/>
        <v>38.812241941015706</v>
      </c>
      <c r="Y952" s="314" t="str">
        <f t="shared" ca="1" si="428"/>
        <v/>
      </c>
      <c r="Z952" s="315" t="str">
        <f t="shared" ca="1" si="429"/>
        <v/>
      </c>
      <c r="AA952" s="316" t="str">
        <f t="shared" ca="1" si="430"/>
        <v/>
      </c>
      <c r="AC952" s="310" t="e">
        <f t="shared" ca="1" si="431"/>
        <v>#N/A</v>
      </c>
      <c r="AD952" s="323" t="e">
        <f t="shared" ca="1" si="432"/>
        <v>#N/A</v>
      </c>
      <c r="AE952" s="324" t="e">
        <f t="shared" ca="1" si="411"/>
        <v>#N/A</v>
      </c>
      <c r="AG952" s="306">
        <f t="shared" ca="1" si="433"/>
        <v>0.84262267044941552</v>
      </c>
      <c r="AH952" s="304">
        <f t="shared" ca="1" si="434"/>
        <v>-8.9408287237043389</v>
      </c>
    </row>
    <row r="953" spans="1:34" x14ac:dyDescent="0.2">
      <c r="A953" s="347">
        <f t="shared" ca="1" si="412"/>
        <v>1E-4</v>
      </c>
      <c r="B953" s="304">
        <f t="shared" ca="1" si="413"/>
        <v>28.657300000000006</v>
      </c>
      <c r="D953" s="306">
        <f t="shared" ca="1" si="414"/>
        <v>-0.65732775011212308</v>
      </c>
      <c r="E953" s="307">
        <f t="shared" ca="1" si="415"/>
        <v>-0.89334318494559106</v>
      </c>
      <c r="F953" s="304">
        <f t="shared" ca="1" si="416"/>
        <v>1.1091175849098229</v>
      </c>
      <c r="G953" s="306">
        <f t="shared" ca="1" si="417"/>
        <v>7.2620549575406468</v>
      </c>
      <c r="H953" s="307">
        <f t="shared" ca="1" si="418"/>
        <v>-98.510821513213116</v>
      </c>
      <c r="I953" s="304">
        <f t="shared" ca="1" si="419"/>
        <v>98.778132182252122</v>
      </c>
      <c r="J953" s="306">
        <f t="shared" ca="1" si="420"/>
        <v>678.53524446899166</v>
      </c>
      <c r="K953" s="307">
        <f t="shared" ca="1" si="421"/>
        <v>-8.5143045899583711</v>
      </c>
      <c r="L953" s="304">
        <f t="shared" ca="1" si="406"/>
        <v>678.58866139160102</v>
      </c>
      <c r="M953" s="306">
        <f t="shared" ca="1" si="422"/>
        <v>-1.4972110839130703</v>
      </c>
      <c r="N953" s="304">
        <f t="shared" ca="1" si="423"/>
        <v>-85.783876148426273</v>
      </c>
      <c r="P953" s="310">
        <f t="shared" ca="1" si="424"/>
        <v>23</v>
      </c>
      <c r="Q953" s="304">
        <f t="shared" ca="1" si="425"/>
        <v>0</v>
      </c>
      <c r="R953" s="306">
        <f t="shared" ca="1" si="426"/>
        <v>0</v>
      </c>
      <c r="S953" s="307">
        <f t="shared" ca="1" si="427"/>
        <v>4.341000000000002</v>
      </c>
      <c r="T953" s="304">
        <f t="shared" ca="1" si="407"/>
        <v>42.585210000000025</v>
      </c>
      <c r="U953" s="311">
        <f t="shared" ca="1" si="408"/>
        <v>0</v>
      </c>
      <c r="V953" s="306">
        <f t="shared" ca="1" si="409"/>
        <v>1.2260434465233458</v>
      </c>
      <c r="W953" s="304">
        <f t="shared" ca="1" si="410"/>
        <v>38.812346390840659</v>
      </c>
      <c r="Y953" s="314" t="str">
        <f t="shared" ca="1" si="428"/>
        <v/>
      </c>
      <c r="Z953" s="315" t="str">
        <f t="shared" ca="1" si="429"/>
        <v/>
      </c>
      <c r="AA953" s="316" t="str">
        <f t="shared" ca="1" si="430"/>
        <v/>
      </c>
      <c r="AC953" s="310" t="e">
        <f t="shared" ca="1" si="431"/>
        <v>#N/A</v>
      </c>
      <c r="AD953" s="323" t="e">
        <f t="shared" ca="1" si="432"/>
        <v>#N/A</v>
      </c>
      <c r="AE953" s="324" t="e">
        <f t="shared" ca="1" si="411"/>
        <v>#N/A</v>
      </c>
      <c r="AG953" s="306">
        <f t="shared" ca="1" si="433"/>
        <v>0.84259913545839282</v>
      </c>
      <c r="AH953" s="304">
        <f t="shared" ca="1" si="434"/>
        <v>-8.9408527853065394</v>
      </c>
    </row>
    <row r="954" spans="1:34" x14ac:dyDescent="0.2">
      <c r="A954" s="347">
        <f t="shared" ca="1" si="412"/>
        <v>1E-4</v>
      </c>
      <c r="B954" s="304">
        <f t="shared" ca="1" si="413"/>
        <v>28.657400000000006</v>
      </c>
      <c r="D954" s="306">
        <f t="shared" ca="1" si="414"/>
        <v>-0.65732300858245818</v>
      </c>
      <c r="E954" s="307">
        <f t="shared" ca="1" si="415"/>
        <v>-0.89331870887904863</v>
      </c>
      <c r="F954" s="304">
        <f t="shared" ca="1" si="416"/>
        <v>1.1090950605088929</v>
      </c>
      <c r="G954" s="306">
        <f t="shared" ca="1" si="417"/>
        <v>7.2619892252397884</v>
      </c>
      <c r="H954" s="307">
        <f t="shared" ca="1" si="418"/>
        <v>-98.510910845083998</v>
      </c>
      <c r="I954" s="304">
        <f t="shared" ca="1" si="419"/>
        <v>98.778216439838531</v>
      </c>
      <c r="J954" s="306">
        <f t="shared" ca="1" si="420"/>
        <v>678.53524446899166</v>
      </c>
      <c r="K954" s="307">
        <f t="shared" ca="1" si="421"/>
        <v>-8.5241556765762851</v>
      </c>
      <c r="L954" s="304">
        <f t="shared" ca="1" si="406"/>
        <v>678.58878506544215</v>
      </c>
      <c r="M954" s="306">
        <f t="shared" ca="1" si="422"/>
        <v>-1.4972118140537549</v>
      </c>
      <c r="N954" s="304">
        <f t="shared" ca="1" si="423"/>
        <v>-85.783917982405953</v>
      </c>
      <c r="P954" s="310">
        <f t="shared" ca="1" si="424"/>
        <v>23</v>
      </c>
      <c r="Q954" s="304">
        <f t="shared" ca="1" si="425"/>
        <v>0</v>
      </c>
      <c r="R954" s="306">
        <f t="shared" ca="1" si="426"/>
        <v>0</v>
      </c>
      <c r="S954" s="307">
        <f t="shared" ca="1" si="427"/>
        <v>4.341000000000002</v>
      </c>
      <c r="T954" s="304">
        <f t="shared" ca="1" si="407"/>
        <v>42.585210000000025</v>
      </c>
      <c r="U954" s="311">
        <f t="shared" ca="1" si="408"/>
        <v>0</v>
      </c>
      <c r="V954" s="306">
        <f t="shared" ca="1" si="409"/>
        <v>1.2260446543101791</v>
      </c>
      <c r="W954" s="304">
        <f t="shared" ca="1" si="410"/>
        <v>38.812450839075467</v>
      </c>
      <c r="Y954" s="314" t="str">
        <f t="shared" ca="1" si="428"/>
        <v/>
      </c>
      <c r="Z954" s="315" t="str">
        <f t="shared" ca="1" si="429"/>
        <v/>
      </c>
      <c r="AA954" s="316" t="str">
        <f t="shared" ca="1" si="430"/>
        <v/>
      </c>
      <c r="AC954" s="310" t="e">
        <f t="shared" ca="1" si="431"/>
        <v>#N/A</v>
      </c>
      <c r="AD954" s="323" t="e">
        <f t="shared" ca="1" si="432"/>
        <v>#N/A</v>
      </c>
      <c r="AE954" s="324" t="e">
        <f t="shared" ca="1" si="411"/>
        <v>#N/A</v>
      </c>
      <c r="AG954" s="306">
        <f t="shared" ca="1" si="433"/>
        <v>0.84257560082281202</v>
      </c>
      <c r="AH954" s="304">
        <f t="shared" ca="1" si="434"/>
        <v>-8.9408768465424195</v>
      </c>
    </row>
    <row r="955" spans="1:34" x14ac:dyDescent="0.2">
      <c r="A955" s="347">
        <f t="shared" ca="1" si="412"/>
        <v>1E-4</v>
      </c>
      <c r="B955" s="304">
        <f t="shared" ca="1" si="413"/>
        <v>28.657500000000006</v>
      </c>
      <c r="D955" s="306">
        <f t="shared" ca="1" si="414"/>
        <v>-0.65731826706050822</v>
      </c>
      <c r="E955" s="307">
        <f t="shared" ca="1" si="415"/>
        <v>-0.89329423318515566</v>
      </c>
      <c r="F955" s="304">
        <f t="shared" ca="1" si="416"/>
        <v>1.1090725365156622</v>
      </c>
      <c r="G955" s="306">
        <f t="shared" ca="1" si="417"/>
        <v>7.2619234934130823</v>
      </c>
      <c r="H955" s="307">
        <f t="shared" ca="1" si="418"/>
        <v>-98.511000174507316</v>
      </c>
      <c r="I955" s="304">
        <f t="shared" ca="1" si="419"/>
        <v>98.778300695071508</v>
      </c>
      <c r="J955" s="306">
        <f t="shared" ca="1" si="420"/>
        <v>678.53524446899166</v>
      </c>
      <c r="K955" s="307">
        <f t="shared" ca="1" si="421"/>
        <v>-8.534006772127265</v>
      </c>
      <c r="L955" s="304">
        <f t="shared" ca="1" si="406"/>
        <v>678.58890888238147</v>
      </c>
      <c r="M955" s="306">
        <f t="shared" ca="1" si="422"/>
        <v>-1.4972125441865851</v>
      </c>
      <c r="N955" s="304">
        <f t="shared" ca="1" si="423"/>
        <v>-85.783959815935603</v>
      </c>
      <c r="P955" s="310">
        <f t="shared" ca="1" si="424"/>
        <v>23</v>
      </c>
      <c r="Q955" s="304">
        <f t="shared" ca="1" si="425"/>
        <v>0</v>
      </c>
      <c r="R955" s="306">
        <f t="shared" ca="1" si="426"/>
        <v>0</v>
      </c>
      <c r="S955" s="307">
        <f t="shared" ca="1" si="427"/>
        <v>4.341000000000002</v>
      </c>
      <c r="T955" s="304">
        <f t="shared" ca="1" si="407"/>
        <v>42.585210000000025</v>
      </c>
      <c r="U955" s="311">
        <f t="shared" ca="1" si="408"/>
        <v>0</v>
      </c>
      <c r="V955" s="306">
        <f t="shared" ca="1" si="409"/>
        <v>1.2260458620992973</v>
      </c>
      <c r="W955" s="304">
        <f t="shared" ca="1" si="410"/>
        <v>38.81255528572008</v>
      </c>
      <c r="Y955" s="314" t="str">
        <f t="shared" ca="1" si="428"/>
        <v/>
      </c>
      <c r="Z955" s="315" t="str">
        <f t="shared" ca="1" si="429"/>
        <v/>
      </c>
      <c r="AA955" s="316" t="str">
        <f t="shared" ca="1" si="430"/>
        <v/>
      </c>
      <c r="AC955" s="310" t="e">
        <f t="shared" ca="1" si="431"/>
        <v>#N/A</v>
      </c>
      <c r="AD955" s="323" t="e">
        <f t="shared" ca="1" si="432"/>
        <v>#N/A</v>
      </c>
      <c r="AE955" s="324" t="e">
        <f t="shared" ca="1" si="411"/>
        <v>#N/A</v>
      </c>
      <c r="AG955" s="306">
        <f t="shared" ca="1" si="433"/>
        <v>0.84255206654265713</v>
      </c>
      <c r="AH955" s="304">
        <f t="shared" ca="1" si="434"/>
        <v>-8.9409009074119901</v>
      </c>
    </row>
    <row r="956" spans="1:34" x14ac:dyDescent="0.2">
      <c r="A956" s="347">
        <f t="shared" ca="1" si="412"/>
        <v>1E-4</v>
      </c>
      <c r="B956" s="304">
        <f t="shared" ca="1" si="413"/>
        <v>28.657600000000006</v>
      </c>
      <c r="D956" s="306">
        <f t="shared" ca="1" si="414"/>
        <v>-0.65731352554627198</v>
      </c>
      <c r="E956" s="307">
        <f t="shared" ca="1" si="415"/>
        <v>-0.89326975786392282</v>
      </c>
      <c r="F956" s="304">
        <f t="shared" ca="1" si="416"/>
        <v>1.1090500129301388</v>
      </c>
      <c r="G956" s="306">
        <f t="shared" ca="1" si="417"/>
        <v>7.2618577620605276</v>
      </c>
      <c r="H956" s="307">
        <f t="shared" ca="1" si="418"/>
        <v>-98.511089501483099</v>
      </c>
      <c r="I956" s="304">
        <f t="shared" ca="1" si="419"/>
        <v>98.778384947951096</v>
      </c>
      <c r="J956" s="306">
        <f t="shared" ca="1" si="420"/>
        <v>678.53524446899166</v>
      </c>
      <c r="K956" s="307">
        <f t="shared" ca="1" si="421"/>
        <v>-8.5438578766110638</v>
      </c>
      <c r="L956" s="304">
        <f t="shared" ca="1" si="406"/>
        <v>678.58903284241933</v>
      </c>
      <c r="M956" s="306">
        <f t="shared" ca="1" si="422"/>
        <v>-1.4972132743115609</v>
      </c>
      <c r="N956" s="304">
        <f t="shared" ca="1" si="423"/>
        <v>-85.784001649015238</v>
      </c>
      <c r="P956" s="310">
        <f t="shared" ca="1" si="424"/>
        <v>23</v>
      </c>
      <c r="Q956" s="304">
        <f t="shared" ca="1" si="425"/>
        <v>0</v>
      </c>
      <c r="R956" s="306">
        <f t="shared" ca="1" si="426"/>
        <v>0</v>
      </c>
      <c r="S956" s="307">
        <f t="shared" ca="1" si="427"/>
        <v>4.341000000000002</v>
      </c>
      <c r="T956" s="304">
        <f t="shared" ca="1" si="407"/>
        <v>42.585210000000025</v>
      </c>
      <c r="U956" s="311">
        <f t="shared" ca="1" si="408"/>
        <v>0</v>
      </c>
      <c r="V956" s="306">
        <f t="shared" ca="1" si="409"/>
        <v>1.2260470698907016</v>
      </c>
      <c r="W956" s="304">
        <f t="shared" ca="1" si="410"/>
        <v>38.812659730774584</v>
      </c>
      <c r="Y956" s="314" t="str">
        <f t="shared" ca="1" si="428"/>
        <v/>
      </c>
      <c r="Z956" s="315" t="str">
        <f t="shared" ca="1" si="429"/>
        <v/>
      </c>
      <c r="AA956" s="316" t="str">
        <f t="shared" ca="1" si="430"/>
        <v/>
      </c>
      <c r="AC956" s="310" t="e">
        <f t="shared" ca="1" si="431"/>
        <v>#N/A</v>
      </c>
      <c r="AD956" s="323" t="e">
        <f t="shared" ca="1" si="432"/>
        <v>#N/A</v>
      </c>
      <c r="AE956" s="324" t="e">
        <f t="shared" ca="1" si="411"/>
        <v>#N/A</v>
      </c>
      <c r="AG956" s="306">
        <f t="shared" ca="1" si="433"/>
        <v>0.84252853261794236</v>
      </c>
      <c r="AH956" s="304">
        <f t="shared" ca="1" si="434"/>
        <v>-8.940924967915242</v>
      </c>
    </row>
    <row r="957" spans="1:34" x14ac:dyDescent="0.2">
      <c r="A957" s="347">
        <f t="shared" ca="1" si="412"/>
        <v>1E-4</v>
      </c>
      <c r="B957" s="304">
        <f t="shared" ca="1" si="413"/>
        <v>28.657700000000006</v>
      </c>
      <c r="D957" s="306">
        <f t="shared" ca="1" si="414"/>
        <v>-0.6573087840397519</v>
      </c>
      <c r="E957" s="307">
        <f t="shared" ca="1" si="415"/>
        <v>-0.89324528291533589</v>
      </c>
      <c r="F957" s="304">
        <f t="shared" ca="1" si="416"/>
        <v>1.1090274897523125</v>
      </c>
      <c r="G957" s="306">
        <f t="shared" ca="1" si="417"/>
        <v>7.2617920311821234</v>
      </c>
      <c r="H957" s="307">
        <f t="shared" ca="1" si="418"/>
        <v>-98.511178826011388</v>
      </c>
      <c r="I957" s="304">
        <f t="shared" ca="1" si="419"/>
        <v>98.778469198477325</v>
      </c>
      <c r="J957" s="306">
        <f t="shared" ca="1" si="420"/>
        <v>678.53524446899166</v>
      </c>
      <c r="K957" s="307">
        <f t="shared" ca="1" si="421"/>
        <v>-8.5537089900274381</v>
      </c>
      <c r="L957" s="304">
        <f t="shared" ca="1" si="406"/>
        <v>678.58915694555594</v>
      </c>
      <c r="M957" s="306">
        <f t="shared" ca="1" si="422"/>
        <v>-1.4972140044286826</v>
      </c>
      <c r="N957" s="304">
        <f t="shared" ca="1" si="423"/>
        <v>-85.784043481644858</v>
      </c>
      <c r="P957" s="310">
        <f t="shared" ca="1" si="424"/>
        <v>23</v>
      </c>
      <c r="Q957" s="304">
        <f t="shared" ca="1" si="425"/>
        <v>0</v>
      </c>
      <c r="R957" s="306">
        <f t="shared" ca="1" si="426"/>
        <v>0</v>
      </c>
      <c r="S957" s="307">
        <f t="shared" ca="1" si="427"/>
        <v>4.341000000000002</v>
      </c>
      <c r="T957" s="304">
        <f t="shared" ca="1" si="407"/>
        <v>42.585210000000025</v>
      </c>
      <c r="U957" s="311">
        <f t="shared" ca="1" si="408"/>
        <v>0</v>
      </c>
      <c r="V957" s="306">
        <f t="shared" ca="1" si="409"/>
        <v>1.2260482776843913</v>
      </c>
      <c r="W957" s="304">
        <f t="shared" ca="1" si="410"/>
        <v>38.812764174238957</v>
      </c>
      <c r="Y957" s="314" t="str">
        <f t="shared" ca="1" si="428"/>
        <v/>
      </c>
      <c r="Z957" s="315" t="str">
        <f t="shared" ca="1" si="429"/>
        <v/>
      </c>
      <c r="AA957" s="316" t="str">
        <f t="shared" ca="1" si="430"/>
        <v/>
      </c>
      <c r="AC957" s="310" t="e">
        <f t="shared" ca="1" si="431"/>
        <v>#N/A</v>
      </c>
      <c r="AD957" s="323" t="e">
        <f t="shared" ca="1" si="432"/>
        <v>#N/A</v>
      </c>
      <c r="AE957" s="324" t="e">
        <f t="shared" ca="1" si="411"/>
        <v>#N/A</v>
      </c>
      <c r="AG957" s="306">
        <f t="shared" ca="1" si="433"/>
        <v>0.84250499904864995</v>
      </c>
      <c r="AH957" s="304">
        <f t="shared" ca="1" si="434"/>
        <v>-8.9409490280521915</v>
      </c>
    </row>
    <row r="958" spans="1:34" x14ac:dyDescent="0.2">
      <c r="A958" s="347">
        <f t="shared" ca="1" si="412"/>
        <v>1E-4</v>
      </c>
      <c r="B958" s="304">
        <f t="shared" ca="1" si="413"/>
        <v>28.657800000000005</v>
      </c>
      <c r="D958" s="306">
        <f t="shared" ca="1" si="414"/>
        <v>-0.65730404254094754</v>
      </c>
      <c r="E958" s="307">
        <f t="shared" ca="1" si="415"/>
        <v>-0.8932208083393931</v>
      </c>
      <c r="F958" s="304">
        <f t="shared" ca="1" si="416"/>
        <v>1.109004966982182</v>
      </c>
      <c r="G958" s="306">
        <f t="shared" ca="1" si="417"/>
        <v>7.2617263007778696</v>
      </c>
      <c r="H958" s="307">
        <f t="shared" ca="1" si="418"/>
        <v>-98.511268148092228</v>
      </c>
      <c r="I958" s="304">
        <f t="shared" ca="1" si="419"/>
        <v>98.77855344665025</v>
      </c>
      <c r="J958" s="306">
        <f t="shared" ca="1" si="420"/>
        <v>678.53524446899166</v>
      </c>
      <c r="K958" s="307">
        <f t="shared" ca="1" si="421"/>
        <v>-8.5635601123761429</v>
      </c>
      <c r="L958" s="304">
        <f t="shared" ca="1" si="406"/>
        <v>678.58928119179166</v>
      </c>
      <c r="M958" s="306">
        <f t="shared" ca="1" si="422"/>
        <v>-1.4972147345379501</v>
      </c>
      <c r="N958" s="304">
        <f t="shared" ca="1" si="423"/>
        <v>-85.784085313824463</v>
      </c>
      <c r="P958" s="310">
        <f t="shared" ca="1" si="424"/>
        <v>23</v>
      </c>
      <c r="Q958" s="304">
        <f t="shared" ca="1" si="425"/>
        <v>0</v>
      </c>
      <c r="R958" s="306">
        <f t="shared" ca="1" si="426"/>
        <v>0</v>
      </c>
      <c r="S958" s="307">
        <f t="shared" ca="1" si="427"/>
        <v>4.341000000000002</v>
      </c>
      <c r="T958" s="304">
        <f t="shared" ca="1" si="407"/>
        <v>42.585210000000025</v>
      </c>
      <c r="U958" s="311">
        <f t="shared" ca="1" si="408"/>
        <v>0</v>
      </c>
      <c r="V958" s="306">
        <f t="shared" ca="1" si="409"/>
        <v>1.2260494854803661</v>
      </c>
      <c r="W958" s="304">
        <f t="shared" ca="1" si="410"/>
        <v>38.812868616113235</v>
      </c>
      <c r="Y958" s="314" t="str">
        <f t="shared" ca="1" si="428"/>
        <v/>
      </c>
      <c r="Z958" s="315" t="str">
        <f t="shared" ca="1" si="429"/>
        <v/>
      </c>
      <c r="AA958" s="316" t="str">
        <f t="shared" ca="1" si="430"/>
        <v/>
      </c>
      <c r="AC958" s="310" t="e">
        <f t="shared" ca="1" si="431"/>
        <v>#N/A</v>
      </c>
      <c r="AD958" s="323" t="e">
        <f t="shared" ca="1" si="432"/>
        <v>#N/A</v>
      </c>
      <c r="AE958" s="324" t="e">
        <f t="shared" ca="1" si="411"/>
        <v>#N/A</v>
      </c>
      <c r="AG958" s="306">
        <f t="shared" ca="1" si="433"/>
        <v>0.8424814658347799</v>
      </c>
      <c r="AH958" s="304">
        <f t="shared" ca="1" si="434"/>
        <v>-8.9409730878228384</v>
      </c>
    </row>
    <row r="959" spans="1:34" x14ac:dyDescent="0.2">
      <c r="A959" s="347">
        <f t="shared" ca="1" si="412"/>
        <v>1E-4</v>
      </c>
      <c r="B959" s="304">
        <f t="shared" ca="1" si="413"/>
        <v>28.657900000000005</v>
      </c>
      <c r="D959" s="306">
        <f t="shared" ca="1" si="414"/>
        <v>-0.65729930104986034</v>
      </c>
      <c r="E959" s="307">
        <f t="shared" ca="1" si="415"/>
        <v>-0.8931963341360909</v>
      </c>
      <c r="F959" s="304">
        <f t="shared" ca="1" si="416"/>
        <v>1.1089824446197452</v>
      </c>
      <c r="G959" s="306">
        <f t="shared" ca="1" si="417"/>
        <v>7.2616605708477646</v>
      </c>
      <c r="H959" s="307">
        <f t="shared" ca="1" si="418"/>
        <v>-98.511357467725645</v>
      </c>
      <c r="I959" s="304">
        <f t="shared" ca="1" si="419"/>
        <v>98.778637692469871</v>
      </c>
      <c r="J959" s="306">
        <f t="shared" ca="1" si="420"/>
        <v>678.53524446899166</v>
      </c>
      <c r="K959" s="307">
        <f t="shared" ca="1" si="421"/>
        <v>-8.573411243656933</v>
      </c>
      <c r="L959" s="304">
        <f t="shared" ca="1" si="406"/>
        <v>678.58940558112693</v>
      </c>
      <c r="M959" s="306">
        <f t="shared" ca="1" si="422"/>
        <v>-1.4972154646393634</v>
      </c>
      <c r="N959" s="304">
        <f t="shared" ca="1" si="423"/>
        <v>-85.784127145554066</v>
      </c>
      <c r="P959" s="310">
        <f t="shared" ca="1" si="424"/>
        <v>23</v>
      </c>
      <c r="Q959" s="304">
        <f t="shared" ca="1" si="425"/>
        <v>0</v>
      </c>
      <c r="R959" s="306">
        <f t="shared" ca="1" si="426"/>
        <v>0</v>
      </c>
      <c r="S959" s="307">
        <f t="shared" ca="1" si="427"/>
        <v>4.341000000000002</v>
      </c>
      <c r="T959" s="304">
        <f t="shared" ca="1" si="407"/>
        <v>42.585210000000025</v>
      </c>
      <c r="U959" s="311">
        <f t="shared" ca="1" si="408"/>
        <v>0</v>
      </c>
      <c r="V959" s="306">
        <f t="shared" ca="1" si="409"/>
        <v>1.2260506932786268</v>
      </c>
      <c r="W959" s="304">
        <f t="shared" ca="1" si="410"/>
        <v>38.812973056397418</v>
      </c>
      <c r="Y959" s="314" t="str">
        <f t="shared" ca="1" si="428"/>
        <v/>
      </c>
      <c r="Z959" s="315" t="str">
        <f t="shared" ca="1" si="429"/>
        <v/>
      </c>
      <c r="AA959" s="316" t="str">
        <f t="shared" ca="1" si="430"/>
        <v/>
      </c>
      <c r="AC959" s="310" t="e">
        <f t="shared" ca="1" si="431"/>
        <v>#N/A</v>
      </c>
      <c r="AD959" s="323" t="e">
        <f t="shared" ca="1" si="432"/>
        <v>#N/A</v>
      </c>
      <c r="AE959" s="324" t="e">
        <f t="shared" ca="1" si="411"/>
        <v>#N/A</v>
      </c>
      <c r="AG959" s="306">
        <f t="shared" ca="1" si="433"/>
        <v>0.84245793297633043</v>
      </c>
      <c r="AH959" s="304">
        <f t="shared" ca="1" si="434"/>
        <v>-8.9409971472271863</v>
      </c>
    </row>
    <row r="960" spans="1:34" x14ac:dyDescent="0.2">
      <c r="A960" s="347">
        <f t="shared" ca="1" si="412"/>
        <v>1E-4</v>
      </c>
      <c r="B960" s="304">
        <f t="shared" ca="1" si="413"/>
        <v>28.658000000000005</v>
      </c>
      <c r="D960" s="306">
        <f t="shared" ca="1" si="414"/>
        <v>-0.65729455956649208</v>
      </c>
      <c r="E960" s="307">
        <f t="shared" ca="1" si="415"/>
        <v>-0.8931718603054275</v>
      </c>
      <c r="F960" s="304">
        <f t="shared" ca="1" si="416"/>
        <v>1.1089599226650018</v>
      </c>
      <c r="G960" s="306">
        <f t="shared" ca="1" si="417"/>
        <v>7.2615948413918083</v>
      </c>
      <c r="H960" s="307">
        <f t="shared" ca="1" si="418"/>
        <v>-98.511446784911669</v>
      </c>
      <c r="I960" s="304">
        <f t="shared" ca="1" si="419"/>
        <v>98.778721935936247</v>
      </c>
      <c r="J960" s="306">
        <f t="shared" ca="1" si="420"/>
        <v>678.53524446899166</v>
      </c>
      <c r="K960" s="307">
        <f t="shared" ca="1" si="421"/>
        <v>-8.583262383869565</v>
      </c>
      <c r="L960" s="304">
        <f t="shared" ca="1" si="406"/>
        <v>678.58953011356186</v>
      </c>
      <c r="M960" s="306">
        <f t="shared" ca="1" si="422"/>
        <v>-1.497216194732923</v>
      </c>
      <c r="N960" s="304">
        <f t="shared" ca="1" si="423"/>
        <v>-85.784168976833683</v>
      </c>
      <c r="P960" s="310">
        <f t="shared" ca="1" si="424"/>
        <v>23</v>
      </c>
      <c r="Q960" s="304">
        <f t="shared" ca="1" si="425"/>
        <v>0</v>
      </c>
      <c r="R960" s="306">
        <f t="shared" ca="1" si="426"/>
        <v>0</v>
      </c>
      <c r="S960" s="307">
        <f t="shared" ca="1" si="427"/>
        <v>4.341000000000002</v>
      </c>
      <c r="T960" s="304">
        <f t="shared" ca="1" si="407"/>
        <v>42.585210000000025</v>
      </c>
      <c r="U960" s="311">
        <f t="shared" ca="1" si="408"/>
        <v>0</v>
      </c>
      <c r="V960" s="306">
        <f t="shared" ca="1" si="409"/>
        <v>1.2260519010791722</v>
      </c>
      <c r="W960" s="304">
        <f t="shared" ca="1" si="410"/>
        <v>38.813077495091513</v>
      </c>
      <c r="Y960" s="314" t="str">
        <f t="shared" ca="1" si="428"/>
        <v/>
      </c>
      <c r="Z960" s="315" t="str">
        <f t="shared" ca="1" si="429"/>
        <v/>
      </c>
      <c r="AA960" s="316" t="str">
        <f t="shared" ca="1" si="430"/>
        <v/>
      </c>
      <c r="AC960" s="310" t="e">
        <f t="shared" ca="1" si="431"/>
        <v>#N/A</v>
      </c>
      <c r="AD960" s="323" t="e">
        <f t="shared" ca="1" si="432"/>
        <v>#N/A</v>
      </c>
      <c r="AE960" s="324" t="e">
        <f t="shared" ca="1" si="411"/>
        <v>#N/A</v>
      </c>
      <c r="AG960" s="306">
        <f t="shared" ca="1" si="433"/>
        <v>0.84243440047329443</v>
      </c>
      <c r="AH960" s="304">
        <f t="shared" ca="1" si="434"/>
        <v>-8.9410212062652388</v>
      </c>
    </row>
    <row r="961" spans="1:34" x14ac:dyDescent="0.2">
      <c r="A961" s="347">
        <f t="shared" ca="1" si="412"/>
        <v>1E-4</v>
      </c>
      <c r="B961" s="304">
        <f t="shared" ca="1" si="413"/>
        <v>28.658100000000005</v>
      </c>
      <c r="D961" s="306">
        <f t="shared" ca="1" si="414"/>
        <v>-0.65728981809083986</v>
      </c>
      <c r="E961" s="307">
        <f t="shared" ca="1" si="415"/>
        <v>-0.89314738684740114</v>
      </c>
      <c r="F961" s="304">
        <f t="shared" ca="1" si="416"/>
        <v>1.1089374011179489</v>
      </c>
      <c r="G961" s="306">
        <f t="shared" ca="1" si="417"/>
        <v>7.261529112409999</v>
      </c>
      <c r="H961" s="307">
        <f t="shared" ca="1" si="418"/>
        <v>-98.511536099650357</v>
      </c>
      <c r="I961" s="304">
        <f t="shared" ca="1" si="419"/>
        <v>98.778806177049404</v>
      </c>
      <c r="J961" s="306">
        <f t="shared" ca="1" si="420"/>
        <v>678.53524446899166</v>
      </c>
      <c r="K961" s="307">
        <f t="shared" ca="1" si="421"/>
        <v>-8.5931135330137938</v>
      </c>
      <c r="L961" s="304">
        <f t="shared" ca="1" si="406"/>
        <v>678.58965478909681</v>
      </c>
      <c r="M961" s="306">
        <f t="shared" ca="1" si="422"/>
        <v>-1.4972169248186289</v>
      </c>
      <c r="N961" s="304">
        <f t="shared" ca="1" si="423"/>
        <v>-85.784210807663314</v>
      </c>
      <c r="P961" s="310">
        <f t="shared" ca="1" si="424"/>
        <v>23</v>
      </c>
      <c r="Q961" s="304">
        <f t="shared" ca="1" si="425"/>
        <v>0</v>
      </c>
      <c r="R961" s="306">
        <f t="shared" ca="1" si="426"/>
        <v>0</v>
      </c>
      <c r="S961" s="307">
        <f t="shared" ca="1" si="427"/>
        <v>4.341000000000002</v>
      </c>
      <c r="T961" s="304">
        <f t="shared" ca="1" si="407"/>
        <v>42.585210000000025</v>
      </c>
      <c r="U961" s="311">
        <f t="shared" ca="1" si="408"/>
        <v>0</v>
      </c>
      <c r="V961" s="306">
        <f t="shared" ca="1" si="409"/>
        <v>1.2260531088820035</v>
      </c>
      <c r="W961" s="304">
        <f t="shared" ca="1" si="410"/>
        <v>38.813181932195576</v>
      </c>
      <c r="Y961" s="314" t="str">
        <f t="shared" ca="1" si="428"/>
        <v/>
      </c>
      <c r="Z961" s="315" t="str">
        <f t="shared" ca="1" si="429"/>
        <v/>
      </c>
      <c r="AA961" s="316" t="str">
        <f t="shared" ca="1" si="430"/>
        <v/>
      </c>
      <c r="AC961" s="310" t="e">
        <f t="shared" ca="1" si="431"/>
        <v>#N/A</v>
      </c>
      <c r="AD961" s="323" t="e">
        <f t="shared" ca="1" si="432"/>
        <v>#N/A</v>
      </c>
      <c r="AE961" s="324" t="e">
        <f t="shared" ca="1" si="411"/>
        <v>#N/A</v>
      </c>
      <c r="AG961" s="306">
        <f t="shared" ca="1" si="433"/>
        <v>0.84241086832567902</v>
      </c>
      <c r="AH961" s="304">
        <f t="shared" ca="1" si="434"/>
        <v>-8.941045264936994</v>
      </c>
    </row>
    <row r="962" spans="1:34" x14ac:dyDescent="0.2">
      <c r="A962" s="347">
        <f t="shared" ca="1" si="412"/>
        <v>1E-4</v>
      </c>
      <c r="B962" s="304">
        <f t="shared" ca="1" si="413"/>
        <v>28.658200000000004</v>
      </c>
      <c r="D962" s="306">
        <f t="shared" ca="1" si="414"/>
        <v>-0.65728507662290658</v>
      </c>
      <c r="E962" s="307">
        <f t="shared" ca="1" si="415"/>
        <v>-0.89312291376199582</v>
      </c>
      <c r="F962" s="304">
        <f t="shared" ca="1" si="416"/>
        <v>1.1089148799785751</v>
      </c>
      <c r="G962" s="306">
        <f t="shared" ca="1" si="417"/>
        <v>7.2614633839023366</v>
      </c>
      <c r="H962" s="307">
        <f t="shared" ca="1" si="418"/>
        <v>-98.511625411941736</v>
      </c>
      <c r="I962" s="304">
        <f t="shared" ca="1" si="419"/>
        <v>98.778890415809386</v>
      </c>
      <c r="J962" s="306">
        <f t="shared" ca="1" si="420"/>
        <v>678.53524446899166</v>
      </c>
      <c r="K962" s="307">
        <f t="shared" ca="1" si="421"/>
        <v>-8.6029646910893742</v>
      </c>
      <c r="L962" s="304">
        <f t="shared" ca="1" si="406"/>
        <v>678.58977960773211</v>
      </c>
      <c r="M962" s="306">
        <f t="shared" ca="1" si="422"/>
        <v>-1.4972176548964811</v>
      </c>
      <c r="N962" s="304">
        <f t="shared" ca="1" si="423"/>
        <v>-85.784252638042958</v>
      </c>
      <c r="P962" s="310">
        <f t="shared" ca="1" si="424"/>
        <v>23</v>
      </c>
      <c r="Q962" s="304">
        <f t="shared" ca="1" si="425"/>
        <v>0</v>
      </c>
      <c r="R962" s="306">
        <f t="shared" ca="1" si="426"/>
        <v>0</v>
      </c>
      <c r="S962" s="307">
        <f t="shared" ca="1" si="427"/>
        <v>4.341000000000002</v>
      </c>
      <c r="T962" s="304">
        <f t="shared" ca="1" si="407"/>
        <v>42.585210000000025</v>
      </c>
      <c r="U962" s="311">
        <f t="shared" ca="1" si="408"/>
        <v>0</v>
      </c>
      <c r="V962" s="306">
        <f t="shared" ca="1" si="409"/>
        <v>1.2260543166871201</v>
      </c>
      <c r="W962" s="304">
        <f t="shared" ca="1" si="410"/>
        <v>38.813286367709594</v>
      </c>
      <c r="Y962" s="314" t="str">
        <f t="shared" ca="1" si="428"/>
        <v/>
      </c>
      <c r="Z962" s="315" t="str">
        <f t="shared" ca="1" si="429"/>
        <v/>
      </c>
      <c r="AA962" s="316" t="str">
        <f t="shared" ca="1" si="430"/>
        <v/>
      </c>
      <c r="AC962" s="310" t="e">
        <f t="shared" ca="1" si="431"/>
        <v>#N/A</v>
      </c>
      <c r="AD962" s="323" t="e">
        <f t="shared" ca="1" si="432"/>
        <v>#N/A</v>
      </c>
      <c r="AE962" s="324" t="e">
        <f t="shared" ca="1" si="411"/>
        <v>#N/A</v>
      </c>
      <c r="AG962" s="306">
        <f t="shared" ca="1" si="433"/>
        <v>0.84238733653346465</v>
      </c>
      <c r="AH962" s="304">
        <f t="shared" ca="1" si="434"/>
        <v>-8.9410693232424698</v>
      </c>
    </row>
    <row r="963" spans="1:34" x14ac:dyDescent="0.2">
      <c r="A963" s="347">
        <f t="shared" ca="1" si="412"/>
        <v>1E-4</v>
      </c>
      <c r="B963" s="304">
        <f t="shared" ca="1" si="413"/>
        <v>28.658300000000004</v>
      </c>
      <c r="D963" s="306">
        <f t="shared" ca="1" si="414"/>
        <v>-0.65728033516269291</v>
      </c>
      <c r="E963" s="307">
        <f t="shared" ca="1" si="415"/>
        <v>-0.89309844104922043</v>
      </c>
      <c r="F963" s="304">
        <f t="shared" ca="1" si="416"/>
        <v>1.1088923592468882</v>
      </c>
      <c r="G963" s="306">
        <f t="shared" ca="1" si="417"/>
        <v>7.2613976558688202</v>
      </c>
      <c r="H963" s="307">
        <f t="shared" ca="1" si="418"/>
        <v>-98.511714721785836</v>
      </c>
      <c r="I963" s="304">
        <f t="shared" ca="1" si="419"/>
        <v>98.77897465221622</v>
      </c>
      <c r="J963" s="306">
        <f t="shared" ca="1" si="420"/>
        <v>678.53524446899166</v>
      </c>
      <c r="K963" s="307">
        <f t="shared" ca="1" si="421"/>
        <v>-8.6128158580960612</v>
      </c>
      <c r="L963" s="304">
        <f t="shared" ca="1" si="406"/>
        <v>678.5899045694681</v>
      </c>
      <c r="M963" s="306">
        <f t="shared" ca="1" si="422"/>
        <v>-1.4972183849664795</v>
      </c>
      <c r="N963" s="304">
        <f t="shared" ca="1" si="423"/>
        <v>-85.784294467972614</v>
      </c>
      <c r="P963" s="310">
        <f t="shared" ca="1" si="424"/>
        <v>23</v>
      </c>
      <c r="Q963" s="304">
        <f t="shared" ca="1" si="425"/>
        <v>0</v>
      </c>
      <c r="R963" s="306">
        <f t="shared" ca="1" si="426"/>
        <v>0</v>
      </c>
      <c r="S963" s="307">
        <f t="shared" ca="1" si="427"/>
        <v>4.341000000000002</v>
      </c>
      <c r="T963" s="304">
        <f t="shared" ca="1" si="407"/>
        <v>42.585210000000025</v>
      </c>
      <c r="U963" s="311">
        <f t="shared" ca="1" si="408"/>
        <v>0</v>
      </c>
      <c r="V963" s="306">
        <f t="shared" ca="1" si="409"/>
        <v>1.2260555244945222</v>
      </c>
      <c r="W963" s="304">
        <f t="shared" ca="1" si="410"/>
        <v>38.813390801633602</v>
      </c>
      <c r="Y963" s="314" t="str">
        <f t="shared" ca="1" si="428"/>
        <v/>
      </c>
      <c r="Z963" s="315" t="str">
        <f t="shared" ca="1" si="429"/>
        <v/>
      </c>
      <c r="AA963" s="316" t="str">
        <f t="shared" ca="1" si="430"/>
        <v/>
      </c>
      <c r="AC963" s="310" t="e">
        <f t="shared" ca="1" si="431"/>
        <v>#N/A</v>
      </c>
      <c r="AD963" s="323" t="e">
        <f t="shared" ca="1" si="432"/>
        <v>#N/A</v>
      </c>
      <c r="AE963" s="324" t="e">
        <f t="shared" ca="1" si="411"/>
        <v>#N/A</v>
      </c>
      <c r="AG963" s="306">
        <f t="shared" ca="1" si="433"/>
        <v>0.84236380509665842</v>
      </c>
      <c r="AH963" s="304">
        <f t="shared" ca="1" si="434"/>
        <v>-8.9410933811816573</v>
      </c>
    </row>
    <row r="964" spans="1:34" x14ac:dyDescent="0.2">
      <c r="A964" s="347">
        <f t="shared" ca="1" si="412"/>
        <v>1E-4</v>
      </c>
      <c r="B964" s="304">
        <f t="shared" ca="1" si="413"/>
        <v>28.658400000000004</v>
      </c>
      <c r="D964" s="306">
        <f t="shared" ca="1" si="414"/>
        <v>-0.65727559371020106</v>
      </c>
      <c r="E964" s="307">
        <f t="shared" ca="1" si="415"/>
        <v>-0.89307396870906253</v>
      </c>
      <c r="F964" s="304">
        <f t="shared" ca="1" si="416"/>
        <v>1.1088698389228795</v>
      </c>
      <c r="G964" s="306">
        <f t="shared" ca="1" si="417"/>
        <v>7.2613319283094491</v>
      </c>
      <c r="H964" s="307">
        <f t="shared" ca="1" si="418"/>
        <v>-98.511804029182713</v>
      </c>
      <c r="I964" s="304">
        <f t="shared" ca="1" si="419"/>
        <v>98.779058886269951</v>
      </c>
      <c r="J964" s="306">
        <f t="shared" ca="1" si="420"/>
        <v>678.53524446899166</v>
      </c>
      <c r="K964" s="307">
        <f t="shared" ca="1" si="421"/>
        <v>-8.6226670340336096</v>
      </c>
      <c r="L964" s="304">
        <f t="shared" ref="L964:L1004" ca="1" si="435">SQRT(pos_x^2+pos_z^2)</f>
        <v>678.59002967430501</v>
      </c>
      <c r="M964" s="306">
        <f t="shared" ca="1" si="422"/>
        <v>-1.4972191150286247</v>
      </c>
      <c r="N964" s="304">
        <f t="shared" ca="1" si="423"/>
        <v>-85.784336297452327</v>
      </c>
      <c r="P964" s="310">
        <f t="shared" ca="1" si="424"/>
        <v>23</v>
      </c>
      <c r="Q964" s="304">
        <f t="shared" ca="1" si="425"/>
        <v>0</v>
      </c>
      <c r="R964" s="306">
        <f t="shared" ca="1" si="426"/>
        <v>0</v>
      </c>
      <c r="S964" s="307">
        <f t="shared" ca="1" si="427"/>
        <v>4.341000000000002</v>
      </c>
      <c r="T964" s="304">
        <f t="shared" ref="T964:T1004" ca="1" si="436">m*g</f>
        <v>42.585210000000025</v>
      </c>
      <c r="U964" s="311">
        <f t="shared" ref="U964:U1004" ca="1" si="437">IF(pos_xz&lt;L_rampe,Poids*COS(Beta),0)</f>
        <v>0</v>
      </c>
      <c r="V964" s="306">
        <f t="shared" ref="V964:V1004" ca="1" si="438">Rho_moyen*(20000-Alt_rampe-pos_z)/(20000+Alt_rampe+pos_z)</f>
        <v>1.2260567323042093</v>
      </c>
      <c r="W964" s="304">
        <f t="shared" ref="W964:W1003" ca="1" si="439">1/2*Rho*Sref*Cx*vit_xz^2</f>
        <v>38.813495233967608</v>
      </c>
      <c r="Y964" s="314" t="str">
        <f t="shared" ca="1" si="428"/>
        <v/>
      </c>
      <c r="Z964" s="315" t="str">
        <f t="shared" ca="1" si="429"/>
        <v/>
      </c>
      <c r="AA964" s="316" t="str">
        <f t="shared" ca="1" si="430"/>
        <v/>
      </c>
      <c r="AC964" s="310" t="e">
        <f t="shared" ca="1" si="431"/>
        <v>#N/A</v>
      </c>
      <c r="AD964" s="323" t="e">
        <f t="shared" ca="1" si="432"/>
        <v>#N/A</v>
      </c>
      <c r="AE964" s="324" t="e">
        <f t="shared" ref="AE964:AE1004" ca="1" si="440">IF(t&lt;T_para, pos_z, NA())</f>
        <v>#N/A</v>
      </c>
      <c r="AG964" s="306">
        <f t="shared" ca="1" si="433"/>
        <v>0.84234027401524969</v>
      </c>
      <c r="AH964" s="304">
        <f t="shared" ca="1" si="434"/>
        <v>-8.9411174387545689</v>
      </c>
    </row>
    <row r="965" spans="1:34" x14ac:dyDescent="0.2">
      <c r="A965" s="347">
        <f t="shared" ref="A965:A1004" ca="1" si="441">IF(B964+0.01&lt;=T_ini+ROUNDUP(Temps_fin_propu,0), 0.01, IF(K964&gt;0, 0.1, 0.0001))</f>
        <v>1E-4</v>
      </c>
      <c r="B965" s="304">
        <f t="shared" ref="B965:B1004" ca="1" si="442">B964+pas</f>
        <v>28.658500000000004</v>
      </c>
      <c r="D965" s="306">
        <f t="shared" ref="D965:D1004" ca="1" si="443">IF(AND(L964&lt;L_rampe,Poussee&lt;Poids*SIN(M964)),0,(-W964+Poussee)/m*COS(M964)-U964/m*SIN(M964))</f>
        <v>-0.65727085226542858</v>
      </c>
      <c r="E965" s="307">
        <f t="shared" ref="E965:E1004" ca="1" si="444">IF(AND(L964&lt;L_rampe,Poussee&lt;Poids*SIN(M964)),0,(-W964+Poussee)/m*SIN(M964)+U964/m*COS(M964)-Poids/m)</f>
        <v>-0.89304949674152034</v>
      </c>
      <c r="F965" s="304">
        <f t="shared" ref="F965:F1004" ca="1" si="445">SQRT(acc_x^2+acc_z^2)</f>
        <v>1.1088473190065464</v>
      </c>
      <c r="G965" s="306">
        <f t="shared" ref="G965:G1004" ca="1" si="446">G964+acc_x*pas</f>
        <v>7.2612662012242222</v>
      </c>
      <c r="H965" s="307">
        <f t="shared" ref="H965:H1004" ca="1" si="447">H964+acc_z*pas</f>
        <v>-98.511893334132381</v>
      </c>
      <c r="I965" s="304">
        <f t="shared" ref="I965:I1004" ca="1" si="448">SQRT(vit_x^2+vit_z^2)</f>
        <v>98.779143117970591</v>
      </c>
      <c r="J965" s="306">
        <f t="shared" ref="J965:J1004" ca="1" si="449">J964+0.5*(vit_x+G964)*pas*(K964&gt;=0)</f>
        <v>678.53524446899166</v>
      </c>
      <c r="K965" s="307">
        <f t="shared" ref="K965:K1004" ca="1" si="450">K964+0.5*(vit_z+H964)*pas</f>
        <v>-8.632518218901776</v>
      </c>
      <c r="L965" s="304">
        <f t="shared" ca="1" si="435"/>
        <v>678.59015492224319</v>
      </c>
      <c r="M965" s="306">
        <f t="shared" ref="M965:M1004" ca="1" si="451">IF(AND(L964&gt;L_rampe,G965&gt;0),ATAN2(G965,H965),$M$4)</f>
        <v>-1.4972198450829164</v>
      </c>
      <c r="N965" s="304">
        <f t="shared" ref="N965:N1004" ca="1" si="452">DEGREES(Beta)</f>
        <v>-85.784378126482054</v>
      </c>
      <c r="P965" s="310">
        <f t="shared" ref="P965:P1004" ca="1" si="453">MATCH(t-pas/2-T_ini,CdP_t)</f>
        <v>23</v>
      </c>
      <c r="Q965" s="304">
        <f t="shared" ref="Q965:Q1004" ca="1" si="454">(INDEX(CdP,2,i_P+1)-INDEX(CdP,2,i_P+0))/(INDEX(CdP,1,i_P+1)-INDEX(CdP,1,i_P+0))*(t-pas/2-T_ini-INDEX(CdP,1,i_P+0))+INDEX(CdP,2,i_P+0)</f>
        <v>0</v>
      </c>
      <c r="R965" s="306">
        <f t="shared" ref="R965:R1004" ca="1" si="455">Poussee/(g*ISP)</f>
        <v>0</v>
      </c>
      <c r="S965" s="307">
        <f t="shared" ref="S965:S1004" ca="1" si="456">S964-Débit*pas</f>
        <v>4.341000000000002</v>
      </c>
      <c r="T965" s="304">
        <f t="shared" ca="1" si="436"/>
        <v>42.585210000000025</v>
      </c>
      <c r="U965" s="311">
        <f t="shared" ca="1" si="437"/>
        <v>0</v>
      </c>
      <c r="V965" s="306">
        <f t="shared" ca="1" si="438"/>
        <v>1.2260579401161822</v>
      </c>
      <c r="W965" s="304">
        <f t="shared" ca="1" si="439"/>
        <v>38.813599664711631</v>
      </c>
      <c r="Y965" s="314" t="str">
        <f t="shared" ref="Y965:Y1003" ca="1" si="457">IF(AND(pos_z&lt;=0,K964&gt;0),"Impact balistique","") &amp; IF(AND(H966&lt;0,vit_z&gt;=0),"Apogée","") &amp; IF(AND(Poussee=0,Q964&gt;0),"Fin de propulsion","") &amp; IF(AND(L966&gt;L_rampe,pos_xz&lt;=L_rampe),"Sortie de rampe","")</f>
        <v/>
      </c>
      <c r="Z965" s="315" t="str">
        <f t="shared" ref="Z965:Z1004" ca="1" si="458">IF(ABS(t-T_para)&lt;pas/2,"Para","")</f>
        <v/>
      </c>
      <c r="AA965" s="316" t="str">
        <f t="shared" ref="AA965:AA1004" ca="1" si="459">IF(ABS(t-T_satellite)&lt;pas/2,"Satellite","")</f>
        <v/>
      </c>
      <c r="AC965" s="310" t="e">
        <f t="shared" ref="AC965:AC1004" ca="1" si="460">IF(ABS(t-ROUND(t,0))&lt;0.001,t,NA())</f>
        <v>#N/A</v>
      </c>
      <c r="AD965" s="323" t="e">
        <f t="shared" ref="AD965:AD1004" ca="1" si="461">IF(ABS(t-ROUND(t,0))&lt;0.001,pos_x,NA())</f>
        <v>#N/A</v>
      </c>
      <c r="AE965" s="324" t="e">
        <f t="shared" ca="1" si="440"/>
        <v>#N/A</v>
      </c>
      <c r="AG965" s="306">
        <f t="shared" ref="AG965:AG1004" ca="1" si="462">IF(AND(L964&lt;L_rampe,Poussee&lt;Poids*SIN(M964)),0,(-W964+Poussee)/m-Poids*SIN(M964)/m)</f>
        <v>0.84231674328924022</v>
      </c>
      <c r="AH965" s="304">
        <f t="shared" ref="AH965:AH1004" ca="1" si="463">IF(AND(L964&lt;L_rampe,Poussee&lt;Poids*SIN(M964)), g*SIN(M964), (-W964+Poussee)/m)</f>
        <v>-8.9411414959612046</v>
      </c>
    </row>
    <row r="966" spans="1:34" x14ac:dyDescent="0.2">
      <c r="A966" s="347">
        <f t="shared" ca="1" si="441"/>
        <v>1E-4</v>
      </c>
      <c r="B966" s="304">
        <f t="shared" ca="1" si="442"/>
        <v>28.658600000000003</v>
      </c>
      <c r="D966" s="306">
        <f t="shared" ca="1" si="443"/>
        <v>-0.65726611082837916</v>
      </c>
      <c r="E966" s="307">
        <f t="shared" ca="1" si="444"/>
        <v>-0.8930250251465921</v>
      </c>
      <c r="F966" s="304">
        <f t="shared" ca="1" si="445"/>
        <v>1.1088247994978895</v>
      </c>
      <c r="G966" s="306">
        <f t="shared" ca="1" si="446"/>
        <v>7.2612004746131396</v>
      </c>
      <c r="H966" s="307">
        <f t="shared" ca="1" si="447"/>
        <v>-98.511982636634897</v>
      </c>
      <c r="I966" s="304">
        <f t="shared" ca="1" si="448"/>
        <v>98.779227347318212</v>
      </c>
      <c r="J966" s="306">
        <f t="shared" ca="1" si="449"/>
        <v>678.53524446899166</v>
      </c>
      <c r="K966" s="307">
        <f t="shared" ca="1" si="450"/>
        <v>-8.6423694127003134</v>
      </c>
      <c r="L966" s="304">
        <f t="shared" ca="1" si="435"/>
        <v>678.59028031328296</v>
      </c>
      <c r="M966" s="306">
        <f t="shared" ca="1" si="451"/>
        <v>-1.497220575129355</v>
      </c>
      <c r="N966" s="304">
        <f t="shared" ca="1" si="452"/>
        <v>-85.784419955061836</v>
      </c>
      <c r="P966" s="310">
        <f t="shared" ca="1" si="453"/>
        <v>23</v>
      </c>
      <c r="Q966" s="304">
        <f t="shared" ca="1" si="454"/>
        <v>0</v>
      </c>
      <c r="R966" s="306">
        <f t="shared" ca="1" si="455"/>
        <v>0</v>
      </c>
      <c r="S966" s="307">
        <f t="shared" ca="1" si="456"/>
        <v>4.341000000000002</v>
      </c>
      <c r="T966" s="304">
        <f t="shared" ca="1" si="436"/>
        <v>42.585210000000025</v>
      </c>
      <c r="U966" s="311">
        <f t="shared" ca="1" si="437"/>
        <v>0</v>
      </c>
      <c r="V966" s="306">
        <f t="shared" ca="1" si="438"/>
        <v>1.2260591479304397</v>
      </c>
      <c r="W966" s="304">
        <f t="shared" ca="1" si="439"/>
        <v>38.813704093865681</v>
      </c>
      <c r="Y966" s="314" t="str">
        <f t="shared" ca="1" si="457"/>
        <v/>
      </c>
      <c r="Z966" s="315" t="str">
        <f t="shared" ca="1" si="458"/>
        <v/>
      </c>
      <c r="AA966" s="316" t="str">
        <f t="shared" ca="1" si="459"/>
        <v/>
      </c>
      <c r="AC966" s="310" t="e">
        <f t="shared" ca="1" si="460"/>
        <v>#N/A</v>
      </c>
      <c r="AD966" s="323" t="e">
        <f t="shared" ca="1" si="461"/>
        <v>#N/A</v>
      </c>
      <c r="AE966" s="324" t="e">
        <f t="shared" ca="1" si="440"/>
        <v>#N/A</v>
      </c>
      <c r="AG966" s="306">
        <f t="shared" ca="1" si="462"/>
        <v>0.84229321291862291</v>
      </c>
      <c r="AH966" s="304">
        <f t="shared" ca="1" si="463"/>
        <v>-8.9411655528015697</v>
      </c>
    </row>
    <row r="967" spans="1:34" x14ac:dyDescent="0.2">
      <c r="A967" s="347">
        <f t="shared" ca="1" si="441"/>
        <v>1E-4</v>
      </c>
      <c r="B967" s="304">
        <f t="shared" ca="1" si="442"/>
        <v>28.658700000000003</v>
      </c>
      <c r="D967" s="306">
        <f t="shared" ca="1" si="443"/>
        <v>-0.65726136939905022</v>
      </c>
      <c r="E967" s="307">
        <f t="shared" ca="1" si="444"/>
        <v>-0.89300055392427424</v>
      </c>
      <c r="F967" s="304">
        <f t="shared" ca="1" si="445"/>
        <v>1.1088022803969044</v>
      </c>
      <c r="G967" s="306">
        <f t="shared" ca="1" si="446"/>
        <v>7.2611347484761994</v>
      </c>
      <c r="H967" s="307">
        <f t="shared" ca="1" si="447"/>
        <v>-98.51207193669029</v>
      </c>
      <c r="I967" s="304">
        <f t="shared" ca="1" si="448"/>
        <v>98.779311574312828</v>
      </c>
      <c r="J967" s="306">
        <f t="shared" ca="1" si="449"/>
        <v>678.53524446899166</v>
      </c>
      <c r="K967" s="307">
        <f t="shared" ca="1" si="450"/>
        <v>-8.6522206154289805</v>
      </c>
      <c r="L967" s="304">
        <f t="shared" ca="1" si="435"/>
        <v>678.59040584742456</v>
      </c>
      <c r="M967" s="306">
        <f t="shared" ca="1" si="451"/>
        <v>-1.4972213051679404</v>
      </c>
      <c r="N967" s="304">
        <f t="shared" ca="1" si="452"/>
        <v>-85.784461783191659</v>
      </c>
      <c r="P967" s="310">
        <f t="shared" ca="1" si="453"/>
        <v>23</v>
      </c>
      <c r="Q967" s="304">
        <f t="shared" ca="1" si="454"/>
        <v>0</v>
      </c>
      <c r="R967" s="306">
        <f t="shared" ca="1" si="455"/>
        <v>0</v>
      </c>
      <c r="S967" s="307">
        <f t="shared" ca="1" si="456"/>
        <v>4.341000000000002</v>
      </c>
      <c r="T967" s="304">
        <f t="shared" ca="1" si="436"/>
        <v>42.585210000000025</v>
      </c>
      <c r="U967" s="311">
        <f t="shared" ca="1" si="437"/>
        <v>0</v>
      </c>
      <c r="V967" s="306">
        <f t="shared" ca="1" si="438"/>
        <v>1.2260603557469829</v>
      </c>
      <c r="W967" s="304">
        <f t="shared" ca="1" si="439"/>
        <v>38.813808521429799</v>
      </c>
      <c r="Y967" s="314" t="str">
        <f t="shared" ca="1" si="457"/>
        <v/>
      </c>
      <c r="Z967" s="315" t="str">
        <f t="shared" ca="1" si="458"/>
        <v/>
      </c>
      <c r="AA967" s="316" t="str">
        <f t="shared" ca="1" si="459"/>
        <v/>
      </c>
      <c r="AC967" s="310" t="e">
        <f t="shared" ca="1" si="460"/>
        <v>#N/A</v>
      </c>
      <c r="AD967" s="323" t="e">
        <f t="shared" ca="1" si="461"/>
        <v>#N/A</v>
      </c>
      <c r="AE967" s="324" t="e">
        <f t="shared" ca="1" si="440"/>
        <v>#N/A</v>
      </c>
      <c r="AG967" s="306">
        <f t="shared" ca="1" si="462"/>
        <v>0.84226968290339599</v>
      </c>
      <c r="AH967" s="304">
        <f t="shared" ca="1" si="463"/>
        <v>-8.941189609275666</v>
      </c>
    </row>
    <row r="968" spans="1:34" x14ac:dyDescent="0.2">
      <c r="A968" s="347">
        <f t="shared" ca="1" si="441"/>
        <v>1E-4</v>
      </c>
      <c r="B968" s="304">
        <f t="shared" ca="1" si="442"/>
        <v>28.658800000000003</v>
      </c>
      <c r="D968" s="306">
        <f t="shared" ca="1" si="443"/>
        <v>-0.657256627977446</v>
      </c>
      <c r="E968" s="307">
        <f t="shared" ca="1" si="444"/>
        <v>-0.89297608307455612</v>
      </c>
      <c r="F968" s="304">
        <f t="shared" ca="1" si="445"/>
        <v>1.1087797617035853</v>
      </c>
      <c r="G968" s="306">
        <f t="shared" ca="1" si="446"/>
        <v>7.2610690228134018</v>
      </c>
      <c r="H968" s="307">
        <f t="shared" ca="1" si="447"/>
        <v>-98.512161234298603</v>
      </c>
      <c r="I968" s="304">
        <f t="shared" ca="1" si="448"/>
        <v>98.779395798954482</v>
      </c>
      <c r="J968" s="306">
        <f t="shared" ca="1" si="449"/>
        <v>678.53524446899166</v>
      </c>
      <c r="K968" s="307">
        <f t="shared" ca="1" si="450"/>
        <v>-8.6620718270875301</v>
      </c>
      <c r="L968" s="304">
        <f t="shared" ca="1" si="435"/>
        <v>678.59053152466834</v>
      </c>
      <c r="M968" s="306">
        <f t="shared" ca="1" si="451"/>
        <v>-1.4972220351986727</v>
      </c>
      <c r="N968" s="304">
        <f t="shared" ca="1" si="452"/>
        <v>-85.784503610871525</v>
      </c>
      <c r="P968" s="310">
        <f t="shared" ca="1" si="453"/>
        <v>23</v>
      </c>
      <c r="Q968" s="304">
        <f t="shared" ca="1" si="454"/>
        <v>0</v>
      </c>
      <c r="R968" s="306">
        <f t="shared" ca="1" si="455"/>
        <v>0</v>
      </c>
      <c r="S968" s="307">
        <f t="shared" ca="1" si="456"/>
        <v>4.341000000000002</v>
      </c>
      <c r="T968" s="304">
        <f t="shared" ca="1" si="436"/>
        <v>42.585210000000025</v>
      </c>
      <c r="U968" s="311">
        <f t="shared" ca="1" si="437"/>
        <v>0</v>
      </c>
      <c r="V968" s="306">
        <f t="shared" ca="1" si="438"/>
        <v>1.226061563565811</v>
      </c>
      <c r="W968" s="304">
        <f t="shared" ca="1" si="439"/>
        <v>38.813912947403971</v>
      </c>
      <c r="Y968" s="314" t="str">
        <f t="shared" ca="1" si="457"/>
        <v/>
      </c>
      <c r="Z968" s="315" t="str">
        <f t="shared" ca="1" si="458"/>
        <v/>
      </c>
      <c r="AA968" s="316" t="str">
        <f t="shared" ca="1" si="459"/>
        <v/>
      </c>
      <c r="AC968" s="310" t="e">
        <f t="shared" ca="1" si="460"/>
        <v>#N/A</v>
      </c>
      <c r="AD968" s="323" t="e">
        <f t="shared" ca="1" si="461"/>
        <v>#N/A</v>
      </c>
      <c r="AE968" s="324" t="e">
        <f t="shared" ca="1" si="440"/>
        <v>#N/A</v>
      </c>
      <c r="AG968" s="306">
        <f t="shared" ca="1" si="462"/>
        <v>0.84224615324355234</v>
      </c>
      <c r="AH968" s="304">
        <f t="shared" ca="1" si="463"/>
        <v>-8.9412136653835024</v>
      </c>
    </row>
    <row r="969" spans="1:34" x14ac:dyDescent="0.2">
      <c r="A969" s="347">
        <f t="shared" ca="1" si="441"/>
        <v>1E-4</v>
      </c>
      <c r="B969" s="304">
        <f t="shared" ca="1" si="442"/>
        <v>28.658900000000003</v>
      </c>
      <c r="D969" s="306">
        <f t="shared" ca="1" si="443"/>
        <v>-0.65725188656356537</v>
      </c>
      <c r="E969" s="307">
        <f t="shared" ca="1" si="444"/>
        <v>-0.89295161259744305</v>
      </c>
      <c r="F969" s="304">
        <f t="shared" ca="1" si="445"/>
        <v>1.1087572434179358</v>
      </c>
      <c r="G969" s="306">
        <f t="shared" ca="1" si="446"/>
        <v>7.2610032976247458</v>
      </c>
      <c r="H969" s="307">
        <f t="shared" ca="1" si="447"/>
        <v>-98.512250529459862</v>
      </c>
      <c r="I969" s="304">
        <f t="shared" ca="1" si="448"/>
        <v>98.779480021243188</v>
      </c>
      <c r="J969" s="306">
        <f t="shared" ca="1" si="449"/>
        <v>678.53524446899166</v>
      </c>
      <c r="K969" s="307">
        <f t="shared" ca="1" si="450"/>
        <v>-8.6719230476757172</v>
      </c>
      <c r="L969" s="304">
        <f t="shared" ca="1" si="435"/>
        <v>678.59065734501462</v>
      </c>
      <c r="M969" s="306">
        <f t="shared" ca="1" si="451"/>
        <v>-1.4972227652215522</v>
      </c>
      <c r="N969" s="304">
        <f t="shared" ca="1" si="452"/>
        <v>-85.784545438101475</v>
      </c>
      <c r="P969" s="310">
        <f t="shared" ca="1" si="453"/>
        <v>23</v>
      </c>
      <c r="Q969" s="304">
        <f t="shared" ca="1" si="454"/>
        <v>0</v>
      </c>
      <c r="R969" s="306">
        <f t="shared" ca="1" si="455"/>
        <v>0</v>
      </c>
      <c r="S969" s="307">
        <f t="shared" ca="1" si="456"/>
        <v>4.341000000000002</v>
      </c>
      <c r="T969" s="304">
        <f t="shared" ca="1" si="436"/>
        <v>42.585210000000025</v>
      </c>
      <c r="U969" s="311">
        <f t="shared" ca="1" si="437"/>
        <v>0</v>
      </c>
      <c r="V969" s="306">
        <f t="shared" ca="1" si="438"/>
        <v>1.2260627713869248</v>
      </c>
      <c r="W969" s="304">
        <f t="shared" ca="1" si="439"/>
        <v>38.814017371788246</v>
      </c>
      <c r="Y969" s="314" t="str">
        <f t="shared" ca="1" si="457"/>
        <v/>
      </c>
      <c r="Z969" s="315" t="str">
        <f t="shared" ca="1" si="458"/>
        <v/>
      </c>
      <c r="AA969" s="316" t="str">
        <f t="shared" ca="1" si="459"/>
        <v/>
      </c>
      <c r="AC969" s="310" t="e">
        <f t="shared" ca="1" si="460"/>
        <v>#N/A</v>
      </c>
      <c r="AD969" s="323" t="e">
        <f t="shared" ca="1" si="461"/>
        <v>#N/A</v>
      </c>
      <c r="AE969" s="324" t="e">
        <f t="shared" ca="1" si="440"/>
        <v>#N/A</v>
      </c>
      <c r="AG969" s="306">
        <f t="shared" ca="1" si="462"/>
        <v>0.84222262393909375</v>
      </c>
      <c r="AH969" s="304">
        <f t="shared" ca="1" si="463"/>
        <v>-8.9412377211250753</v>
      </c>
    </row>
    <row r="970" spans="1:34" x14ac:dyDescent="0.2">
      <c r="A970" s="347">
        <f t="shared" ca="1" si="441"/>
        <v>1E-4</v>
      </c>
      <c r="B970" s="304">
        <f t="shared" ca="1" si="442"/>
        <v>28.659000000000002</v>
      </c>
      <c r="D970" s="306">
        <f t="shared" ca="1" si="443"/>
        <v>-0.65724714515740901</v>
      </c>
      <c r="E970" s="307">
        <f t="shared" ca="1" si="444"/>
        <v>-0.89292714249291905</v>
      </c>
      <c r="F970" s="304">
        <f t="shared" ca="1" si="445"/>
        <v>1.1087347255399436</v>
      </c>
      <c r="G970" s="306">
        <f t="shared" ca="1" si="446"/>
        <v>7.2609375729102297</v>
      </c>
      <c r="H970" s="307">
        <f t="shared" ca="1" si="447"/>
        <v>-98.512339822174113</v>
      </c>
      <c r="I970" s="304">
        <f t="shared" ca="1" si="448"/>
        <v>98.779564241179017</v>
      </c>
      <c r="J970" s="306">
        <f t="shared" ca="1" si="449"/>
        <v>678.53524446899166</v>
      </c>
      <c r="K970" s="307">
        <f t="shared" ca="1" si="450"/>
        <v>-8.6817742771932984</v>
      </c>
      <c r="L970" s="304">
        <f t="shared" ca="1" si="435"/>
        <v>678.59078330846376</v>
      </c>
      <c r="M970" s="306">
        <f t="shared" ca="1" si="451"/>
        <v>-1.4972234952365786</v>
      </c>
      <c r="N970" s="304">
        <f t="shared" ca="1" si="452"/>
        <v>-85.784587264881466</v>
      </c>
      <c r="P970" s="310">
        <f t="shared" ca="1" si="453"/>
        <v>23</v>
      </c>
      <c r="Q970" s="304">
        <f t="shared" ca="1" si="454"/>
        <v>0</v>
      </c>
      <c r="R970" s="306">
        <f t="shared" ca="1" si="455"/>
        <v>0</v>
      </c>
      <c r="S970" s="307">
        <f t="shared" ca="1" si="456"/>
        <v>4.341000000000002</v>
      </c>
      <c r="T970" s="304">
        <f t="shared" ca="1" si="436"/>
        <v>42.585210000000025</v>
      </c>
      <c r="U970" s="311">
        <f t="shared" ca="1" si="437"/>
        <v>0</v>
      </c>
      <c r="V970" s="306">
        <f t="shared" ca="1" si="438"/>
        <v>1.2260639792103232</v>
      </c>
      <c r="W970" s="304">
        <f t="shared" ca="1" si="439"/>
        <v>38.814121794582611</v>
      </c>
      <c r="Y970" s="314" t="str">
        <f t="shared" ca="1" si="457"/>
        <v/>
      </c>
      <c r="Z970" s="315" t="str">
        <f t="shared" ca="1" si="458"/>
        <v/>
      </c>
      <c r="AA970" s="316" t="str">
        <f t="shared" ca="1" si="459"/>
        <v/>
      </c>
      <c r="AC970" s="310" t="e">
        <f t="shared" ca="1" si="460"/>
        <v>#N/A</v>
      </c>
      <c r="AD970" s="323" t="e">
        <f t="shared" ca="1" si="461"/>
        <v>#N/A</v>
      </c>
      <c r="AE970" s="324" t="e">
        <f t="shared" ca="1" si="440"/>
        <v>#N/A</v>
      </c>
      <c r="AG970" s="306">
        <f t="shared" ca="1" si="462"/>
        <v>0.84219909499000956</v>
      </c>
      <c r="AH970" s="304">
        <f t="shared" ca="1" si="463"/>
        <v>-8.941261776500399</v>
      </c>
    </row>
    <row r="971" spans="1:34" x14ac:dyDescent="0.2">
      <c r="A971" s="347">
        <f t="shared" ca="1" si="441"/>
        <v>1E-4</v>
      </c>
      <c r="B971" s="304">
        <f t="shared" ca="1" si="442"/>
        <v>28.659100000000002</v>
      </c>
      <c r="D971" s="306">
        <f t="shared" ca="1" si="443"/>
        <v>-0.65724240375897958</v>
      </c>
      <c r="E971" s="307">
        <f t="shared" ca="1" si="444"/>
        <v>-0.892902672760993</v>
      </c>
      <c r="F971" s="304">
        <f t="shared" ca="1" si="445"/>
        <v>1.1087122080696172</v>
      </c>
      <c r="G971" s="306">
        <f t="shared" ca="1" si="446"/>
        <v>7.2608718486698534</v>
      </c>
      <c r="H971" s="307">
        <f t="shared" ca="1" si="447"/>
        <v>-98.512429112441396</v>
      </c>
      <c r="I971" s="304">
        <f t="shared" ca="1" si="448"/>
        <v>98.779648458761983</v>
      </c>
      <c r="J971" s="306">
        <f t="shared" ca="1" si="449"/>
        <v>678.53524446899166</v>
      </c>
      <c r="K971" s="307">
        <f t="shared" ca="1" si="450"/>
        <v>-8.6916255156400286</v>
      </c>
      <c r="L971" s="304">
        <f t="shared" ca="1" si="435"/>
        <v>678.59090941501597</v>
      </c>
      <c r="M971" s="306">
        <f t="shared" ca="1" si="451"/>
        <v>-1.4972242252437526</v>
      </c>
      <c r="N971" s="304">
        <f t="shared" ca="1" si="452"/>
        <v>-85.784629091211556</v>
      </c>
      <c r="P971" s="310">
        <f t="shared" ca="1" si="453"/>
        <v>23</v>
      </c>
      <c r="Q971" s="304">
        <f t="shared" ca="1" si="454"/>
        <v>0</v>
      </c>
      <c r="R971" s="306">
        <f t="shared" ca="1" si="455"/>
        <v>0</v>
      </c>
      <c r="S971" s="307">
        <f t="shared" ca="1" si="456"/>
        <v>4.341000000000002</v>
      </c>
      <c r="T971" s="304">
        <f t="shared" ca="1" si="436"/>
        <v>42.585210000000025</v>
      </c>
      <c r="U971" s="311">
        <f t="shared" ca="1" si="437"/>
        <v>0</v>
      </c>
      <c r="V971" s="306">
        <f t="shared" ca="1" si="438"/>
        <v>1.2260651870360069</v>
      </c>
      <c r="W971" s="304">
        <f t="shared" ca="1" si="439"/>
        <v>38.814226215787102</v>
      </c>
      <c r="Y971" s="314" t="str">
        <f t="shared" ca="1" si="457"/>
        <v/>
      </c>
      <c r="Z971" s="315" t="str">
        <f t="shared" ca="1" si="458"/>
        <v/>
      </c>
      <c r="AA971" s="316" t="str">
        <f t="shared" ca="1" si="459"/>
        <v/>
      </c>
      <c r="AC971" s="310" t="e">
        <f t="shared" ca="1" si="460"/>
        <v>#N/A</v>
      </c>
      <c r="AD971" s="323" t="e">
        <f t="shared" ca="1" si="461"/>
        <v>#N/A</v>
      </c>
      <c r="AE971" s="324" t="e">
        <f t="shared" ca="1" si="440"/>
        <v>#N/A</v>
      </c>
      <c r="AG971" s="306">
        <f t="shared" ca="1" si="462"/>
        <v>0.84217556639630509</v>
      </c>
      <c r="AH971" s="304">
        <f t="shared" ca="1" si="463"/>
        <v>-8.9412858315094663</v>
      </c>
    </row>
    <row r="972" spans="1:34" x14ac:dyDescent="0.2">
      <c r="A972" s="347">
        <f t="shared" ca="1" si="441"/>
        <v>1E-4</v>
      </c>
      <c r="B972" s="304">
        <f t="shared" ca="1" si="442"/>
        <v>28.659200000000002</v>
      </c>
      <c r="D972" s="306">
        <f t="shared" ca="1" si="443"/>
        <v>-0.65723766236827341</v>
      </c>
      <c r="E972" s="307">
        <f t="shared" ca="1" si="444"/>
        <v>-0.89287820340165425</v>
      </c>
      <c r="F972" s="304">
        <f t="shared" ca="1" si="445"/>
        <v>1.1086896910069464</v>
      </c>
      <c r="G972" s="306">
        <f t="shared" ca="1" si="446"/>
        <v>7.2608061249036169</v>
      </c>
      <c r="H972" s="307">
        <f t="shared" ca="1" si="447"/>
        <v>-98.51251840026174</v>
      </c>
      <c r="I972" s="304">
        <f t="shared" ca="1" si="448"/>
        <v>98.779732673992115</v>
      </c>
      <c r="J972" s="306">
        <f t="shared" ca="1" si="449"/>
        <v>678.53524446899166</v>
      </c>
      <c r="K972" s="307">
        <f t="shared" ca="1" si="450"/>
        <v>-8.7014767630156644</v>
      </c>
      <c r="L972" s="304">
        <f t="shared" ca="1" si="435"/>
        <v>678.59103566467161</v>
      </c>
      <c r="M972" s="306">
        <f t="shared" ca="1" si="451"/>
        <v>-1.4972249552430739</v>
      </c>
      <c r="N972" s="304">
        <f t="shared" ca="1" si="452"/>
        <v>-85.784670917091702</v>
      </c>
      <c r="P972" s="310">
        <f t="shared" ca="1" si="453"/>
        <v>23</v>
      </c>
      <c r="Q972" s="304">
        <f t="shared" ca="1" si="454"/>
        <v>0</v>
      </c>
      <c r="R972" s="306">
        <f t="shared" ca="1" si="455"/>
        <v>0</v>
      </c>
      <c r="S972" s="307">
        <f t="shared" ca="1" si="456"/>
        <v>4.341000000000002</v>
      </c>
      <c r="T972" s="304">
        <f t="shared" ca="1" si="436"/>
        <v>42.585210000000025</v>
      </c>
      <c r="U972" s="311">
        <f t="shared" ca="1" si="437"/>
        <v>0</v>
      </c>
      <c r="V972" s="306">
        <f t="shared" ca="1" si="438"/>
        <v>1.2260663948639761</v>
      </c>
      <c r="W972" s="304">
        <f t="shared" ca="1" si="439"/>
        <v>38.814330635401738</v>
      </c>
      <c r="Y972" s="314" t="str">
        <f t="shared" ca="1" si="457"/>
        <v/>
      </c>
      <c r="Z972" s="315" t="str">
        <f t="shared" ca="1" si="458"/>
        <v/>
      </c>
      <c r="AA972" s="316" t="str">
        <f t="shared" ca="1" si="459"/>
        <v/>
      </c>
      <c r="AC972" s="310" t="e">
        <f t="shared" ca="1" si="460"/>
        <v>#N/A</v>
      </c>
      <c r="AD972" s="323" t="e">
        <f t="shared" ca="1" si="461"/>
        <v>#N/A</v>
      </c>
      <c r="AE972" s="324" t="e">
        <f t="shared" ca="1" si="440"/>
        <v>#N/A</v>
      </c>
      <c r="AG972" s="306">
        <f t="shared" ca="1" si="462"/>
        <v>0.84215203815796968</v>
      </c>
      <c r="AH972" s="304">
        <f t="shared" ca="1" si="463"/>
        <v>-8.9413098861522879</v>
      </c>
    </row>
    <row r="973" spans="1:34" x14ac:dyDescent="0.2">
      <c r="A973" s="347">
        <f t="shared" ca="1" si="441"/>
        <v>1E-4</v>
      </c>
      <c r="B973" s="304">
        <f t="shared" ca="1" si="442"/>
        <v>28.659300000000002</v>
      </c>
      <c r="D973" s="306">
        <f t="shared" ca="1" si="443"/>
        <v>-0.65723292098529618</v>
      </c>
      <c r="E973" s="307">
        <f t="shared" ca="1" si="444"/>
        <v>-0.89285373441489568</v>
      </c>
      <c r="F973" s="304">
        <f t="shared" ca="1" si="445"/>
        <v>1.1086671743519285</v>
      </c>
      <c r="G973" s="306">
        <f t="shared" ca="1" si="446"/>
        <v>7.2607404016115185</v>
      </c>
      <c r="H973" s="307">
        <f t="shared" ca="1" si="447"/>
        <v>-98.512607685635189</v>
      </c>
      <c r="I973" s="304">
        <f t="shared" ca="1" si="448"/>
        <v>98.779816886869469</v>
      </c>
      <c r="J973" s="306">
        <f t="shared" ca="1" si="449"/>
        <v>678.53524446899166</v>
      </c>
      <c r="K973" s="307">
        <f t="shared" ca="1" si="450"/>
        <v>-8.7113280193199589</v>
      </c>
      <c r="L973" s="304">
        <f t="shared" ca="1" si="435"/>
        <v>678.59116205743089</v>
      </c>
      <c r="M973" s="306">
        <f t="shared" ca="1" si="451"/>
        <v>-1.4972256852345427</v>
      </c>
      <c r="N973" s="304">
        <f t="shared" ca="1" si="452"/>
        <v>-85.784712742521947</v>
      </c>
      <c r="P973" s="310">
        <f t="shared" ca="1" si="453"/>
        <v>23</v>
      </c>
      <c r="Q973" s="304">
        <f t="shared" ca="1" si="454"/>
        <v>0</v>
      </c>
      <c r="R973" s="306">
        <f t="shared" ca="1" si="455"/>
        <v>0</v>
      </c>
      <c r="S973" s="307">
        <f t="shared" ca="1" si="456"/>
        <v>4.341000000000002</v>
      </c>
      <c r="T973" s="304">
        <f t="shared" ca="1" si="436"/>
        <v>42.585210000000025</v>
      </c>
      <c r="U973" s="311">
        <f t="shared" ca="1" si="437"/>
        <v>0</v>
      </c>
      <c r="V973" s="306">
        <f t="shared" ca="1" si="438"/>
        <v>1.2260676026942299</v>
      </c>
      <c r="W973" s="304">
        <f t="shared" ca="1" si="439"/>
        <v>38.814435053426521</v>
      </c>
      <c r="Y973" s="314" t="str">
        <f t="shared" ca="1" si="457"/>
        <v/>
      </c>
      <c r="Z973" s="315" t="str">
        <f t="shared" ca="1" si="458"/>
        <v/>
      </c>
      <c r="AA973" s="316" t="str">
        <f t="shared" ca="1" si="459"/>
        <v/>
      </c>
      <c r="AC973" s="310" t="e">
        <f t="shared" ca="1" si="460"/>
        <v>#N/A</v>
      </c>
      <c r="AD973" s="323" t="e">
        <f t="shared" ca="1" si="461"/>
        <v>#N/A</v>
      </c>
      <c r="AE973" s="324" t="e">
        <f t="shared" ca="1" si="440"/>
        <v>#N/A</v>
      </c>
      <c r="AG973" s="306">
        <f t="shared" ca="1" si="462"/>
        <v>0.84212851027499802</v>
      </c>
      <c r="AH973" s="304">
        <f t="shared" ca="1" si="463"/>
        <v>-8.9413339404288692</v>
      </c>
    </row>
    <row r="974" spans="1:34" x14ac:dyDescent="0.2">
      <c r="A974" s="347">
        <f t="shared" ca="1" si="441"/>
        <v>1E-4</v>
      </c>
      <c r="B974" s="304">
        <f t="shared" ca="1" si="442"/>
        <v>28.659400000000002</v>
      </c>
      <c r="D974" s="306">
        <f t="shared" ca="1" si="443"/>
        <v>-0.65722817961004532</v>
      </c>
      <c r="E974" s="307">
        <f t="shared" ca="1" si="444"/>
        <v>-0.89282926580071909</v>
      </c>
      <c r="F974" s="304">
        <f t="shared" ca="1" si="445"/>
        <v>1.1086446581045637</v>
      </c>
      <c r="G974" s="306">
        <f t="shared" ca="1" si="446"/>
        <v>7.2606746787935572</v>
      </c>
      <c r="H974" s="307">
        <f t="shared" ca="1" si="447"/>
        <v>-98.512696968561769</v>
      </c>
      <c r="I974" s="304">
        <f t="shared" ca="1" si="448"/>
        <v>98.77990109739406</v>
      </c>
      <c r="J974" s="306">
        <f t="shared" ca="1" si="449"/>
        <v>678.53524446899166</v>
      </c>
      <c r="K974" s="307">
        <f t="shared" ca="1" si="450"/>
        <v>-8.7211792845526688</v>
      </c>
      <c r="L974" s="304">
        <f t="shared" ca="1" si="435"/>
        <v>678.59128859329428</v>
      </c>
      <c r="M974" s="306">
        <f t="shared" ca="1" si="451"/>
        <v>-1.4972264152181591</v>
      </c>
      <c r="N974" s="304">
        <f t="shared" ca="1" si="452"/>
        <v>-85.78475456750229</v>
      </c>
      <c r="P974" s="310">
        <f t="shared" ca="1" si="453"/>
        <v>23</v>
      </c>
      <c r="Q974" s="304">
        <f t="shared" ca="1" si="454"/>
        <v>0</v>
      </c>
      <c r="R974" s="306">
        <f t="shared" ca="1" si="455"/>
        <v>0</v>
      </c>
      <c r="S974" s="307">
        <f t="shared" ca="1" si="456"/>
        <v>4.341000000000002</v>
      </c>
      <c r="T974" s="304">
        <f t="shared" ca="1" si="436"/>
        <v>42.585210000000025</v>
      </c>
      <c r="U974" s="311">
        <f t="shared" ca="1" si="437"/>
        <v>0</v>
      </c>
      <c r="V974" s="306">
        <f t="shared" ca="1" si="438"/>
        <v>1.226068810526769</v>
      </c>
      <c r="W974" s="304">
        <f t="shared" ca="1" si="439"/>
        <v>38.814539469861479</v>
      </c>
      <c r="Y974" s="314" t="str">
        <f t="shared" ca="1" si="457"/>
        <v/>
      </c>
      <c r="Z974" s="315" t="str">
        <f t="shared" ca="1" si="458"/>
        <v/>
      </c>
      <c r="AA974" s="316" t="str">
        <f t="shared" ca="1" si="459"/>
        <v/>
      </c>
      <c r="AC974" s="310" t="e">
        <f t="shared" ca="1" si="460"/>
        <v>#N/A</v>
      </c>
      <c r="AD974" s="323" t="e">
        <f t="shared" ca="1" si="461"/>
        <v>#N/A</v>
      </c>
      <c r="AE974" s="324" t="e">
        <f t="shared" ca="1" si="440"/>
        <v>#N/A</v>
      </c>
      <c r="AG974" s="306">
        <f t="shared" ca="1" si="462"/>
        <v>0.84210498274739365</v>
      </c>
      <c r="AH974" s="304">
        <f t="shared" ca="1" si="463"/>
        <v>-8.9413579943392083</v>
      </c>
    </row>
    <row r="975" spans="1:34" x14ac:dyDescent="0.2">
      <c r="A975" s="347">
        <f t="shared" ca="1" si="441"/>
        <v>1E-4</v>
      </c>
      <c r="B975" s="304">
        <f t="shared" ca="1" si="442"/>
        <v>28.659500000000001</v>
      </c>
      <c r="D975" s="306">
        <f t="shared" ca="1" si="443"/>
        <v>-0.6572234382425225</v>
      </c>
      <c r="E975" s="307">
        <f t="shared" ca="1" si="444"/>
        <v>-0.89280479755911912</v>
      </c>
      <c r="F975" s="304">
        <f t="shared" ca="1" si="445"/>
        <v>1.1086221422648488</v>
      </c>
      <c r="G975" s="306">
        <f t="shared" ca="1" si="446"/>
        <v>7.2606089564497331</v>
      </c>
      <c r="H975" s="307">
        <f t="shared" ca="1" si="447"/>
        <v>-98.512786249041525</v>
      </c>
      <c r="I975" s="304">
        <f t="shared" ca="1" si="448"/>
        <v>98.77998530556593</v>
      </c>
      <c r="J975" s="306">
        <f t="shared" ca="1" si="449"/>
        <v>678.53524446899166</v>
      </c>
      <c r="K975" s="307">
        <f t="shared" ca="1" si="450"/>
        <v>-8.7310305587135488</v>
      </c>
      <c r="L975" s="304">
        <f t="shared" ca="1" si="435"/>
        <v>678.591415272262</v>
      </c>
      <c r="M975" s="306">
        <f t="shared" ca="1" si="451"/>
        <v>-1.4972271451939232</v>
      </c>
      <c r="N975" s="304">
        <f t="shared" ca="1" si="452"/>
        <v>-85.784796392032717</v>
      </c>
      <c r="P975" s="310">
        <f t="shared" ca="1" si="453"/>
        <v>23</v>
      </c>
      <c r="Q975" s="304">
        <f t="shared" ca="1" si="454"/>
        <v>0</v>
      </c>
      <c r="R975" s="306">
        <f t="shared" ca="1" si="455"/>
        <v>0</v>
      </c>
      <c r="S975" s="307">
        <f t="shared" ca="1" si="456"/>
        <v>4.341000000000002</v>
      </c>
      <c r="T975" s="304">
        <f t="shared" ca="1" si="436"/>
        <v>42.585210000000025</v>
      </c>
      <c r="U975" s="311">
        <f t="shared" ca="1" si="437"/>
        <v>0</v>
      </c>
      <c r="V975" s="306">
        <f t="shared" ca="1" si="438"/>
        <v>1.2260700183615929</v>
      </c>
      <c r="W975" s="304">
        <f t="shared" ca="1" si="439"/>
        <v>38.814643884706634</v>
      </c>
      <c r="Y975" s="314" t="str">
        <f t="shared" ca="1" si="457"/>
        <v/>
      </c>
      <c r="Z975" s="315" t="str">
        <f t="shared" ca="1" si="458"/>
        <v/>
      </c>
      <c r="AA975" s="316" t="str">
        <f t="shared" ca="1" si="459"/>
        <v/>
      </c>
      <c r="AC975" s="310" t="e">
        <f t="shared" ca="1" si="460"/>
        <v>#N/A</v>
      </c>
      <c r="AD975" s="323" t="e">
        <f t="shared" ca="1" si="461"/>
        <v>#N/A</v>
      </c>
      <c r="AE975" s="324" t="e">
        <f t="shared" ca="1" si="440"/>
        <v>#N/A</v>
      </c>
      <c r="AG975" s="306">
        <f t="shared" ca="1" si="462"/>
        <v>0.84208145557514769</v>
      </c>
      <c r="AH975" s="304">
        <f t="shared" ca="1" si="463"/>
        <v>-8.9413820478833124</v>
      </c>
    </row>
    <row r="976" spans="1:34" x14ac:dyDescent="0.2">
      <c r="A976" s="347">
        <f t="shared" ca="1" si="441"/>
        <v>1E-4</v>
      </c>
      <c r="B976" s="304">
        <f t="shared" ca="1" si="442"/>
        <v>28.659600000000001</v>
      </c>
      <c r="D976" s="306">
        <f t="shared" ca="1" si="443"/>
        <v>-0.65721869688272971</v>
      </c>
      <c r="E976" s="307">
        <f t="shared" ca="1" si="444"/>
        <v>-0.89278032969008869</v>
      </c>
      <c r="F976" s="304">
        <f t="shared" ca="1" si="445"/>
        <v>1.1085996268327789</v>
      </c>
      <c r="G976" s="306">
        <f t="shared" ca="1" si="446"/>
        <v>7.2605432345800445</v>
      </c>
      <c r="H976" s="307">
        <f t="shared" ca="1" si="447"/>
        <v>-98.512875527074499</v>
      </c>
      <c r="I976" s="304">
        <f t="shared" ca="1" si="448"/>
        <v>98.780069511385136</v>
      </c>
      <c r="J976" s="306">
        <f t="shared" ca="1" si="449"/>
        <v>678.53524446899166</v>
      </c>
      <c r="K976" s="307">
        <f t="shared" ca="1" si="450"/>
        <v>-8.7408818418023539</v>
      </c>
      <c r="L976" s="304">
        <f t="shared" ca="1" si="435"/>
        <v>678.59154209433427</v>
      </c>
      <c r="M976" s="306">
        <f t="shared" ca="1" si="451"/>
        <v>-1.4972278751618353</v>
      </c>
      <c r="N976" s="304">
        <f t="shared" ca="1" si="452"/>
        <v>-85.784838216113258</v>
      </c>
      <c r="P976" s="310">
        <f t="shared" ca="1" si="453"/>
        <v>23</v>
      </c>
      <c r="Q976" s="304">
        <f t="shared" ca="1" si="454"/>
        <v>0</v>
      </c>
      <c r="R976" s="306">
        <f t="shared" ca="1" si="455"/>
        <v>0</v>
      </c>
      <c r="S976" s="307">
        <f t="shared" ca="1" si="456"/>
        <v>4.341000000000002</v>
      </c>
      <c r="T976" s="304">
        <f t="shared" ca="1" si="436"/>
        <v>42.585210000000025</v>
      </c>
      <c r="U976" s="311">
        <f t="shared" ca="1" si="437"/>
        <v>0</v>
      </c>
      <c r="V976" s="306">
        <f t="shared" ca="1" si="438"/>
        <v>1.2260712261987021</v>
      </c>
      <c r="W976" s="304">
        <f t="shared" ca="1" si="439"/>
        <v>38.814748297962005</v>
      </c>
      <c r="Y976" s="314" t="str">
        <f t="shared" ca="1" si="457"/>
        <v/>
      </c>
      <c r="Z976" s="315" t="str">
        <f t="shared" ca="1" si="458"/>
        <v/>
      </c>
      <c r="AA976" s="316" t="str">
        <f t="shared" ca="1" si="459"/>
        <v/>
      </c>
      <c r="AC976" s="310" t="e">
        <f t="shared" ca="1" si="460"/>
        <v>#N/A</v>
      </c>
      <c r="AD976" s="323" t="e">
        <f t="shared" ca="1" si="461"/>
        <v>#N/A</v>
      </c>
      <c r="AE976" s="324" t="e">
        <f t="shared" ca="1" si="440"/>
        <v>#N/A</v>
      </c>
      <c r="AG976" s="306">
        <f t="shared" ca="1" si="462"/>
        <v>0.84205792875825303</v>
      </c>
      <c r="AH976" s="304">
        <f t="shared" ca="1" si="463"/>
        <v>-8.9414061010611885</v>
      </c>
    </row>
    <row r="977" spans="1:34" x14ac:dyDescent="0.2">
      <c r="A977" s="347">
        <f t="shared" ca="1" si="441"/>
        <v>1E-4</v>
      </c>
      <c r="B977" s="304">
        <f t="shared" ca="1" si="442"/>
        <v>28.659700000000001</v>
      </c>
      <c r="D977" s="306">
        <f t="shared" ca="1" si="443"/>
        <v>-0.65721395553066442</v>
      </c>
      <c r="E977" s="307">
        <f t="shared" ca="1" si="444"/>
        <v>-0.89275586219362602</v>
      </c>
      <c r="F977" s="304">
        <f t="shared" ca="1" si="445"/>
        <v>1.1085771118083518</v>
      </c>
      <c r="G977" s="306">
        <f t="shared" ca="1" si="446"/>
        <v>7.2604775131844912</v>
      </c>
      <c r="H977" s="307">
        <f t="shared" ca="1" si="447"/>
        <v>-98.512964802660719</v>
      </c>
      <c r="I977" s="304">
        <f t="shared" ca="1" si="448"/>
        <v>98.780153714851679</v>
      </c>
      <c r="J977" s="306">
        <f t="shared" ca="1" si="449"/>
        <v>678.53524446899166</v>
      </c>
      <c r="K977" s="307">
        <f t="shared" ca="1" si="450"/>
        <v>-8.7507331338188408</v>
      </c>
      <c r="L977" s="304">
        <f t="shared" ca="1" si="435"/>
        <v>678.59166905951156</v>
      </c>
      <c r="M977" s="306">
        <f t="shared" ca="1" si="451"/>
        <v>-1.4972286051218953</v>
      </c>
      <c r="N977" s="304">
        <f t="shared" ca="1" si="452"/>
        <v>-85.784880039743911</v>
      </c>
      <c r="P977" s="310">
        <f t="shared" ca="1" si="453"/>
        <v>23</v>
      </c>
      <c r="Q977" s="304">
        <f t="shared" ca="1" si="454"/>
        <v>0</v>
      </c>
      <c r="R977" s="306">
        <f t="shared" ca="1" si="455"/>
        <v>0</v>
      </c>
      <c r="S977" s="307">
        <f t="shared" ca="1" si="456"/>
        <v>4.341000000000002</v>
      </c>
      <c r="T977" s="304">
        <f t="shared" ca="1" si="436"/>
        <v>42.585210000000025</v>
      </c>
      <c r="U977" s="311">
        <f t="shared" ca="1" si="437"/>
        <v>0</v>
      </c>
      <c r="V977" s="306">
        <f t="shared" ca="1" si="438"/>
        <v>1.2260724340380966</v>
      </c>
      <c r="W977" s="304">
        <f t="shared" ca="1" si="439"/>
        <v>38.814852709627601</v>
      </c>
      <c r="Y977" s="314" t="str">
        <f t="shared" ca="1" si="457"/>
        <v/>
      </c>
      <c r="Z977" s="315" t="str">
        <f t="shared" ca="1" si="458"/>
        <v/>
      </c>
      <c r="AA977" s="316" t="str">
        <f t="shared" ca="1" si="459"/>
        <v/>
      </c>
      <c r="AC977" s="310" t="e">
        <f t="shared" ca="1" si="460"/>
        <v>#N/A</v>
      </c>
      <c r="AD977" s="323" t="e">
        <f t="shared" ca="1" si="461"/>
        <v>#N/A</v>
      </c>
      <c r="AE977" s="324" t="e">
        <f t="shared" ca="1" si="440"/>
        <v>#N/A</v>
      </c>
      <c r="AG977" s="306">
        <f t="shared" ca="1" si="462"/>
        <v>0.842034402296715</v>
      </c>
      <c r="AH977" s="304">
        <f t="shared" ca="1" si="463"/>
        <v>-8.9414301538728367</v>
      </c>
    </row>
    <row r="978" spans="1:34" x14ac:dyDescent="0.2">
      <c r="A978" s="347">
        <f t="shared" ca="1" si="441"/>
        <v>1E-4</v>
      </c>
      <c r="B978" s="304">
        <f t="shared" ca="1" si="442"/>
        <v>28.659800000000001</v>
      </c>
      <c r="D978" s="306">
        <f t="shared" ca="1" si="443"/>
        <v>-0.65720921418633038</v>
      </c>
      <c r="E978" s="307">
        <f t="shared" ca="1" si="444"/>
        <v>-0.89273139506972399</v>
      </c>
      <c r="F978" s="304">
        <f t="shared" ca="1" si="445"/>
        <v>1.1085545971915634</v>
      </c>
      <c r="G978" s="306">
        <f t="shared" ca="1" si="446"/>
        <v>7.2604117922630724</v>
      </c>
      <c r="H978" s="307">
        <f t="shared" ca="1" si="447"/>
        <v>-98.513054075800227</v>
      </c>
      <c r="I978" s="304">
        <f t="shared" ca="1" si="448"/>
        <v>98.780237915965614</v>
      </c>
      <c r="J978" s="306">
        <f t="shared" ca="1" si="449"/>
        <v>678.53524446899166</v>
      </c>
      <c r="K978" s="307">
        <f t="shared" ca="1" si="450"/>
        <v>-8.7605844347627642</v>
      </c>
      <c r="L978" s="304">
        <f t="shared" ca="1" si="435"/>
        <v>678.59179616779397</v>
      </c>
      <c r="M978" s="306">
        <f t="shared" ca="1" si="451"/>
        <v>-1.4972293350741033</v>
      </c>
      <c r="N978" s="304">
        <f t="shared" ca="1" si="452"/>
        <v>-85.784921862924676</v>
      </c>
      <c r="P978" s="310">
        <f t="shared" ca="1" si="453"/>
        <v>23</v>
      </c>
      <c r="Q978" s="304">
        <f t="shared" ca="1" si="454"/>
        <v>0</v>
      </c>
      <c r="R978" s="306">
        <f t="shared" ca="1" si="455"/>
        <v>0</v>
      </c>
      <c r="S978" s="307">
        <f t="shared" ca="1" si="456"/>
        <v>4.341000000000002</v>
      </c>
      <c r="T978" s="304">
        <f t="shared" ca="1" si="436"/>
        <v>42.585210000000025</v>
      </c>
      <c r="U978" s="311">
        <f t="shared" ca="1" si="437"/>
        <v>0</v>
      </c>
      <c r="V978" s="306">
        <f t="shared" ca="1" si="438"/>
        <v>1.2260736418797755</v>
      </c>
      <c r="W978" s="304">
        <f t="shared" ca="1" si="439"/>
        <v>38.814957119703429</v>
      </c>
      <c r="Y978" s="314" t="str">
        <f t="shared" ca="1" si="457"/>
        <v/>
      </c>
      <c r="Z978" s="315" t="str">
        <f t="shared" ca="1" si="458"/>
        <v/>
      </c>
      <c r="AA978" s="316" t="str">
        <f t="shared" ca="1" si="459"/>
        <v/>
      </c>
      <c r="AC978" s="310" t="e">
        <f t="shared" ca="1" si="460"/>
        <v>#N/A</v>
      </c>
      <c r="AD978" s="323" t="e">
        <f t="shared" ca="1" si="461"/>
        <v>#N/A</v>
      </c>
      <c r="AE978" s="324" t="e">
        <f t="shared" ca="1" si="440"/>
        <v>#N/A</v>
      </c>
      <c r="AG978" s="306">
        <f t="shared" ca="1" si="462"/>
        <v>0.8420108761905194</v>
      </c>
      <c r="AH978" s="304">
        <f t="shared" ca="1" si="463"/>
        <v>-8.941454206318264</v>
      </c>
    </row>
    <row r="979" spans="1:34" x14ac:dyDescent="0.2">
      <c r="A979" s="347">
        <f t="shared" ca="1" si="441"/>
        <v>1E-4</v>
      </c>
      <c r="B979" s="304">
        <f t="shared" ca="1" si="442"/>
        <v>28.6599</v>
      </c>
      <c r="D979" s="306">
        <f t="shared" ca="1" si="443"/>
        <v>-0.65720447284972705</v>
      </c>
      <c r="E979" s="307">
        <f t="shared" ca="1" si="444"/>
        <v>-0.89270692831838439</v>
      </c>
      <c r="F979" s="304">
        <f t="shared" ca="1" si="445"/>
        <v>1.1085320829824155</v>
      </c>
      <c r="G979" s="306">
        <f t="shared" ca="1" si="446"/>
        <v>7.2603460718157873</v>
      </c>
      <c r="H979" s="307">
        <f t="shared" ca="1" si="447"/>
        <v>-98.513143346493052</v>
      </c>
      <c r="I979" s="304">
        <f t="shared" ca="1" si="448"/>
        <v>98.780322114726971</v>
      </c>
      <c r="J979" s="306">
        <f t="shared" ca="1" si="449"/>
        <v>678.53524446899166</v>
      </c>
      <c r="K979" s="307">
        <f t="shared" ca="1" si="450"/>
        <v>-8.770435744633879</v>
      </c>
      <c r="L979" s="304">
        <f t="shared" ca="1" si="435"/>
        <v>678.59192341918208</v>
      </c>
      <c r="M979" s="306">
        <f t="shared" ca="1" si="451"/>
        <v>-1.4972300650184593</v>
      </c>
      <c r="N979" s="304">
        <f t="shared" ca="1" si="452"/>
        <v>-85.784963685655555</v>
      </c>
      <c r="P979" s="310">
        <f t="shared" ca="1" si="453"/>
        <v>23</v>
      </c>
      <c r="Q979" s="304">
        <f t="shared" ca="1" si="454"/>
        <v>0</v>
      </c>
      <c r="R979" s="306">
        <f t="shared" ca="1" si="455"/>
        <v>0</v>
      </c>
      <c r="S979" s="307">
        <f t="shared" ca="1" si="456"/>
        <v>4.341000000000002</v>
      </c>
      <c r="T979" s="304">
        <f t="shared" ca="1" si="436"/>
        <v>42.585210000000025</v>
      </c>
      <c r="U979" s="311">
        <f t="shared" ca="1" si="437"/>
        <v>0</v>
      </c>
      <c r="V979" s="306">
        <f t="shared" ca="1" si="438"/>
        <v>1.2260748497237397</v>
      </c>
      <c r="W979" s="304">
        <f t="shared" ca="1" si="439"/>
        <v>38.815061528189538</v>
      </c>
      <c r="Y979" s="314" t="str">
        <f t="shared" ca="1" si="457"/>
        <v/>
      </c>
      <c r="Z979" s="315" t="str">
        <f t="shared" ca="1" si="458"/>
        <v/>
      </c>
      <c r="AA979" s="316" t="str">
        <f t="shared" ca="1" si="459"/>
        <v/>
      </c>
      <c r="AC979" s="310" t="e">
        <f t="shared" ca="1" si="460"/>
        <v>#N/A</v>
      </c>
      <c r="AD979" s="323" t="e">
        <f t="shared" ca="1" si="461"/>
        <v>#N/A</v>
      </c>
      <c r="AE979" s="324" t="e">
        <f t="shared" ca="1" si="440"/>
        <v>#N/A</v>
      </c>
      <c r="AG979" s="306">
        <f t="shared" ca="1" si="462"/>
        <v>0.84198735043967332</v>
      </c>
      <c r="AH979" s="304">
        <f t="shared" ca="1" si="463"/>
        <v>-8.9414782583974688</v>
      </c>
    </row>
    <row r="980" spans="1:34" x14ac:dyDescent="0.2">
      <c r="A980" s="347">
        <f t="shared" ca="1" si="441"/>
        <v>1E-4</v>
      </c>
      <c r="B980" s="304">
        <f t="shared" ca="1" si="442"/>
        <v>28.66</v>
      </c>
      <c r="D980" s="306">
        <f t="shared" ca="1" si="443"/>
        <v>-0.65719973152085664</v>
      </c>
      <c r="E980" s="307">
        <f t="shared" ca="1" si="444"/>
        <v>-0.89268246193959655</v>
      </c>
      <c r="F980" s="304">
        <f t="shared" ca="1" si="445"/>
        <v>1.1085095691809004</v>
      </c>
      <c r="G980" s="306">
        <f t="shared" ca="1" si="446"/>
        <v>7.2602803518426349</v>
      </c>
      <c r="H980" s="307">
        <f t="shared" ca="1" si="447"/>
        <v>-98.513232614739252</v>
      </c>
      <c r="I980" s="304">
        <f t="shared" ca="1" si="448"/>
        <v>98.780406311135806</v>
      </c>
      <c r="J980" s="306">
        <f t="shared" ca="1" si="449"/>
        <v>678.53524446899166</v>
      </c>
      <c r="K980" s="307">
        <f t="shared" ca="1" si="450"/>
        <v>-8.7802870634319401</v>
      </c>
      <c r="L980" s="304">
        <f t="shared" ca="1" si="435"/>
        <v>678.592050813676</v>
      </c>
      <c r="M980" s="306">
        <f t="shared" ca="1" si="451"/>
        <v>-1.4972307949549637</v>
      </c>
      <c r="N980" s="304">
        <f t="shared" ca="1" si="452"/>
        <v>-85.785005507936575</v>
      </c>
      <c r="P980" s="310">
        <f t="shared" ca="1" si="453"/>
        <v>23</v>
      </c>
      <c r="Q980" s="304">
        <f t="shared" ca="1" si="454"/>
        <v>0</v>
      </c>
      <c r="R980" s="306">
        <f t="shared" ca="1" si="455"/>
        <v>0</v>
      </c>
      <c r="S980" s="307">
        <f t="shared" ca="1" si="456"/>
        <v>4.341000000000002</v>
      </c>
      <c r="T980" s="304">
        <f t="shared" ca="1" si="436"/>
        <v>42.585210000000025</v>
      </c>
      <c r="U980" s="311">
        <f t="shared" ca="1" si="437"/>
        <v>0</v>
      </c>
      <c r="V980" s="306">
        <f t="shared" ca="1" si="438"/>
        <v>1.2260760575699887</v>
      </c>
      <c r="W980" s="304">
        <f t="shared" ca="1" si="439"/>
        <v>38.815165935085922</v>
      </c>
      <c r="Y980" s="314" t="str">
        <f t="shared" ca="1" si="457"/>
        <v/>
      </c>
      <c r="Z980" s="315" t="str">
        <f t="shared" ca="1" si="458"/>
        <v/>
      </c>
      <c r="AA980" s="316" t="str">
        <f t="shared" ca="1" si="459"/>
        <v/>
      </c>
      <c r="AC980" s="310" t="e">
        <f t="shared" ca="1" si="460"/>
        <v>#N/A</v>
      </c>
      <c r="AD980" s="323" t="e">
        <f t="shared" ca="1" si="461"/>
        <v>#N/A</v>
      </c>
      <c r="AE980" s="324" t="e">
        <f t="shared" ca="1" si="440"/>
        <v>#N/A</v>
      </c>
      <c r="AG980" s="306">
        <f t="shared" ca="1" si="462"/>
        <v>0.84196382504416079</v>
      </c>
      <c r="AH980" s="304">
        <f t="shared" ca="1" si="463"/>
        <v>-8.9415023101104634</v>
      </c>
    </row>
    <row r="981" spans="1:34" x14ac:dyDescent="0.2">
      <c r="A981" s="347">
        <f t="shared" ca="1" si="441"/>
        <v>1E-4</v>
      </c>
      <c r="B981" s="304">
        <f t="shared" ca="1" si="442"/>
        <v>28.6601</v>
      </c>
      <c r="D981" s="306">
        <f t="shared" ca="1" si="443"/>
        <v>-0.65719499019971828</v>
      </c>
      <c r="E981" s="307">
        <f t="shared" ca="1" si="444"/>
        <v>-0.89265799593336048</v>
      </c>
      <c r="F981" s="304">
        <f t="shared" ca="1" si="445"/>
        <v>1.1084870557870179</v>
      </c>
      <c r="G981" s="306">
        <f t="shared" ca="1" si="446"/>
        <v>7.2602146323436152</v>
      </c>
      <c r="H981" s="307">
        <f t="shared" ca="1" si="447"/>
        <v>-98.51332188053884</v>
      </c>
      <c r="I981" s="304">
        <f t="shared" ca="1" si="448"/>
        <v>98.78049050519212</v>
      </c>
      <c r="J981" s="306">
        <f t="shared" ca="1" si="449"/>
        <v>678.53524446899166</v>
      </c>
      <c r="K981" s="307">
        <f t="shared" ca="1" si="450"/>
        <v>-8.7901383911567041</v>
      </c>
      <c r="L981" s="304">
        <f t="shared" ca="1" si="435"/>
        <v>678.59217835127595</v>
      </c>
      <c r="M981" s="306">
        <f t="shared" ca="1" si="451"/>
        <v>-1.4972315248836165</v>
      </c>
      <c r="N981" s="304">
        <f t="shared" ca="1" si="452"/>
        <v>-85.785047329767721</v>
      </c>
      <c r="P981" s="310">
        <f t="shared" ca="1" si="453"/>
        <v>23</v>
      </c>
      <c r="Q981" s="304">
        <f t="shared" ca="1" si="454"/>
        <v>0</v>
      </c>
      <c r="R981" s="306">
        <f t="shared" ca="1" si="455"/>
        <v>0</v>
      </c>
      <c r="S981" s="307">
        <f t="shared" ca="1" si="456"/>
        <v>4.341000000000002</v>
      </c>
      <c r="T981" s="304">
        <f t="shared" ca="1" si="436"/>
        <v>42.585210000000025</v>
      </c>
      <c r="U981" s="311">
        <f t="shared" ca="1" si="437"/>
        <v>0</v>
      </c>
      <c r="V981" s="306">
        <f t="shared" ca="1" si="438"/>
        <v>1.2260772654185224</v>
      </c>
      <c r="W981" s="304">
        <f t="shared" ca="1" si="439"/>
        <v>38.815270340392587</v>
      </c>
      <c r="Y981" s="314" t="str">
        <f t="shared" ca="1" si="457"/>
        <v/>
      </c>
      <c r="Z981" s="315" t="str">
        <f t="shared" ca="1" si="458"/>
        <v/>
      </c>
      <c r="AA981" s="316" t="str">
        <f t="shared" ca="1" si="459"/>
        <v/>
      </c>
      <c r="AC981" s="310" t="e">
        <f t="shared" ca="1" si="460"/>
        <v>#N/A</v>
      </c>
      <c r="AD981" s="323" t="e">
        <f t="shared" ca="1" si="461"/>
        <v>#N/A</v>
      </c>
      <c r="AE981" s="324" t="e">
        <f t="shared" ca="1" si="440"/>
        <v>#N/A</v>
      </c>
      <c r="AG981" s="306">
        <f t="shared" ca="1" si="462"/>
        <v>0.8419403000039889</v>
      </c>
      <c r="AH981" s="304">
        <f t="shared" ca="1" si="463"/>
        <v>-8.941526361457246</v>
      </c>
    </row>
    <row r="982" spans="1:34" x14ac:dyDescent="0.2">
      <c r="A982" s="347">
        <f t="shared" ca="1" si="441"/>
        <v>1E-4</v>
      </c>
      <c r="B982" s="304">
        <f t="shared" ca="1" si="442"/>
        <v>28.6602</v>
      </c>
      <c r="D982" s="306">
        <f t="shared" ca="1" si="443"/>
        <v>-0.65719024888631172</v>
      </c>
      <c r="E982" s="307">
        <f t="shared" ca="1" si="444"/>
        <v>-0.8926335302996744</v>
      </c>
      <c r="F982" s="304">
        <f t="shared" ca="1" si="445"/>
        <v>1.1084645428007665</v>
      </c>
      <c r="G982" s="306">
        <f t="shared" ca="1" si="446"/>
        <v>7.2601489133187265</v>
      </c>
      <c r="H982" s="307">
        <f t="shared" ca="1" si="447"/>
        <v>-98.513411143891872</v>
      </c>
      <c r="I982" s="304">
        <f t="shared" ca="1" si="448"/>
        <v>98.780574696895954</v>
      </c>
      <c r="J982" s="306">
        <f t="shared" ca="1" si="449"/>
        <v>678.53524446899166</v>
      </c>
      <c r="K982" s="307">
        <f t="shared" ca="1" si="450"/>
        <v>-8.799989727807926</v>
      </c>
      <c r="L982" s="304">
        <f t="shared" ca="1" si="435"/>
        <v>678.5923060319825</v>
      </c>
      <c r="M982" s="306">
        <f t="shared" ca="1" si="451"/>
        <v>-1.4972322548044179</v>
      </c>
      <c r="N982" s="304">
        <f t="shared" ca="1" si="452"/>
        <v>-85.785089151149023</v>
      </c>
      <c r="P982" s="310">
        <f t="shared" ca="1" si="453"/>
        <v>23</v>
      </c>
      <c r="Q982" s="304">
        <f t="shared" ca="1" si="454"/>
        <v>0</v>
      </c>
      <c r="R982" s="306">
        <f t="shared" ca="1" si="455"/>
        <v>0</v>
      </c>
      <c r="S982" s="307">
        <f t="shared" ca="1" si="456"/>
        <v>4.341000000000002</v>
      </c>
      <c r="T982" s="304">
        <f t="shared" ca="1" si="436"/>
        <v>42.585210000000025</v>
      </c>
      <c r="U982" s="311">
        <f t="shared" ca="1" si="437"/>
        <v>0</v>
      </c>
      <c r="V982" s="306">
        <f t="shared" ca="1" si="438"/>
        <v>1.2260784732693413</v>
      </c>
      <c r="W982" s="304">
        <f t="shared" ca="1" si="439"/>
        <v>38.815374744109576</v>
      </c>
      <c r="Y982" s="314" t="str">
        <f t="shared" ca="1" si="457"/>
        <v/>
      </c>
      <c r="Z982" s="315" t="str">
        <f t="shared" ca="1" si="458"/>
        <v/>
      </c>
      <c r="AA982" s="316" t="str">
        <f t="shared" ca="1" si="459"/>
        <v/>
      </c>
      <c r="AC982" s="310" t="e">
        <f t="shared" ca="1" si="460"/>
        <v>#N/A</v>
      </c>
      <c r="AD982" s="323" t="e">
        <f t="shared" ca="1" si="461"/>
        <v>#N/A</v>
      </c>
      <c r="AE982" s="324" t="e">
        <f t="shared" ca="1" si="440"/>
        <v>#N/A</v>
      </c>
      <c r="AG982" s="306">
        <f t="shared" ca="1" si="462"/>
        <v>0.84191677531915232</v>
      </c>
      <c r="AH982" s="304">
        <f t="shared" ca="1" si="463"/>
        <v>-8.9415504124378185</v>
      </c>
    </row>
    <row r="983" spans="1:34" x14ac:dyDescent="0.2">
      <c r="A983" s="347">
        <f t="shared" ca="1" si="441"/>
        <v>1E-4</v>
      </c>
      <c r="B983" s="304">
        <f t="shared" ca="1" si="442"/>
        <v>28.660299999999999</v>
      </c>
      <c r="D983" s="306">
        <f t="shared" ca="1" si="443"/>
        <v>-0.65718550758063887</v>
      </c>
      <c r="E983" s="307">
        <f t="shared" ca="1" si="444"/>
        <v>-0.89260906503852944</v>
      </c>
      <c r="F983" s="304">
        <f t="shared" ca="1" si="445"/>
        <v>1.1084420302221401</v>
      </c>
      <c r="G983" s="306">
        <f t="shared" ca="1" si="446"/>
        <v>7.2600831947679687</v>
      </c>
      <c r="H983" s="307">
        <f t="shared" ca="1" si="447"/>
        <v>-98.513500404798378</v>
      </c>
      <c r="I983" s="304">
        <f t="shared" ca="1" si="448"/>
        <v>98.78065888624738</v>
      </c>
      <c r="J983" s="306">
        <f t="shared" ca="1" si="449"/>
        <v>678.53524446899166</v>
      </c>
      <c r="K983" s="307">
        <f t="shared" ca="1" si="450"/>
        <v>-8.8098410733853605</v>
      </c>
      <c r="L983" s="304">
        <f t="shared" ca="1" si="435"/>
        <v>678.59243385579578</v>
      </c>
      <c r="M983" s="306">
        <f t="shared" ca="1" si="451"/>
        <v>-1.4972329847173678</v>
      </c>
      <c r="N983" s="304">
        <f t="shared" ca="1" si="452"/>
        <v>-85.785130972080452</v>
      </c>
      <c r="P983" s="310">
        <f t="shared" ca="1" si="453"/>
        <v>23</v>
      </c>
      <c r="Q983" s="304">
        <f t="shared" ca="1" si="454"/>
        <v>0</v>
      </c>
      <c r="R983" s="306">
        <f t="shared" ca="1" si="455"/>
        <v>0</v>
      </c>
      <c r="S983" s="307">
        <f t="shared" ca="1" si="456"/>
        <v>4.341000000000002</v>
      </c>
      <c r="T983" s="304">
        <f t="shared" ca="1" si="436"/>
        <v>42.585210000000025</v>
      </c>
      <c r="U983" s="311">
        <f t="shared" ca="1" si="437"/>
        <v>0</v>
      </c>
      <c r="V983" s="306">
        <f t="shared" ca="1" si="438"/>
        <v>1.2260796811224446</v>
      </c>
      <c r="W983" s="304">
        <f t="shared" ca="1" si="439"/>
        <v>38.815479146236889</v>
      </c>
      <c r="Y983" s="314" t="str">
        <f t="shared" ca="1" si="457"/>
        <v/>
      </c>
      <c r="Z983" s="315" t="str">
        <f t="shared" ca="1" si="458"/>
        <v/>
      </c>
      <c r="AA983" s="316" t="str">
        <f t="shared" ca="1" si="459"/>
        <v/>
      </c>
      <c r="AC983" s="310" t="e">
        <f t="shared" ca="1" si="460"/>
        <v>#N/A</v>
      </c>
      <c r="AD983" s="323" t="e">
        <f t="shared" ca="1" si="461"/>
        <v>#N/A</v>
      </c>
      <c r="AE983" s="324" t="e">
        <f t="shared" ca="1" si="440"/>
        <v>#N/A</v>
      </c>
      <c r="AG983" s="306">
        <f t="shared" ca="1" si="462"/>
        <v>0.84189325098964396</v>
      </c>
      <c r="AH983" s="304">
        <f t="shared" ca="1" si="463"/>
        <v>-8.9415744630521896</v>
      </c>
    </row>
    <row r="984" spans="1:34" x14ac:dyDescent="0.2">
      <c r="A984" s="347">
        <f t="shared" ca="1" si="441"/>
        <v>1E-4</v>
      </c>
      <c r="B984" s="304">
        <f t="shared" ca="1" si="442"/>
        <v>28.660399999999999</v>
      </c>
      <c r="D984" s="306">
        <f t="shared" ca="1" si="443"/>
        <v>-0.65718076628270117</v>
      </c>
      <c r="E984" s="307">
        <f t="shared" ca="1" si="444"/>
        <v>-0.8925846001499238</v>
      </c>
      <c r="F984" s="304">
        <f t="shared" ca="1" si="445"/>
        <v>1.1084195180511383</v>
      </c>
      <c r="G984" s="306">
        <f t="shared" ca="1" si="446"/>
        <v>7.2600174766913401</v>
      </c>
      <c r="H984" s="307">
        <f t="shared" ca="1" si="447"/>
        <v>-98.513589663258387</v>
      </c>
      <c r="I984" s="304">
        <f t="shared" ca="1" si="448"/>
        <v>98.780743073246384</v>
      </c>
      <c r="J984" s="306">
        <f t="shared" ca="1" si="449"/>
        <v>678.53524446899166</v>
      </c>
      <c r="K984" s="307">
        <f t="shared" ca="1" si="450"/>
        <v>-8.8196924278887625</v>
      </c>
      <c r="L984" s="304">
        <f t="shared" ca="1" si="435"/>
        <v>678.59256182271622</v>
      </c>
      <c r="M984" s="306">
        <f t="shared" ca="1" si="451"/>
        <v>-1.4972337146224663</v>
      </c>
      <c r="N984" s="304">
        <f t="shared" ca="1" si="452"/>
        <v>-85.785172792562051</v>
      </c>
      <c r="P984" s="310">
        <f t="shared" ca="1" si="453"/>
        <v>23</v>
      </c>
      <c r="Q984" s="304">
        <f t="shared" ca="1" si="454"/>
        <v>0</v>
      </c>
      <c r="R984" s="306">
        <f t="shared" ca="1" si="455"/>
        <v>0</v>
      </c>
      <c r="S984" s="307">
        <f t="shared" ca="1" si="456"/>
        <v>4.341000000000002</v>
      </c>
      <c r="T984" s="304">
        <f t="shared" ca="1" si="436"/>
        <v>42.585210000000025</v>
      </c>
      <c r="U984" s="311">
        <f t="shared" ca="1" si="437"/>
        <v>0</v>
      </c>
      <c r="V984" s="306">
        <f t="shared" ca="1" si="438"/>
        <v>1.2260808889778332</v>
      </c>
      <c r="W984" s="304">
        <f t="shared" ca="1" si="439"/>
        <v>38.815583546774562</v>
      </c>
      <c r="Y984" s="314" t="str">
        <f t="shared" ca="1" si="457"/>
        <v/>
      </c>
      <c r="Z984" s="315" t="str">
        <f t="shared" ca="1" si="458"/>
        <v/>
      </c>
      <c r="AA984" s="316" t="str">
        <f t="shared" ca="1" si="459"/>
        <v/>
      </c>
      <c r="AC984" s="310" t="e">
        <f t="shared" ca="1" si="460"/>
        <v>#N/A</v>
      </c>
      <c r="AD984" s="323" t="e">
        <f t="shared" ca="1" si="461"/>
        <v>#N/A</v>
      </c>
      <c r="AE984" s="324" t="e">
        <f t="shared" ca="1" si="440"/>
        <v>#N/A</v>
      </c>
      <c r="AG984" s="306">
        <f t="shared" ca="1" si="462"/>
        <v>0.84186972701546203</v>
      </c>
      <c r="AH984" s="304">
        <f t="shared" ca="1" si="463"/>
        <v>-8.9415985133003613</v>
      </c>
    </row>
    <row r="985" spans="1:34" x14ac:dyDescent="0.2">
      <c r="A985" s="347">
        <f t="shared" ca="1" si="441"/>
        <v>1E-4</v>
      </c>
      <c r="B985" s="304">
        <f t="shared" ca="1" si="442"/>
        <v>28.660499999999999</v>
      </c>
      <c r="D985" s="306">
        <f t="shared" ca="1" si="443"/>
        <v>-0.65717602499249872</v>
      </c>
      <c r="E985" s="307">
        <f t="shared" ca="1" si="444"/>
        <v>-0.89256013563384862</v>
      </c>
      <c r="F985" s="304">
        <f t="shared" ca="1" si="445"/>
        <v>1.1083970062877542</v>
      </c>
      <c r="G985" s="306">
        <f t="shared" ca="1" si="446"/>
        <v>7.2599517590888407</v>
      </c>
      <c r="H985" s="307">
        <f t="shared" ca="1" si="447"/>
        <v>-98.513678919271953</v>
      </c>
      <c r="I985" s="304">
        <f t="shared" ca="1" si="448"/>
        <v>98.780827257893037</v>
      </c>
      <c r="J985" s="306">
        <f t="shared" ca="1" si="449"/>
        <v>678.53524446899166</v>
      </c>
      <c r="K985" s="307">
        <f t="shared" ca="1" si="450"/>
        <v>-8.8295437913178887</v>
      </c>
      <c r="L985" s="304">
        <f t="shared" ca="1" si="435"/>
        <v>678.59268993274384</v>
      </c>
      <c r="M985" s="306">
        <f t="shared" ca="1" si="451"/>
        <v>-1.4972344445197137</v>
      </c>
      <c r="N985" s="304">
        <f t="shared" ca="1" si="452"/>
        <v>-85.785214612593805</v>
      </c>
      <c r="P985" s="310">
        <f t="shared" ca="1" si="453"/>
        <v>23</v>
      </c>
      <c r="Q985" s="304">
        <f t="shared" ca="1" si="454"/>
        <v>0</v>
      </c>
      <c r="R985" s="306">
        <f t="shared" ca="1" si="455"/>
        <v>0</v>
      </c>
      <c r="S985" s="307">
        <f t="shared" ca="1" si="456"/>
        <v>4.341000000000002</v>
      </c>
      <c r="T985" s="304">
        <f t="shared" ca="1" si="436"/>
        <v>42.585210000000025</v>
      </c>
      <c r="U985" s="311">
        <f t="shared" ca="1" si="437"/>
        <v>0</v>
      </c>
      <c r="V985" s="306">
        <f t="shared" ca="1" si="438"/>
        <v>1.2260820968355064</v>
      </c>
      <c r="W985" s="304">
        <f t="shared" ca="1" si="439"/>
        <v>38.815687945722608</v>
      </c>
      <c r="Y985" s="314" t="str">
        <f t="shared" ca="1" si="457"/>
        <v/>
      </c>
      <c r="Z985" s="315" t="str">
        <f t="shared" ca="1" si="458"/>
        <v/>
      </c>
      <c r="AA985" s="316" t="str">
        <f t="shared" ca="1" si="459"/>
        <v/>
      </c>
      <c r="AC985" s="310" t="e">
        <f t="shared" ca="1" si="460"/>
        <v>#N/A</v>
      </c>
      <c r="AD985" s="323" t="e">
        <f t="shared" ca="1" si="461"/>
        <v>#N/A</v>
      </c>
      <c r="AE985" s="324" t="e">
        <f t="shared" ca="1" si="440"/>
        <v>#N/A</v>
      </c>
      <c r="AG985" s="306">
        <f t="shared" ca="1" si="462"/>
        <v>0.84184620339659766</v>
      </c>
      <c r="AH985" s="304">
        <f t="shared" ca="1" si="463"/>
        <v>-8.9416225631823423</v>
      </c>
    </row>
    <row r="986" spans="1:34" x14ac:dyDescent="0.2">
      <c r="A986" s="347">
        <f t="shared" ca="1" si="441"/>
        <v>1E-4</v>
      </c>
      <c r="B986" s="304">
        <f t="shared" ca="1" si="442"/>
        <v>28.660599999999999</v>
      </c>
      <c r="D986" s="306">
        <f t="shared" ca="1" si="443"/>
        <v>-0.65717128371003297</v>
      </c>
      <c r="E986" s="307">
        <f t="shared" ca="1" si="444"/>
        <v>-0.89253567149030388</v>
      </c>
      <c r="F986" s="304">
        <f t="shared" ca="1" si="445"/>
        <v>1.1083744949319883</v>
      </c>
      <c r="G986" s="306">
        <f t="shared" ca="1" si="446"/>
        <v>7.2598860419604696</v>
      </c>
      <c r="H986" s="307">
        <f t="shared" ca="1" si="447"/>
        <v>-98.513768172839107</v>
      </c>
      <c r="I986" s="304">
        <f t="shared" ca="1" si="448"/>
        <v>98.780911440187367</v>
      </c>
      <c r="J986" s="306">
        <f t="shared" ca="1" si="449"/>
        <v>678.53524446899166</v>
      </c>
      <c r="K986" s="307">
        <f t="shared" ca="1" si="450"/>
        <v>-8.8393951636724939</v>
      </c>
      <c r="L986" s="304">
        <f t="shared" ca="1" si="435"/>
        <v>678.59281818587931</v>
      </c>
      <c r="M986" s="306">
        <f t="shared" ca="1" si="451"/>
        <v>-1.4972351744091099</v>
      </c>
      <c r="N986" s="304">
        <f t="shared" ca="1" si="452"/>
        <v>-85.785256432175714</v>
      </c>
      <c r="P986" s="310">
        <f t="shared" ca="1" si="453"/>
        <v>23</v>
      </c>
      <c r="Q986" s="304">
        <f t="shared" ca="1" si="454"/>
        <v>0</v>
      </c>
      <c r="R986" s="306">
        <f t="shared" ca="1" si="455"/>
        <v>0</v>
      </c>
      <c r="S986" s="307">
        <f t="shared" ca="1" si="456"/>
        <v>4.341000000000002</v>
      </c>
      <c r="T986" s="304">
        <f t="shared" ca="1" si="436"/>
        <v>42.585210000000025</v>
      </c>
      <c r="U986" s="311">
        <f t="shared" ca="1" si="437"/>
        <v>0</v>
      </c>
      <c r="V986" s="306">
        <f t="shared" ca="1" si="438"/>
        <v>1.2260833046954642</v>
      </c>
      <c r="W986" s="304">
        <f t="shared" ca="1" si="439"/>
        <v>38.815792343081029</v>
      </c>
      <c r="Y986" s="314" t="str">
        <f t="shared" ca="1" si="457"/>
        <v/>
      </c>
      <c r="Z986" s="315" t="str">
        <f t="shared" ca="1" si="458"/>
        <v/>
      </c>
      <c r="AA986" s="316" t="str">
        <f t="shared" ca="1" si="459"/>
        <v/>
      </c>
      <c r="AC986" s="310" t="e">
        <f t="shared" ca="1" si="460"/>
        <v>#N/A</v>
      </c>
      <c r="AD986" s="323" t="e">
        <f t="shared" ca="1" si="461"/>
        <v>#N/A</v>
      </c>
      <c r="AE986" s="324" t="e">
        <f t="shared" ca="1" si="440"/>
        <v>#N/A</v>
      </c>
      <c r="AG986" s="306">
        <f t="shared" ca="1" si="462"/>
        <v>0.84182268013304906</v>
      </c>
      <c r="AH986" s="304">
        <f t="shared" ca="1" si="463"/>
        <v>-8.9416466126981327</v>
      </c>
    </row>
    <row r="987" spans="1:34" x14ac:dyDescent="0.2">
      <c r="A987" s="347">
        <f t="shared" ca="1" si="441"/>
        <v>1E-4</v>
      </c>
      <c r="B987" s="304">
        <f t="shared" ca="1" si="442"/>
        <v>28.660699999999999</v>
      </c>
      <c r="D987" s="306">
        <f t="shared" ca="1" si="443"/>
        <v>-0.65716654243530348</v>
      </c>
      <c r="E987" s="307">
        <f t="shared" ca="1" si="444"/>
        <v>-0.89251120771928782</v>
      </c>
      <c r="F987" s="304">
        <f t="shared" ca="1" si="445"/>
        <v>1.1083519839838396</v>
      </c>
      <c r="G987" s="306">
        <f t="shared" ca="1" si="446"/>
        <v>7.2598203253062259</v>
      </c>
      <c r="H987" s="307">
        <f t="shared" ca="1" si="447"/>
        <v>-98.513857423959877</v>
      </c>
      <c r="I987" s="304">
        <f t="shared" ca="1" si="448"/>
        <v>98.780995620129403</v>
      </c>
      <c r="J987" s="306">
        <f t="shared" ca="1" si="449"/>
        <v>678.53524446899166</v>
      </c>
      <c r="K987" s="307">
        <f t="shared" ca="1" si="450"/>
        <v>-8.849246544952333</v>
      </c>
      <c r="L987" s="304">
        <f t="shared" ca="1" si="435"/>
        <v>678.59294658212275</v>
      </c>
      <c r="M987" s="306">
        <f t="shared" ca="1" si="451"/>
        <v>-1.4972359042906553</v>
      </c>
      <c r="N987" s="304">
        <f t="shared" ca="1" si="452"/>
        <v>-85.785298251307822</v>
      </c>
      <c r="P987" s="310">
        <f t="shared" ca="1" si="453"/>
        <v>23</v>
      </c>
      <c r="Q987" s="304">
        <f t="shared" ca="1" si="454"/>
        <v>0</v>
      </c>
      <c r="R987" s="306">
        <f t="shared" ca="1" si="455"/>
        <v>0</v>
      </c>
      <c r="S987" s="307">
        <f t="shared" ca="1" si="456"/>
        <v>4.341000000000002</v>
      </c>
      <c r="T987" s="304">
        <f t="shared" ca="1" si="436"/>
        <v>42.585210000000025</v>
      </c>
      <c r="U987" s="311">
        <f t="shared" ca="1" si="437"/>
        <v>0</v>
      </c>
      <c r="V987" s="306">
        <f t="shared" ca="1" si="438"/>
        <v>1.2260845125577071</v>
      </c>
      <c r="W987" s="304">
        <f t="shared" ca="1" si="439"/>
        <v>38.815896738849858</v>
      </c>
      <c r="Y987" s="314" t="str">
        <f t="shared" ca="1" si="457"/>
        <v/>
      </c>
      <c r="Z987" s="315" t="str">
        <f t="shared" ca="1" si="458"/>
        <v/>
      </c>
      <c r="AA987" s="316" t="str">
        <f t="shared" ca="1" si="459"/>
        <v/>
      </c>
      <c r="AC987" s="310" t="e">
        <f t="shared" ca="1" si="460"/>
        <v>#N/A</v>
      </c>
      <c r="AD987" s="323" t="e">
        <f t="shared" ca="1" si="461"/>
        <v>#N/A</v>
      </c>
      <c r="AE987" s="324" t="e">
        <f t="shared" ca="1" si="440"/>
        <v>#N/A</v>
      </c>
      <c r="AG987" s="306">
        <f t="shared" ca="1" si="462"/>
        <v>0.84179915722481979</v>
      </c>
      <c r="AH987" s="304">
        <f t="shared" ca="1" si="463"/>
        <v>-8.9416706618477342</v>
      </c>
    </row>
    <row r="988" spans="1:34" x14ac:dyDescent="0.2">
      <c r="A988" s="347">
        <f t="shared" ca="1" si="441"/>
        <v>1E-4</v>
      </c>
      <c r="B988" s="304">
        <f t="shared" ca="1" si="442"/>
        <v>28.660799999999998</v>
      </c>
      <c r="D988" s="306">
        <f t="shared" ca="1" si="443"/>
        <v>-0.65716180116830991</v>
      </c>
      <c r="E988" s="307">
        <f t="shared" ca="1" si="444"/>
        <v>-0.89248674432079333</v>
      </c>
      <c r="F988" s="304">
        <f t="shared" ca="1" si="445"/>
        <v>1.1083294734433016</v>
      </c>
      <c r="G988" s="306">
        <f t="shared" ca="1" si="446"/>
        <v>7.2597546091261087</v>
      </c>
      <c r="H988" s="307">
        <f t="shared" ca="1" si="447"/>
        <v>-98.513946672634304</v>
      </c>
      <c r="I988" s="304">
        <f t="shared" ca="1" si="448"/>
        <v>98.781079797719173</v>
      </c>
      <c r="J988" s="306">
        <f t="shared" ca="1" si="449"/>
        <v>678.53524446899166</v>
      </c>
      <c r="K988" s="307">
        <f t="shared" ca="1" si="450"/>
        <v>-8.8590979351571626</v>
      </c>
      <c r="L988" s="304">
        <f t="shared" ca="1" si="435"/>
        <v>678.59307512147439</v>
      </c>
      <c r="M988" s="306">
        <f t="shared" ca="1" si="451"/>
        <v>-1.4972366341643497</v>
      </c>
      <c r="N988" s="304">
        <f t="shared" ca="1" si="452"/>
        <v>-85.785340069990085</v>
      </c>
      <c r="P988" s="310">
        <f t="shared" ca="1" si="453"/>
        <v>23</v>
      </c>
      <c r="Q988" s="304">
        <f t="shared" ca="1" si="454"/>
        <v>0</v>
      </c>
      <c r="R988" s="306">
        <f t="shared" ca="1" si="455"/>
        <v>0</v>
      </c>
      <c r="S988" s="307">
        <f t="shared" ca="1" si="456"/>
        <v>4.341000000000002</v>
      </c>
      <c r="T988" s="304">
        <f t="shared" ca="1" si="436"/>
        <v>42.585210000000025</v>
      </c>
      <c r="U988" s="311">
        <f t="shared" ca="1" si="437"/>
        <v>0</v>
      </c>
      <c r="V988" s="306">
        <f t="shared" ca="1" si="438"/>
        <v>1.2260857204222344</v>
      </c>
      <c r="W988" s="304">
        <f t="shared" ca="1" si="439"/>
        <v>38.81600113302909</v>
      </c>
      <c r="Y988" s="314" t="str">
        <f t="shared" ca="1" si="457"/>
        <v/>
      </c>
      <c r="Z988" s="315" t="str">
        <f t="shared" ca="1" si="458"/>
        <v/>
      </c>
      <c r="AA988" s="316" t="str">
        <f t="shared" ca="1" si="459"/>
        <v/>
      </c>
      <c r="AC988" s="310" t="e">
        <f t="shared" ca="1" si="460"/>
        <v>#N/A</v>
      </c>
      <c r="AD988" s="323" t="e">
        <f t="shared" ca="1" si="461"/>
        <v>#N/A</v>
      </c>
      <c r="AE988" s="324" t="e">
        <f t="shared" ca="1" si="440"/>
        <v>#N/A</v>
      </c>
      <c r="AG988" s="306">
        <f t="shared" ca="1" si="462"/>
        <v>0.84177563467189742</v>
      </c>
      <c r="AH988" s="304">
        <f t="shared" ca="1" si="463"/>
        <v>-8.941694710631154</v>
      </c>
    </row>
    <row r="989" spans="1:34" x14ac:dyDescent="0.2">
      <c r="A989" s="347">
        <f t="shared" ca="1" si="441"/>
        <v>1E-4</v>
      </c>
      <c r="B989" s="304">
        <f t="shared" ca="1" si="442"/>
        <v>28.660899999999998</v>
      </c>
      <c r="D989" s="306">
        <f t="shared" ca="1" si="443"/>
        <v>-0.65715705990905593</v>
      </c>
      <c r="E989" s="307">
        <f t="shared" ca="1" si="444"/>
        <v>-0.89246228129482041</v>
      </c>
      <c r="F989" s="304">
        <f t="shared" ca="1" si="445"/>
        <v>1.108306963310377</v>
      </c>
      <c r="G989" s="306">
        <f t="shared" ca="1" si="446"/>
        <v>7.259688893420118</v>
      </c>
      <c r="H989" s="307">
        <f t="shared" ca="1" si="447"/>
        <v>-98.514035918862433</v>
      </c>
      <c r="I989" s="304">
        <f t="shared" ca="1" si="448"/>
        <v>98.781163972956733</v>
      </c>
      <c r="J989" s="306">
        <f t="shared" ca="1" si="449"/>
        <v>678.53524446899166</v>
      </c>
      <c r="K989" s="307">
        <f t="shared" ca="1" si="450"/>
        <v>-8.8689493342867376</v>
      </c>
      <c r="L989" s="304">
        <f t="shared" ca="1" si="435"/>
        <v>678.59320380393467</v>
      </c>
      <c r="M989" s="306">
        <f t="shared" ca="1" si="451"/>
        <v>-1.4972373640301935</v>
      </c>
      <c r="N989" s="304">
        <f t="shared" ca="1" si="452"/>
        <v>-85.785381888222545</v>
      </c>
      <c r="P989" s="310">
        <f t="shared" ca="1" si="453"/>
        <v>23</v>
      </c>
      <c r="Q989" s="304">
        <f t="shared" ca="1" si="454"/>
        <v>0</v>
      </c>
      <c r="R989" s="306">
        <f t="shared" ca="1" si="455"/>
        <v>0</v>
      </c>
      <c r="S989" s="307">
        <f t="shared" ca="1" si="456"/>
        <v>4.341000000000002</v>
      </c>
      <c r="T989" s="304">
        <f t="shared" ca="1" si="436"/>
        <v>42.585210000000025</v>
      </c>
      <c r="U989" s="311">
        <f t="shared" ca="1" si="437"/>
        <v>0</v>
      </c>
      <c r="V989" s="306">
        <f t="shared" ca="1" si="438"/>
        <v>1.2260869282890465</v>
      </c>
      <c r="W989" s="304">
        <f t="shared" ca="1" si="439"/>
        <v>38.816105525618767</v>
      </c>
      <c r="Y989" s="314" t="str">
        <f t="shared" ca="1" si="457"/>
        <v/>
      </c>
      <c r="Z989" s="315" t="str">
        <f t="shared" ca="1" si="458"/>
        <v/>
      </c>
      <c r="AA989" s="316" t="str">
        <f t="shared" ca="1" si="459"/>
        <v/>
      </c>
      <c r="AC989" s="310" t="e">
        <f t="shared" ca="1" si="460"/>
        <v>#N/A</v>
      </c>
      <c r="AD989" s="323" t="e">
        <f t="shared" ca="1" si="461"/>
        <v>#N/A</v>
      </c>
      <c r="AE989" s="324" t="e">
        <f t="shared" ca="1" si="440"/>
        <v>#N/A</v>
      </c>
      <c r="AG989" s="306">
        <f t="shared" ca="1" si="462"/>
        <v>0.84175211247428372</v>
      </c>
      <c r="AH989" s="304">
        <f t="shared" ca="1" si="463"/>
        <v>-8.941718759048392</v>
      </c>
    </row>
    <row r="990" spans="1:34" x14ac:dyDescent="0.2">
      <c r="A990" s="347">
        <f t="shared" ca="1" si="441"/>
        <v>1E-4</v>
      </c>
      <c r="B990" s="304">
        <f t="shared" ca="1" si="442"/>
        <v>28.660999999999998</v>
      </c>
      <c r="D990" s="306">
        <f t="shared" ca="1" si="443"/>
        <v>-0.65715231865753965</v>
      </c>
      <c r="E990" s="307">
        <f t="shared" ca="1" si="444"/>
        <v>-0.89243781864135663</v>
      </c>
      <c r="F990" s="304">
        <f t="shared" ca="1" si="445"/>
        <v>1.1082844535850549</v>
      </c>
      <c r="G990" s="306">
        <f t="shared" ca="1" si="446"/>
        <v>7.2596231781882521</v>
      </c>
      <c r="H990" s="307">
        <f t="shared" ca="1" si="447"/>
        <v>-98.514125162644291</v>
      </c>
      <c r="I990" s="304">
        <f t="shared" ca="1" si="448"/>
        <v>98.781248145842099</v>
      </c>
      <c r="J990" s="306">
        <f t="shared" ca="1" si="449"/>
        <v>678.53524446899166</v>
      </c>
      <c r="K990" s="307">
        <f t="shared" ca="1" si="450"/>
        <v>-8.8788007423408128</v>
      </c>
      <c r="L990" s="304">
        <f t="shared" ca="1" si="435"/>
        <v>678.59333262950383</v>
      </c>
      <c r="M990" s="306">
        <f t="shared" ca="1" si="451"/>
        <v>-1.4972380938881864</v>
      </c>
      <c r="N990" s="304">
        <f t="shared" ca="1" si="452"/>
        <v>-85.785423706005176</v>
      </c>
      <c r="P990" s="310">
        <f t="shared" ca="1" si="453"/>
        <v>23</v>
      </c>
      <c r="Q990" s="304">
        <f t="shared" ca="1" si="454"/>
        <v>0</v>
      </c>
      <c r="R990" s="306">
        <f t="shared" ca="1" si="455"/>
        <v>0</v>
      </c>
      <c r="S990" s="307">
        <f t="shared" ca="1" si="456"/>
        <v>4.341000000000002</v>
      </c>
      <c r="T990" s="304">
        <f t="shared" ca="1" si="436"/>
        <v>42.585210000000025</v>
      </c>
      <c r="U990" s="311">
        <f t="shared" ca="1" si="437"/>
        <v>0</v>
      </c>
      <c r="V990" s="306">
        <f t="shared" ca="1" si="438"/>
        <v>1.226088136158143</v>
      </c>
      <c r="W990" s="304">
        <f t="shared" ca="1" si="439"/>
        <v>38.816209916618888</v>
      </c>
      <c r="Y990" s="314" t="str">
        <f t="shared" ca="1" si="457"/>
        <v/>
      </c>
      <c r="Z990" s="315" t="str">
        <f t="shared" ca="1" si="458"/>
        <v/>
      </c>
      <c r="AA990" s="316" t="str">
        <f t="shared" ca="1" si="459"/>
        <v/>
      </c>
      <c r="AC990" s="310" t="e">
        <f t="shared" ca="1" si="460"/>
        <v>#N/A</v>
      </c>
      <c r="AD990" s="323" t="e">
        <f t="shared" ca="1" si="461"/>
        <v>#N/A</v>
      </c>
      <c r="AE990" s="324" t="e">
        <f t="shared" ca="1" si="440"/>
        <v>#N/A</v>
      </c>
      <c r="AG990" s="306">
        <f t="shared" ca="1" si="462"/>
        <v>0.84172859063196981</v>
      </c>
      <c r="AH990" s="304">
        <f t="shared" ca="1" si="463"/>
        <v>-8.9417428070994589</v>
      </c>
    </row>
    <row r="991" spans="1:34" x14ac:dyDescent="0.2">
      <c r="A991" s="347">
        <f t="shared" ca="1" si="441"/>
        <v>1E-4</v>
      </c>
      <c r="B991" s="304">
        <f t="shared" ca="1" si="442"/>
        <v>28.661099999999998</v>
      </c>
      <c r="D991" s="306">
        <f t="shared" ca="1" si="443"/>
        <v>-0.65714757741376395</v>
      </c>
      <c r="E991" s="307">
        <f t="shared" ca="1" si="444"/>
        <v>-0.89241335636040908</v>
      </c>
      <c r="F991" s="304">
        <f t="shared" ca="1" si="445"/>
        <v>1.108261944267342</v>
      </c>
      <c r="G991" s="306">
        <f t="shared" ca="1" si="446"/>
        <v>7.2595574634305109</v>
      </c>
      <c r="H991" s="307">
        <f t="shared" ca="1" si="447"/>
        <v>-98.514214403979921</v>
      </c>
      <c r="I991" s="304">
        <f t="shared" ca="1" si="448"/>
        <v>98.781332316375313</v>
      </c>
      <c r="J991" s="306">
        <f t="shared" ca="1" si="449"/>
        <v>678.53524446899166</v>
      </c>
      <c r="K991" s="307">
        <f t="shared" ca="1" si="450"/>
        <v>-8.8886521593191432</v>
      </c>
      <c r="L991" s="304">
        <f t="shared" ca="1" si="435"/>
        <v>678.59346159818222</v>
      </c>
      <c r="M991" s="306">
        <f t="shared" ca="1" si="451"/>
        <v>-1.4972388237383289</v>
      </c>
      <c r="N991" s="304">
        <f t="shared" ca="1" si="452"/>
        <v>-85.785465523338019</v>
      </c>
      <c r="P991" s="310">
        <f t="shared" ca="1" si="453"/>
        <v>23</v>
      </c>
      <c r="Q991" s="304">
        <f t="shared" ca="1" si="454"/>
        <v>0</v>
      </c>
      <c r="R991" s="306">
        <f t="shared" ca="1" si="455"/>
        <v>0</v>
      </c>
      <c r="S991" s="307">
        <f t="shared" ca="1" si="456"/>
        <v>4.341000000000002</v>
      </c>
      <c r="T991" s="304">
        <f t="shared" ca="1" si="436"/>
        <v>42.585210000000025</v>
      </c>
      <c r="U991" s="311">
        <f t="shared" ca="1" si="437"/>
        <v>0</v>
      </c>
      <c r="V991" s="306">
        <f t="shared" ca="1" si="438"/>
        <v>1.2260893440295249</v>
      </c>
      <c r="W991" s="304">
        <f t="shared" ca="1" si="439"/>
        <v>38.816314306029497</v>
      </c>
      <c r="Y991" s="314" t="str">
        <f t="shared" ca="1" si="457"/>
        <v/>
      </c>
      <c r="Z991" s="315" t="str">
        <f t="shared" ca="1" si="458"/>
        <v/>
      </c>
      <c r="AA991" s="316" t="str">
        <f t="shared" ca="1" si="459"/>
        <v/>
      </c>
      <c r="AC991" s="310" t="e">
        <f t="shared" ca="1" si="460"/>
        <v>#N/A</v>
      </c>
      <c r="AD991" s="323" t="e">
        <f t="shared" ca="1" si="461"/>
        <v>#N/A</v>
      </c>
      <c r="AE991" s="324" t="e">
        <f t="shared" ca="1" si="440"/>
        <v>#N/A</v>
      </c>
      <c r="AG991" s="306">
        <f t="shared" ca="1" si="462"/>
        <v>0.84170506914496102</v>
      </c>
      <c r="AH991" s="304">
        <f t="shared" ca="1" si="463"/>
        <v>-8.9417668547843512</v>
      </c>
    </row>
    <row r="992" spans="1:34" x14ac:dyDescent="0.2">
      <c r="A992" s="347">
        <f t="shared" ca="1" si="441"/>
        <v>1E-4</v>
      </c>
      <c r="B992" s="304">
        <f t="shared" ca="1" si="442"/>
        <v>28.661199999999997</v>
      </c>
      <c r="D992" s="306">
        <f t="shared" ca="1" si="443"/>
        <v>-0.6571428361777274</v>
      </c>
      <c r="E992" s="307">
        <f t="shared" ca="1" si="444"/>
        <v>-0.89238889445196179</v>
      </c>
      <c r="F992" s="304">
        <f t="shared" ca="1" si="445"/>
        <v>1.1082394353572254</v>
      </c>
      <c r="G992" s="306">
        <f t="shared" ca="1" si="446"/>
        <v>7.2594917491468935</v>
      </c>
      <c r="H992" s="307">
        <f t="shared" ca="1" si="447"/>
        <v>-98.514303642869365</v>
      </c>
      <c r="I992" s="304">
        <f t="shared" ca="1" si="448"/>
        <v>98.781416484556431</v>
      </c>
      <c r="J992" s="306">
        <f t="shared" ca="1" si="449"/>
        <v>678.53524446899166</v>
      </c>
      <c r="K992" s="307">
        <f t="shared" ca="1" si="450"/>
        <v>-8.8985035852214853</v>
      </c>
      <c r="L992" s="304">
        <f t="shared" ca="1" si="435"/>
        <v>678.59359070997016</v>
      </c>
      <c r="M992" s="306">
        <f t="shared" ca="1" si="451"/>
        <v>-1.4972395535806211</v>
      </c>
      <c r="N992" s="304">
        <f t="shared" ca="1" si="452"/>
        <v>-85.785507340221073</v>
      </c>
      <c r="P992" s="310">
        <f t="shared" ca="1" si="453"/>
        <v>23</v>
      </c>
      <c r="Q992" s="304">
        <f t="shared" ca="1" si="454"/>
        <v>0</v>
      </c>
      <c r="R992" s="306">
        <f t="shared" ca="1" si="455"/>
        <v>0</v>
      </c>
      <c r="S992" s="307">
        <f t="shared" ca="1" si="456"/>
        <v>4.341000000000002</v>
      </c>
      <c r="T992" s="304">
        <f t="shared" ca="1" si="436"/>
        <v>42.585210000000025</v>
      </c>
      <c r="U992" s="311">
        <f t="shared" ca="1" si="437"/>
        <v>0</v>
      </c>
      <c r="V992" s="306">
        <f t="shared" ca="1" si="438"/>
        <v>1.2260905519031906</v>
      </c>
      <c r="W992" s="304">
        <f t="shared" ca="1" si="439"/>
        <v>38.816418693850586</v>
      </c>
      <c r="Y992" s="314" t="str">
        <f t="shared" ca="1" si="457"/>
        <v/>
      </c>
      <c r="Z992" s="315" t="str">
        <f t="shared" ca="1" si="458"/>
        <v/>
      </c>
      <c r="AA992" s="316" t="str">
        <f t="shared" ca="1" si="459"/>
        <v/>
      </c>
      <c r="AC992" s="310" t="e">
        <f t="shared" ca="1" si="460"/>
        <v>#N/A</v>
      </c>
      <c r="AD992" s="323" t="e">
        <f t="shared" ca="1" si="461"/>
        <v>#N/A</v>
      </c>
      <c r="AE992" s="324" t="e">
        <f t="shared" ca="1" si="440"/>
        <v>#N/A</v>
      </c>
      <c r="AG992" s="306">
        <f t="shared" ca="1" si="462"/>
        <v>0.84168154801324135</v>
      </c>
      <c r="AH992" s="304">
        <f t="shared" ca="1" si="463"/>
        <v>-8.9417909021030813</v>
      </c>
    </row>
    <row r="993" spans="1:34" x14ac:dyDescent="0.2">
      <c r="A993" s="347">
        <f t="shared" ca="1" si="441"/>
        <v>1E-4</v>
      </c>
      <c r="B993" s="304">
        <f t="shared" ca="1" si="442"/>
        <v>28.661299999999997</v>
      </c>
      <c r="D993" s="306">
        <f t="shared" ca="1" si="443"/>
        <v>-0.65713809494943132</v>
      </c>
      <c r="E993" s="307">
        <f t="shared" ca="1" si="444"/>
        <v>-0.89236443291601653</v>
      </c>
      <c r="F993" s="304">
        <f t="shared" ca="1" si="445"/>
        <v>1.1082169268547073</v>
      </c>
      <c r="G993" s="306">
        <f t="shared" ca="1" si="446"/>
        <v>7.2594260353373983</v>
      </c>
      <c r="H993" s="307">
        <f t="shared" ca="1" si="447"/>
        <v>-98.514392879312652</v>
      </c>
      <c r="I993" s="304">
        <f t="shared" ca="1" si="448"/>
        <v>98.781500650385453</v>
      </c>
      <c r="J993" s="306">
        <f t="shared" ca="1" si="449"/>
        <v>678.53524446899166</v>
      </c>
      <c r="K993" s="307">
        <f t="shared" ca="1" si="450"/>
        <v>-8.9083550200475941</v>
      </c>
      <c r="L993" s="304">
        <f t="shared" ca="1" si="435"/>
        <v>678.59371996486789</v>
      </c>
      <c r="M993" s="306">
        <f t="shared" ca="1" si="451"/>
        <v>-1.4972402834150629</v>
      </c>
      <c r="N993" s="304">
        <f t="shared" ca="1" si="452"/>
        <v>-85.785549156654326</v>
      </c>
      <c r="P993" s="310">
        <f t="shared" ca="1" si="453"/>
        <v>23</v>
      </c>
      <c r="Q993" s="304">
        <f t="shared" ca="1" si="454"/>
        <v>0</v>
      </c>
      <c r="R993" s="306">
        <f t="shared" ca="1" si="455"/>
        <v>0</v>
      </c>
      <c r="S993" s="307">
        <f t="shared" ca="1" si="456"/>
        <v>4.341000000000002</v>
      </c>
      <c r="T993" s="304">
        <f t="shared" ca="1" si="436"/>
        <v>42.585210000000025</v>
      </c>
      <c r="U993" s="311">
        <f t="shared" ca="1" si="437"/>
        <v>0</v>
      </c>
      <c r="V993" s="306">
        <f t="shared" ca="1" si="438"/>
        <v>1.2260917597791414</v>
      </c>
      <c r="W993" s="304">
        <f t="shared" ca="1" si="439"/>
        <v>38.816523080082185</v>
      </c>
      <c r="Y993" s="314" t="str">
        <f t="shared" ca="1" si="457"/>
        <v/>
      </c>
      <c r="Z993" s="315" t="str">
        <f t="shared" ca="1" si="458"/>
        <v/>
      </c>
      <c r="AA993" s="316" t="str">
        <f t="shared" ca="1" si="459"/>
        <v/>
      </c>
      <c r="AC993" s="310" t="e">
        <f t="shared" ca="1" si="460"/>
        <v>#N/A</v>
      </c>
      <c r="AD993" s="323" t="e">
        <f t="shared" ca="1" si="461"/>
        <v>#N/A</v>
      </c>
      <c r="AE993" s="324" t="e">
        <f t="shared" ca="1" si="440"/>
        <v>#N/A</v>
      </c>
      <c r="AG993" s="306">
        <f t="shared" ca="1" si="462"/>
        <v>0.84165802723681615</v>
      </c>
      <c r="AH993" s="304">
        <f t="shared" ca="1" si="463"/>
        <v>-8.9418149490556473</v>
      </c>
    </row>
    <row r="994" spans="1:34" x14ac:dyDescent="0.2">
      <c r="A994" s="347">
        <f t="shared" ca="1" si="441"/>
        <v>1E-4</v>
      </c>
      <c r="B994" s="304">
        <f t="shared" ca="1" si="442"/>
        <v>28.661399999999997</v>
      </c>
      <c r="D994" s="306">
        <f t="shared" ca="1" si="443"/>
        <v>-0.65713335372887727</v>
      </c>
      <c r="E994" s="307">
        <f t="shared" ca="1" si="444"/>
        <v>-0.89233997175256974</v>
      </c>
      <c r="F994" s="304">
        <f t="shared" ca="1" si="445"/>
        <v>1.1081944187597854</v>
      </c>
      <c r="G994" s="306">
        <f t="shared" ca="1" si="446"/>
        <v>7.2593603220020251</v>
      </c>
      <c r="H994" s="307">
        <f t="shared" ca="1" si="447"/>
        <v>-98.514482113309825</v>
      </c>
      <c r="I994" s="304">
        <f t="shared" ca="1" si="448"/>
        <v>98.781584813862452</v>
      </c>
      <c r="J994" s="306">
        <f t="shared" ca="1" si="449"/>
        <v>678.53524446899166</v>
      </c>
      <c r="K994" s="307">
        <f t="shared" ca="1" si="450"/>
        <v>-8.918206463797226</v>
      </c>
      <c r="L994" s="304">
        <f t="shared" ca="1" si="435"/>
        <v>678.59384936287563</v>
      </c>
      <c r="M994" s="306">
        <f t="shared" ca="1" si="451"/>
        <v>-1.4972410132416543</v>
      </c>
      <c r="N994" s="304">
        <f t="shared" ca="1" si="452"/>
        <v>-85.785590972637792</v>
      </c>
      <c r="P994" s="310">
        <f t="shared" ca="1" si="453"/>
        <v>23</v>
      </c>
      <c r="Q994" s="304">
        <f t="shared" ca="1" si="454"/>
        <v>0</v>
      </c>
      <c r="R994" s="306">
        <f t="shared" ca="1" si="455"/>
        <v>0</v>
      </c>
      <c r="S994" s="307">
        <f t="shared" ca="1" si="456"/>
        <v>4.341000000000002</v>
      </c>
      <c r="T994" s="304">
        <f t="shared" ca="1" si="436"/>
        <v>42.585210000000025</v>
      </c>
      <c r="U994" s="311">
        <f t="shared" ca="1" si="437"/>
        <v>0</v>
      </c>
      <c r="V994" s="306">
        <f t="shared" ca="1" si="438"/>
        <v>1.2260929676573766</v>
      </c>
      <c r="W994" s="304">
        <f t="shared" ca="1" si="439"/>
        <v>38.81662746472432</v>
      </c>
      <c r="Y994" s="314" t="str">
        <f t="shared" ca="1" si="457"/>
        <v/>
      </c>
      <c r="Z994" s="315" t="str">
        <f t="shared" ca="1" si="458"/>
        <v/>
      </c>
      <c r="AA994" s="316" t="str">
        <f t="shared" ca="1" si="459"/>
        <v/>
      </c>
      <c r="AC994" s="310" t="e">
        <f t="shared" ca="1" si="460"/>
        <v>#N/A</v>
      </c>
      <c r="AD994" s="323" t="e">
        <f t="shared" ca="1" si="461"/>
        <v>#N/A</v>
      </c>
      <c r="AE994" s="324" t="e">
        <f t="shared" ca="1" si="440"/>
        <v>#N/A</v>
      </c>
      <c r="AG994" s="306">
        <f t="shared" ca="1" si="462"/>
        <v>0.84163450681567475</v>
      </c>
      <c r="AH994" s="304">
        <f t="shared" ca="1" si="463"/>
        <v>-8.9418389956420565</v>
      </c>
    </row>
    <row r="995" spans="1:34" x14ac:dyDescent="0.2">
      <c r="A995" s="347">
        <f t="shared" ca="1" si="441"/>
        <v>1E-4</v>
      </c>
      <c r="B995" s="304">
        <f t="shared" ca="1" si="442"/>
        <v>28.661499999999997</v>
      </c>
      <c r="D995" s="306">
        <f t="shared" ca="1" si="443"/>
        <v>-0.65712861251606736</v>
      </c>
      <c r="E995" s="307">
        <f t="shared" ca="1" si="444"/>
        <v>-0.89231551096161255</v>
      </c>
      <c r="F995" s="304">
        <f t="shared" ca="1" si="445"/>
        <v>1.1081719110724542</v>
      </c>
      <c r="G995" s="306">
        <f t="shared" ca="1" si="446"/>
        <v>7.2592946091407731</v>
      </c>
      <c r="H995" s="307">
        <f t="shared" ca="1" si="447"/>
        <v>-98.514571344860926</v>
      </c>
      <c r="I995" s="304">
        <f t="shared" ca="1" si="448"/>
        <v>98.781668974987426</v>
      </c>
      <c r="J995" s="306">
        <f t="shared" ca="1" si="449"/>
        <v>678.53524446899166</v>
      </c>
      <c r="K995" s="307">
        <f t="shared" ca="1" si="450"/>
        <v>-8.9280579164701344</v>
      </c>
      <c r="L995" s="304">
        <f t="shared" ca="1" si="435"/>
        <v>678.59397890399396</v>
      </c>
      <c r="M995" s="306">
        <f t="shared" ca="1" si="451"/>
        <v>-1.4972417430603957</v>
      </c>
      <c r="N995" s="304">
        <f t="shared" ca="1" si="452"/>
        <v>-85.785632788171483</v>
      </c>
      <c r="P995" s="310">
        <f t="shared" ca="1" si="453"/>
        <v>23</v>
      </c>
      <c r="Q995" s="304">
        <f t="shared" ca="1" si="454"/>
        <v>0</v>
      </c>
      <c r="R995" s="306">
        <f t="shared" ca="1" si="455"/>
        <v>0</v>
      </c>
      <c r="S995" s="307">
        <f t="shared" ca="1" si="456"/>
        <v>4.341000000000002</v>
      </c>
      <c r="T995" s="304">
        <f t="shared" ca="1" si="436"/>
        <v>42.585210000000025</v>
      </c>
      <c r="U995" s="311">
        <f t="shared" ca="1" si="437"/>
        <v>0</v>
      </c>
      <c r="V995" s="306">
        <f t="shared" ca="1" si="438"/>
        <v>1.2260941755378962</v>
      </c>
      <c r="W995" s="304">
        <f t="shared" ca="1" si="439"/>
        <v>38.816731847776971</v>
      </c>
      <c r="Y995" s="314" t="str">
        <f t="shared" ca="1" si="457"/>
        <v/>
      </c>
      <c r="Z995" s="315" t="str">
        <f t="shared" ca="1" si="458"/>
        <v/>
      </c>
      <c r="AA995" s="316" t="str">
        <f t="shared" ca="1" si="459"/>
        <v/>
      </c>
      <c r="AC995" s="310" t="e">
        <f t="shared" ca="1" si="460"/>
        <v>#N/A</v>
      </c>
      <c r="AD995" s="323" t="e">
        <f t="shared" ca="1" si="461"/>
        <v>#N/A</v>
      </c>
      <c r="AE995" s="324" t="e">
        <f t="shared" ca="1" si="440"/>
        <v>#N/A</v>
      </c>
      <c r="AG995" s="306">
        <f t="shared" ca="1" si="462"/>
        <v>0.84161098674981538</v>
      </c>
      <c r="AH995" s="304">
        <f t="shared" ca="1" si="463"/>
        <v>-8.9418630418623142</v>
      </c>
    </row>
    <row r="996" spans="1:34" x14ac:dyDescent="0.2">
      <c r="A996" s="347">
        <f t="shared" ca="1" si="441"/>
        <v>1E-4</v>
      </c>
      <c r="B996" s="304">
        <f t="shared" ca="1" si="442"/>
        <v>28.661599999999996</v>
      </c>
      <c r="D996" s="306">
        <f t="shared" ca="1" si="443"/>
        <v>-0.65712387131099825</v>
      </c>
      <c r="E996" s="307">
        <f t="shared" ca="1" si="444"/>
        <v>-0.89229105054315028</v>
      </c>
      <c r="F996" s="304">
        <f t="shared" ca="1" si="445"/>
        <v>1.108149403792716</v>
      </c>
      <c r="G996" s="306">
        <f t="shared" ca="1" si="446"/>
        <v>7.2592288967536422</v>
      </c>
      <c r="H996" s="307">
        <f t="shared" ca="1" si="447"/>
        <v>-98.514660573965983</v>
      </c>
      <c r="I996" s="304">
        <f t="shared" ca="1" si="448"/>
        <v>98.781753133760446</v>
      </c>
      <c r="J996" s="306">
        <f t="shared" ca="1" si="449"/>
        <v>678.53524446899166</v>
      </c>
      <c r="K996" s="307">
        <f t="shared" ca="1" si="450"/>
        <v>-8.9379093780660757</v>
      </c>
      <c r="L996" s="304">
        <f t="shared" ca="1" si="435"/>
        <v>678.59410858822287</v>
      </c>
      <c r="M996" s="306">
        <f t="shared" ca="1" si="451"/>
        <v>-1.4972424728712872</v>
      </c>
      <c r="N996" s="304">
        <f t="shared" ca="1" si="452"/>
        <v>-85.785674603255416</v>
      </c>
      <c r="P996" s="310">
        <f t="shared" ca="1" si="453"/>
        <v>23</v>
      </c>
      <c r="Q996" s="304">
        <f t="shared" ca="1" si="454"/>
        <v>0</v>
      </c>
      <c r="R996" s="306">
        <f t="shared" ca="1" si="455"/>
        <v>0</v>
      </c>
      <c r="S996" s="307">
        <f t="shared" ca="1" si="456"/>
        <v>4.341000000000002</v>
      </c>
      <c r="T996" s="304">
        <f t="shared" ca="1" si="436"/>
        <v>42.585210000000025</v>
      </c>
      <c r="U996" s="311">
        <f t="shared" ca="1" si="437"/>
        <v>0</v>
      </c>
      <c r="V996" s="306">
        <f t="shared" ca="1" si="438"/>
        <v>1.2260953834207007</v>
      </c>
      <c r="W996" s="304">
        <f t="shared" ca="1" si="439"/>
        <v>38.816836229240216</v>
      </c>
      <c r="Y996" s="314" t="str">
        <f t="shared" ca="1" si="457"/>
        <v/>
      </c>
      <c r="Z996" s="315" t="str">
        <f t="shared" ca="1" si="458"/>
        <v/>
      </c>
      <c r="AA996" s="316" t="str">
        <f t="shared" ca="1" si="459"/>
        <v/>
      </c>
      <c r="AC996" s="310" t="e">
        <f t="shared" ca="1" si="460"/>
        <v>#N/A</v>
      </c>
      <c r="AD996" s="323" t="e">
        <f t="shared" ca="1" si="461"/>
        <v>#N/A</v>
      </c>
      <c r="AE996" s="324" t="e">
        <f t="shared" ca="1" si="440"/>
        <v>#N/A</v>
      </c>
      <c r="AG996" s="306">
        <f t="shared" ca="1" si="462"/>
        <v>0.84158746703924159</v>
      </c>
      <c r="AH996" s="304">
        <f t="shared" ca="1" si="463"/>
        <v>-8.9418870877164149</v>
      </c>
    </row>
    <row r="997" spans="1:34" x14ac:dyDescent="0.2">
      <c r="A997" s="347">
        <f t="shared" ca="1" si="441"/>
        <v>1E-4</v>
      </c>
      <c r="B997" s="304">
        <f t="shared" ca="1" si="442"/>
        <v>28.661699999999996</v>
      </c>
      <c r="D997" s="306">
        <f t="shared" ca="1" si="443"/>
        <v>-0.65711913011367307</v>
      </c>
      <c r="E997" s="307">
        <f t="shared" ca="1" si="444"/>
        <v>-0.89226659049716694</v>
      </c>
      <c r="F997" s="304">
        <f t="shared" ca="1" si="445"/>
        <v>1.10812689692056</v>
      </c>
      <c r="G997" s="306">
        <f t="shared" ca="1" si="446"/>
        <v>7.2591631848406308</v>
      </c>
      <c r="H997" s="307">
        <f t="shared" ca="1" si="447"/>
        <v>-98.514749800625026</v>
      </c>
      <c r="I997" s="304">
        <f t="shared" ca="1" si="448"/>
        <v>98.7818372901815</v>
      </c>
      <c r="J997" s="306">
        <f t="shared" ca="1" si="449"/>
        <v>678.53524446899166</v>
      </c>
      <c r="K997" s="307">
        <f t="shared" ca="1" si="450"/>
        <v>-8.9477608485848048</v>
      </c>
      <c r="L997" s="304">
        <f t="shared" ca="1" si="435"/>
        <v>678.59423841556281</v>
      </c>
      <c r="M997" s="306">
        <f t="shared" ca="1" si="451"/>
        <v>-1.4972432026743288</v>
      </c>
      <c r="N997" s="304">
        <f t="shared" ca="1" si="452"/>
        <v>-85.785716417889574</v>
      </c>
      <c r="P997" s="310">
        <f t="shared" ca="1" si="453"/>
        <v>23</v>
      </c>
      <c r="Q997" s="304">
        <f t="shared" ca="1" si="454"/>
        <v>0</v>
      </c>
      <c r="R997" s="306">
        <f t="shared" ca="1" si="455"/>
        <v>0</v>
      </c>
      <c r="S997" s="307">
        <f t="shared" ca="1" si="456"/>
        <v>4.341000000000002</v>
      </c>
      <c r="T997" s="304">
        <f t="shared" ca="1" si="436"/>
        <v>42.585210000000025</v>
      </c>
      <c r="U997" s="311">
        <f t="shared" ca="1" si="437"/>
        <v>0</v>
      </c>
      <c r="V997" s="306">
        <f t="shared" ca="1" si="438"/>
        <v>1.2260965913057893</v>
      </c>
      <c r="W997" s="304">
        <f t="shared" ca="1" si="439"/>
        <v>38.816940609113999</v>
      </c>
      <c r="Y997" s="314" t="str">
        <f t="shared" ca="1" si="457"/>
        <v/>
      </c>
      <c r="Z997" s="315" t="str">
        <f t="shared" ca="1" si="458"/>
        <v/>
      </c>
      <c r="AA997" s="316" t="str">
        <f t="shared" ca="1" si="459"/>
        <v/>
      </c>
      <c r="AC997" s="310" t="e">
        <f t="shared" ca="1" si="460"/>
        <v>#N/A</v>
      </c>
      <c r="AD997" s="323" t="e">
        <f t="shared" ca="1" si="461"/>
        <v>#N/A</v>
      </c>
      <c r="AE997" s="324" t="e">
        <f t="shared" ca="1" si="440"/>
        <v>#N/A</v>
      </c>
      <c r="AG997" s="306">
        <f t="shared" ca="1" si="462"/>
        <v>0.84156394768393739</v>
      </c>
      <c r="AH997" s="304">
        <f t="shared" ca="1" si="463"/>
        <v>-8.9419111332043766</v>
      </c>
    </row>
    <row r="998" spans="1:34" x14ac:dyDescent="0.2">
      <c r="A998" s="347">
        <f t="shared" ca="1" si="441"/>
        <v>1E-4</v>
      </c>
      <c r="B998" s="304">
        <f t="shared" ca="1" si="442"/>
        <v>28.661799999999996</v>
      </c>
      <c r="D998" s="306">
        <f t="shared" ca="1" si="443"/>
        <v>-0.65711438892409202</v>
      </c>
      <c r="E998" s="307">
        <f t="shared" ca="1" si="444"/>
        <v>-0.89224213082367321</v>
      </c>
      <c r="F998" s="304">
        <f t="shared" ca="1" si="445"/>
        <v>1.1081043904559946</v>
      </c>
      <c r="G998" s="306">
        <f t="shared" ca="1" si="446"/>
        <v>7.2590974734017388</v>
      </c>
      <c r="H998" s="307">
        <f t="shared" ca="1" si="447"/>
        <v>-98.514839024838111</v>
      </c>
      <c r="I998" s="304">
        <f t="shared" ca="1" si="448"/>
        <v>98.781921444250685</v>
      </c>
      <c r="J998" s="306">
        <f t="shared" ca="1" si="449"/>
        <v>678.53524446899166</v>
      </c>
      <c r="K998" s="307">
        <f t="shared" ca="1" si="450"/>
        <v>-8.9576123280260784</v>
      </c>
      <c r="L998" s="304">
        <f t="shared" ca="1" si="435"/>
        <v>678.59436838601414</v>
      </c>
      <c r="M998" s="306">
        <f t="shared" ca="1" si="451"/>
        <v>-1.4972439324695204</v>
      </c>
      <c r="N998" s="304">
        <f t="shared" ca="1" si="452"/>
        <v>-85.78575823207396</v>
      </c>
      <c r="P998" s="310">
        <f t="shared" ca="1" si="453"/>
        <v>23</v>
      </c>
      <c r="Q998" s="304">
        <f t="shared" ca="1" si="454"/>
        <v>0</v>
      </c>
      <c r="R998" s="306">
        <f t="shared" ca="1" si="455"/>
        <v>0</v>
      </c>
      <c r="S998" s="307">
        <f t="shared" ca="1" si="456"/>
        <v>4.341000000000002</v>
      </c>
      <c r="T998" s="304">
        <f t="shared" ca="1" si="436"/>
        <v>42.585210000000025</v>
      </c>
      <c r="U998" s="311">
        <f t="shared" ca="1" si="437"/>
        <v>0</v>
      </c>
      <c r="V998" s="306">
        <f t="shared" ca="1" si="438"/>
        <v>1.2260977991931628</v>
      </c>
      <c r="W998" s="304">
        <f t="shared" ca="1" si="439"/>
        <v>38.817044987398411</v>
      </c>
      <c r="Y998" s="314" t="str">
        <f t="shared" ca="1" si="457"/>
        <v/>
      </c>
      <c r="Z998" s="315" t="str">
        <f t="shared" ca="1" si="458"/>
        <v/>
      </c>
      <c r="AA998" s="316" t="str">
        <f t="shared" ca="1" si="459"/>
        <v/>
      </c>
      <c r="AC998" s="310" t="e">
        <f t="shared" ca="1" si="460"/>
        <v>#N/A</v>
      </c>
      <c r="AD998" s="323" t="e">
        <f t="shared" ca="1" si="461"/>
        <v>#N/A</v>
      </c>
      <c r="AE998" s="324" t="e">
        <f t="shared" ca="1" si="440"/>
        <v>#N/A</v>
      </c>
      <c r="AG998" s="306">
        <f t="shared" ca="1" si="462"/>
        <v>0.84154042868391166</v>
      </c>
      <c r="AH998" s="304">
        <f t="shared" ca="1" si="463"/>
        <v>-8.9419351783261884</v>
      </c>
    </row>
    <row r="999" spans="1:34" x14ac:dyDescent="0.2">
      <c r="A999" s="347">
        <f t="shared" ca="1" si="441"/>
        <v>1E-4</v>
      </c>
      <c r="B999" s="304">
        <f t="shared" ca="1" si="442"/>
        <v>28.661899999999996</v>
      </c>
      <c r="D999" s="306">
        <f t="shared" ca="1" si="443"/>
        <v>-0.657109647742258</v>
      </c>
      <c r="E999" s="307">
        <f t="shared" ca="1" si="444"/>
        <v>-0.89221767152264952</v>
      </c>
      <c r="F999" s="304">
        <f t="shared" ca="1" si="445"/>
        <v>1.1080818843990063</v>
      </c>
      <c r="G999" s="306">
        <f t="shared" ca="1" si="446"/>
        <v>7.2590317624369645</v>
      </c>
      <c r="H999" s="307">
        <f t="shared" ca="1" si="447"/>
        <v>-98.514928246605265</v>
      </c>
      <c r="I999" s="304">
        <f t="shared" ca="1" si="448"/>
        <v>98.782005595968002</v>
      </c>
      <c r="J999" s="306">
        <f t="shared" ca="1" si="449"/>
        <v>678.53524446899166</v>
      </c>
      <c r="K999" s="307">
        <f t="shared" ca="1" si="450"/>
        <v>-8.9674638163896514</v>
      </c>
      <c r="L999" s="304">
        <f t="shared" ca="1" si="435"/>
        <v>678.59449849957707</v>
      </c>
      <c r="M999" s="306">
        <f t="shared" ca="1" si="451"/>
        <v>-1.4972446622568625</v>
      </c>
      <c r="N999" s="304">
        <f t="shared" ca="1" si="452"/>
        <v>-85.7858000458086</v>
      </c>
      <c r="P999" s="310">
        <f t="shared" ca="1" si="453"/>
        <v>23</v>
      </c>
      <c r="Q999" s="304">
        <f t="shared" ca="1" si="454"/>
        <v>0</v>
      </c>
      <c r="R999" s="306">
        <f t="shared" ca="1" si="455"/>
        <v>0</v>
      </c>
      <c r="S999" s="307">
        <f t="shared" ca="1" si="456"/>
        <v>4.341000000000002</v>
      </c>
      <c r="T999" s="304">
        <f t="shared" ca="1" si="436"/>
        <v>42.585210000000025</v>
      </c>
      <c r="U999" s="311">
        <f t="shared" ca="1" si="437"/>
        <v>0</v>
      </c>
      <c r="V999" s="306">
        <f t="shared" ca="1" si="438"/>
        <v>1.2260990070828202</v>
      </c>
      <c r="W999" s="304">
        <f t="shared" ca="1" si="439"/>
        <v>38.81714936409341</v>
      </c>
      <c r="Y999" s="314" t="str">
        <f t="shared" ca="1" si="457"/>
        <v/>
      </c>
      <c r="Z999" s="315" t="str">
        <f t="shared" ca="1" si="458"/>
        <v/>
      </c>
      <c r="AA999" s="316" t="str">
        <f t="shared" ca="1" si="459"/>
        <v/>
      </c>
      <c r="AC999" s="310" t="e">
        <f t="shared" ca="1" si="460"/>
        <v>#N/A</v>
      </c>
      <c r="AD999" s="323" t="e">
        <f t="shared" ca="1" si="461"/>
        <v>#N/A</v>
      </c>
      <c r="AE999" s="324" t="e">
        <f t="shared" ca="1" si="440"/>
        <v>#N/A</v>
      </c>
      <c r="AG999" s="306">
        <f t="shared" ca="1" si="462"/>
        <v>0.84151691003915019</v>
      </c>
      <c r="AH999" s="304">
        <f t="shared" ca="1" si="463"/>
        <v>-8.9419592230818683</v>
      </c>
    </row>
    <row r="1000" spans="1:34" x14ac:dyDescent="0.2">
      <c r="A1000" s="347">
        <f t="shared" ca="1" si="441"/>
        <v>1E-4</v>
      </c>
      <c r="B1000" s="304">
        <f t="shared" ca="1" si="442"/>
        <v>28.661999999999995</v>
      </c>
      <c r="D1000" s="306">
        <f t="shared" ca="1" si="443"/>
        <v>-0.657104906568168</v>
      </c>
      <c r="E1000" s="307">
        <f t="shared" ca="1" si="444"/>
        <v>-0.89219321259410123</v>
      </c>
      <c r="F1000" s="304">
        <f t="shared" ca="1" si="445"/>
        <v>1.1080593787495976</v>
      </c>
      <c r="G1000" s="306">
        <f t="shared" ca="1" si="446"/>
        <v>7.2589660519463077</v>
      </c>
      <c r="H1000" s="307">
        <f t="shared" ca="1" si="447"/>
        <v>-98.515017465926519</v>
      </c>
      <c r="I1000" s="304">
        <f t="shared" ca="1" si="448"/>
        <v>98.782089745333479</v>
      </c>
      <c r="J1000" s="306">
        <f t="shared" ca="1" si="449"/>
        <v>678.53524446899166</v>
      </c>
      <c r="K1000" s="307">
        <f t="shared" ca="1" si="450"/>
        <v>-8.9773153136752786</v>
      </c>
      <c r="L1000" s="304">
        <f t="shared" ca="1" si="435"/>
        <v>678.59462875625195</v>
      </c>
      <c r="M1000" s="306">
        <f t="shared" ca="1" si="451"/>
        <v>-1.4972453920363549</v>
      </c>
      <c r="N1000" s="304">
        <f t="shared" ca="1" si="452"/>
        <v>-85.785841859093495</v>
      </c>
      <c r="P1000" s="310">
        <f t="shared" ca="1" si="453"/>
        <v>23</v>
      </c>
      <c r="Q1000" s="304">
        <f t="shared" ca="1" si="454"/>
        <v>0</v>
      </c>
      <c r="R1000" s="306">
        <f t="shared" ca="1" si="455"/>
        <v>0</v>
      </c>
      <c r="S1000" s="307">
        <f t="shared" ca="1" si="456"/>
        <v>4.341000000000002</v>
      </c>
      <c r="T1000" s="304">
        <f t="shared" ca="1" si="436"/>
        <v>42.585210000000025</v>
      </c>
      <c r="U1000" s="311">
        <f t="shared" ca="1" si="437"/>
        <v>0</v>
      </c>
      <c r="V1000" s="306">
        <f t="shared" ca="1" si="438"/>
        <v>1.2261002149747622</v>
      </c>
      <c r="W1000" s="304">
        <f t="shared" ca="1" si="439"/>
        <v>38.817253739199046</v>
      </c>
      <c r="Y1000" s="314" t="str">
        <f t="shared" ca="1" si="457"/>
        <v/>
      </c>
      <c r="Z1000" s="315" t="str">
        <f t="shared" ca="1" si="458"/>
        <v/>
      </c>
      <c r="AA1000" s="316" t="str">
        <f t="shared" ca="1" si="459"/>
        <v/>
      </c>
      <c r="AC1000" s="310" t="e">
        <f t="shared" ca="1" si="460"/>
        <v>#N/A</v>
      </c>
      <c r="AD1000" s="323" t="e">
        <f t="shared" ca="1" si="461"/>
        <v>#N/A</v>
      </c>
      <c r="AE1000" s="324" t="e">
        <f t="shared" ca="1" si="440"/>
        <v>#N/A</v>
      </c>
      <c r="AG1000" s="306">
        <f t="shared" ca="1" si="462"/>
        <v>0.84149339174965654</v>
      </c>
      <c r="AH1000" s="304">
        <f t="shared" ca="1" si="463"/>
        <v>-8.9419832674714108</v>
      </c>
    </row>
    <row r="1001" spans="1:34" x14ac:dyDescent="0.2">
      <c r="A1001" s="347">
        <f t="shared" ca="1" si="441"/>
        <v>1E-4</v>
      </c>
      <c r="B1001" s="304">
        <f t="shared" ca="1" si="442"/>
        <v>28.662099999999995</v>
      </c>
      <c r="D1001" s="306">
        <f t="shared" ca="1" si="443"/>
        <v>-0.65710016540182592</v>
      </c>
      <c r="E1001" s="307">
        <f t="shared" ca="1" si="444"/>
        <v>-0.89216875403802298</v>
      </c>
      <c r="F1001" s="304">
        <f t="shared" ca="1" si="445"/>
        <v>1.1080368735077661</v>
      </c>
      <c r="G1001" s="306">
        <f t="shared" ca="1" si="446"/>
        <v>7.2589003419297677</v>
      </c>
      <c r="H1001" s="307">
        <f t="shared" ca="1" si="447"/>
        <v>-98.515106682801928</v>
      </c>
      <c r="I1001" s="304">
        <f t="shared" ca="1" si="448"/>
        <v>98.78217389234716</v>
      </c>
      <c r="J1001" s="306">
        <f t="shared" ca="1" si="449"/>
        <v>678.53524446899166</v>
      </c>
      <c r="K1001" s="307">
        <f t="shared" ca="1" si="450"/>
        <v>-8.9871668198827148</v>
      </c>
      <c r="L1001" s="304">
        <f t="shared" ca="1" si="435"/>
        <v>678.59475915603912</v>
      </c>
      <c r="M1001" s="306">
        <f t="shared" ca="1" si="451"/>
        <v>-1.497246121807998</v>
      </c>
      <c r="N1001" s="304">
        <f t="shared" ca="1" si="452"/>
        <v>-85.785883671928644</v>
      </c>
      <c r="P1001" s="310">
        <f t="shared" ca="1" si="453"/>
        <v>23</v>
      </c>
      <c r="Q1001" s="304">
        <f t="shared" ca="1" si="454"/>
        <v>0</v>
      </c>
      <c r="R1001" s="306">
        <f t="shared" ca="1" si="455"/>
        <v>0</v>
      </c>
      <c r="S1001" s="307">
        <f t="shared" ca="1" si="456"/>
        <v>4.341000000000002</v>
      </c>
      <c r="T1001" s="304">
        <f t="shared" ca="1" si="436"/>
        <v>42.585210000000025</v>
      </c>
      <c r="U1001" s="311">
        <f t="shared" ca="1" si="437"/>
        <v>0</v>
      </c>
      <c r="V1001" s="306">
        <f t="shared" ca="1" si="438"/>
        <v>1.2261014228689888</v>
      </c>
      <c r="W1001" s="304">
        <f t="shared" ca="1" si="439"/>
        <v>38.817358112715333</v>
      </c>
      <c r="Y1001" s="314" t="str">
        <f t="shared" ca="1" si="457"/>
        <v/>
      </c>
      <c r="Z1001" s="315" t="str">
        <f t="shared" ca="1" si="458"/>
        <v/>
      </c>
      <c r="AA1001" s="316" t="str">
        <f t="shared" ca="1" si="459"/>
        <v/>
      </c>
      <c r="AC1001" s="310" t="e">
        <f t="shared" ca="1" si="460"/>
        <v>#N/A</v>
      </c>
      <c r="AD1001" s="323" t="e">
        <f t="shared" ca="1" si="461"/>
        <v>#N/A</v>
      </c>
      <c r="AE1001" s="324" t="e">
        <f t="shared" ca="1" si="440"/>
        <v>#N/A</v>
      </c>
      <c r="AG1001" s="306">
        <f t="shared" ca="1" si="462"/>
        <v>0.8414698738154236</v>
      </c>
      <c r="AH1001" s="304">
        <f t="shared" ca="1" si="463"/>
        <v>-8.9420073114948231</v>
      </c>
    </row>
    <row r="1002" spans="1:34" x14ac:dyDescent="0.2">
      <c r="A1002" s="347">
        <f t="shared" ca="1" si="441"/>
        <v>1E-4</v>
      </c>
      <c r="B1002" s="304">
        <f t="shared" ca="1" si="442"/>
        <v>28.662199999999995</v>
      </c>
      <c r="D1002" s="306">
        <f t="shared" ca="1" si="443"/>
        <v>-0.65709542424322942</v>
      </c>
      <c r="E1002" s="307">
        <f t="shared" ca="1" si="444"/>
        <v>-0.89214429585440769</v>
      </c>
      <c r="F1002" s="304">
        <f t="shared" ca="1" si="445"/>
        <v>1.1080143686735053</v>
      </c>
      <c r="G1002" s="306">
        <f t="shared" ca="1" si="446"/>
        <v>7.2588346323873436</v>
      </c>
      <c r="H1002" s="307">
        <f t="shared" ca="1" si="447"/>
        <v>-98.515195897231507</v>
      </c>
      <c r="I1002" s="304">
        <f t="shared" ca="1" si="448"/>
        <v>98.782258037009086</v>
      </c>
      <c r="J1002" s="306">
        <f t="shared" ca="1" si="449"/>
        <v>678.53524446899166</v>
      </c>
      <c r="K1002" s="307">
        <f t="shared" ca="1" si="450"/>
        <v>-8.9970183350117168</v>
      </c>
      <c r="L1002" s="304">
        <f t="shared" ca="1" si="435"/>
        <v>678.5948896989388</v>
      </c>
      <c r="M1002" s="306">
        <f t="shared" ca="1" si="451"/>
        <v>-1.4972468515717916</v>
      </c>
      <c r="N1002" s="304">
        <f t="shared" ca="1" si="452"/>
        <v>-85.785925484314063</v>
      </c>
      <c r="P1002" s="310">
        <f t="shared" ca="1" si="453"/>
        <v>23</v>
      </c>
      <c r="Q1002" s="304">
        <f t="shared" ca="1" si="454"/>
        <v>0</v>
      </c>
      <c r="R1002" s="306">
        <f t="shared" ca="1" si="455"/>
        <v>0</v>
      </c>
      <c r="S1002" s="307">
        <f t="shared" ca="1" si="456"/>
        <v>4.341000000000002</v>
      </c>
      <c r="T1002" s="304">
        <f t="shared" ca="1" si="436"/>
        <v>42.585210000000025</v>
      </c>
      <c r="U1002" s="311">
        <f t="shared" ca="1" si="437"/>
        <v>0</v>
      </c>
      <c r="V1002" s="306">
        <f t="shared" ca="1" si="438"/>
        <v>1.2261026307654999</v>
      </c>
      <c r="W1002" s="304">
        <f t="shared" ca="1" si="439"/>
        <v>38.817462484642277</v>
      </c>
      <c r="Y1002" s="314" t="str">
        <f t="shared" ca="1" si="457"/>
        <v/>
      </c>
      <c r="Z1002" s="315" t="str">
        <f t="shared" ca="1" si="458"/>
        <v/>
      </c>
      <c r="AA1002" s="316" t="str">
        <f t="shared" ca="1" si="459"/>
        <v/>
      </c>
      <c r="AC1002" s="310" t="e">
        <f t="shared" ca="1" si="460"/>
        <v>#N/A</v>
      </c>
      <c r="AD1002" s="323" t="e">
        <f t="shared" ca="1" si="461"/>
        <v>#N/A</v>
      </c>
      <c r="AE1002" s="324" t="e">
        <f t="shared" ca="1" si="440"/>
        <v>#N/A</v>
      </c>
      <c r="AG1002" s="306">
        <f t="shared" ca="1" si="462"/>
        <v>0.84144635623644604</v>
      </c>
      <c r="AH1002" s="304">
        <f t="shared" ca="1" si="463"/>
        <v>-8.9420313551521105</v>
      </c>
    </row>
    <row r="1003" spans="1:34" x14ac:dyDescent="0.2">
      <c r="A1003" s="347">
        <f t="shared" ca="1" si="441"/>
        <v>1E-4</v>
      </c>
      <c r="B1003" s="304">
        <f t="shared" ca="1" si="442"/>
        <v>28.662299999999995</v>
      </c>
      <c r="D1003" s="306">
        <f t="shared" ca="1" si="443"/>
        <v>-0.65709068309238228</v>
      </c>
      <c r="E1003" s="307">
        <f t="shared" ca="1" si="444"/>
        <v>-0.89211983804325179</v>
      </c>
      <c r="F1003" s="304">
        <f t="shared" ca="1" si="445"/>
        <v>1.1079918642468145</v>
      </c>
      <c r="G1003" s="306">
        <f t="shared" ca="1" si="446"/>
        <v>7.2587689233190344</v>
      </c>
      <c r="H1003" s="307">
        <f t="shared" ca="1" si="447"/>
        <v>-98.515285109215313</v>
      </c>
      <c r="I1003" s="304">
        <f t="shared" ca="1" si="448"/>
        <v>98.782342179319286</v>
      </c>
      <c r="J1003" s="306">
        <f t="shared" ca="1" si="449"/>
        <v>678.53524446899166</v>
      </c>
      <c r="K1003" s="307">
        <f t="shared" ca="1" si="450"/>
        <v>-9.0068698590620393</v>
      </c>
      <c r="L1003" s="304">
        <f t="shared" ca="1" si="435"/>
        <v>678.59502038495123</v>
      </c>
      <c r="M1003" s="306">
        <f t="shared" ca="1" si="451"/>
        <v>-1.4972475813277359</v>
      </c>
      <c r="N1003" s="304">
        <f t="shared" ca="1" si="452"/>
        <v>-85.785967296249751</v>
      </c>
      <c r="P1003" s="310">
        <f t="shared" ca="1" si="453"/>
        <v>23</v>
      </c>
      <c r="Q1003" s="304">
        <f t="shared" ca="1" si="454"/>
        <v>0</v>
      </c>
      <c r="R1003" s="306">
        <f t="shared" ca="1" si="455"/>
        <v>0</v>
      </c>
      <c r="S1003" s="307">
        <f t="shared" ca="1" si="456"/>
        <v>4.341000000000002</v>
      </c>
      <c r="T1003" s="304">
        <f t="shared" ca="1" si="436"/>
        <v>42.585210000000025</v>
      </c>
      <c r="U1003" s="311">
        <f t="shared" ca="1" si="437"/>
        <v>0</v>
      </c>
      <c r="V1003" s="306">
        <f ca="1">Rho_moyen*(20000-Alt_rampe-pos_z)/(20000+Alt_rampe+pos_z)</f>
        <v>1.2261038386642948</v>
      </c>
      <c r="W1003" s="304">
        <f t="shared" ca="1" si="439"/>
        <v>38.817566854979901</v>
      </c>
      <c r="Y1003" s="314" t="str">
        <f t="shared" ca="1" si="457"/>
        <v/>
      </c>
      <c r="Z1003" s="315" t="str">
        <f t="shared" ca="1" si="458"/>
        <v/>
      </c>
      <c r="AA1003" s="316" t="str">
        <f t="shared" ca="1" si="459"/>
        <v/>
      </c>
      <c r="AC1003" s="310" t="e">
        <f t="shared" ca="1" si="460"/>
        <v>#N/A</v>
      </c>
      <c r="AD1003" s="323" t="e">
        <f t="shared" ca="1" si="461"/>
        <v>#N/A</v>
      </c>
      <c r="AE1003" s="324" t="e">
        <f t="shared" ca="1" si="440"/>
        <v>#N/A</v>
      </c>
      <c r="AG1003" s="306">
        <f t="shared" ca="1" si="462"/>
        <v>0.84142283901272208</v>
      </c>
      <c r="AH1003" s="304">
        <f t="shared" ca="1" si="463"/>
        <v>-8.9420553984432765</v>
      </c>
    </row>
    <row r="1004" spans="1:34" x14ac:dyDescent="0.2">
      <c r="A1004" s="348">
        <f t="shared" ca="1" si="441"/>
        <v>1E-4</v>
      </c>
      <c r="B1004" s="305">
        <f t="shared" ca="1" si="442"/>
        <v>28.662399999999995</v>
      </c>
      <c r="D1004" s="308">
        <f t="shared" ca="1" si="443"/>
        <v>-0.65708594194928382</v>
      </c>
      <c r="E1004" s="309">
        <f t="shared" ca="1" si="444"/>
        <v>-0.89209538060455706</v>
      </c>
      <c r="F1004" s="305">
        <f t="shared" ca="1" si="445"/>
        <v>1.1079693602276948</v>
      </c>
      <c r="G1004" s="308">
        <f t="shared" ca="1" si="446"/>
        <v>7.2587032147248394</v>
      </c>
      <c r="H1004" s="309">
        <f t="shared" ca="1" si="447"/>
        <v>-98.515374318753373</v>
      </c>
      <c r="I1004" s="305">
        <f t="shared" ca="1" si="448"/>
        <v>98.782426319277803</v>
      </c>
      <c r="J1004" s="308">
        <f t="shared" ca="1" si="449"/>
        <v>678.53524446899166</v>
      </c>
      <c r="K1004" s="309">
        <f t="shared" ca="1" si="450"/>
        <v>-9.0167213920334373</v>
      </c>
      <c r="L1004" s="305">
        <f t="shared" ca="1" si="435"/>
        <v>678.59515121407685</v>
      </c>
      <c r="M1004" s="308">
        <f t="shared" ca="1" si="451"/>
        <v>-1.4972483110758312</v>
      </c>
      <c r="N1004" s="305">
        <f t="shared" ca="1" si="452"/>
        <v>-85.786009107735723</v>
      </c>
      <c r="P1004" s="312">
        <f t="shared" ca="1" si="453"/>
        <v>23</v>
      </c>
      <c r="Q1004" s="305">
        <f t="shared" ca="1" si="454"/>
        <v>0</v>
      </c>
      <c r="R1004" s="308">
        <f t="shared" ca="1" si="455"/>
        <v>0</v>
      </c>
      <c r="S1004" s="309">
        <f t="shared" ca="1" si="456"/>
        <v>4.341000000000002</v>
      </c>
      <c r="T1004" s="305">
        <f t="shared" ca="1" si="436"/>
        <v>42.585210000000025</v>
      </c>
      <c r="U1004" s="313">
        <f t="shared" ca="1" si="437"/>
        <v>0</v>
      </c>
      <c r="V1004" s="308">
        <f t="shared" ca="1" si="438"/>
        <v>1.2261050465653744</v>
      </c>
      <c r="W1004" s="305">
        <f ca="1">1/2*Rho*Sref*Cx*vit_xz^2</f>
        <v>38.817671223728233</v>
      </c>
      <c r="Y1004" s="317" t="str">
        <f ca="1">IF(AND(pos_z&lt;=0,K1003&gt;0),"Impact balistique","") &amp; IF(AND(H1005&lt;0,vit_z&gt;=0),"Apogée","") &amp; IF(AND(Poussee=0,Q1003&gt;0),"Fin de propulsion","") &amp; IF(AND(L1005&gt;L_rampe,pos_xz&lt;=L_rampe),"Sortie de rampe","")</f>
        <v/>
      </c>
      <c r="Z1004" s="318" t="str">
        <f t="shared" ca="1" si="458"/>
        <v/>
      </c>
      <c r="AA1004" s="319" t="str">
        <f t="shared" ca="1" si="459"/>
        <v/>
      </c>
      <c r="AC1004" s="312" t="e">
        <f t="shared" ca="1" si="460"/>
        <v>#N/A</v>
      </c>
      <c r="AD1004" s="325" t="e">
        <f t="shared" ca="1" si="461"/>
        <v>#N/A</v>
      </c>
      <c r="AE1004" s="326" t="e">
        <f t="shared" ca="1" si="440"/>
        <v>#N/A</v>
      </c>
      <c r="AG1004" s="308">
        <f t="shared" ca="1" si="462"/>
        <v>0.84139932214424995</v>
      </c>
      <c r="AH1004" s="305">
        <f t="shared" ca="1" si="463"/>
        <v>-8.9420794413683211</v>
      </c>
    </row>
    <row r="1005" spans="1:34" x14ac:dyDescent="0.2">
      <c r="Y1005" s="303"/>
    </row>
    <row r="1010" spans="12:12" x14ac:dyDescent="0.2">
      <c r="L1010"/>
    </row>
    <row r="1034" spans="5:25" x14ac:dyDescent="0.2">
      <c r="E1034" s="300" t="s">
        <v>254</v>
      </c>
      <c r="J1034" s="301" t="s">
        <v>246</v>
      </c>
      <c r="T1034" s="300" t="s">
        <v>245</v>
      </c>
      <c r="Y1034" s="302" t="s">
        <v>248</v>
      </c>
    </row>
    <row r="1035" spans="5:25" x14ac:dyDescent="0.2">
      <c r="E1035" s="299" t="s">
        <v>258</v>
      </c>
    </row>
    <row r="1036" spans="5:25" x14ac:dyDescent="0.2">
      <c r="E1036" s="299"/>
      <c r="T1036" s="299" t="s">
        <v>251</v>
      </c>
    </row>
    <row r="1037" spans="5:25" x14ac:dyDescent="0.2">
      <c r="E1037" s="299"/>
      <c r="T1037" s="299" t="s">
        <v>255</v>
      </c>
    </row>
    <row r="1038" spans="5:25" x14ac:dyDescent="0.2">
      <c r="E1038" s="299"/>
      <c r="T1038" s="299" t="s">
        <v>256</v>
      </c>
    </row>
    <row r="1039" spans="5:25" x14ac:dyDescent="0.2">
      <c r="E1039" s="299"/>
      <c r="T1039" s="299" t="s">
        <v>262</v>
      </c>
    </row>
    <row r="1040" spans="5:25" x14ac:dyDescent="0.2">
      <c r="E1040" s="299" t="s">
        <v>257</v>
      </c>
      <c r="T1040" s="299" t="s">
        <v>247</v>
      </c>
    </row>
    <row r="1041" spans="5:20" x14ac:dyDescent="0.2">
      <c r="E1041" s="299"/>
      <c r="T1041" s="299" t="s">
        <v>263</v>
      </c>
    </row>
    <row r="1042" spans="5:20" x14ac:dyDescent="0.2">
      <c r="E1042" s="299"/>
      <c r="R1042" s="303"/>
      <c r="T1042" s="299"/>
    </row>
    <row r="1043" spans="5:20" x14ac:dyDescent="0.2">
      <c r="E1043" s="299"/>
    </row>
    <row r="1044" spans="5:20" x14ac:dyDescent="0.2">
      <c r="E1044" s="299"/>
    </row>
    <row r="1045" spans="5:20" x14ac:dyDescent="0.2">
      <c r="E1045" s="299" t="s">
        <v>260</v>
      </c>
      <c r="R1045" s="303"/>
      <c r="T1045" s="299"/>
    </row>
    <row r="1046" spans="5:20" x14ac:dyDescent="0.2">
      <c r="E1046" s="299"/>
    </row>
    <row r="1047" spans="5:20" x14ac:dyDescent="0.2">
      <c r="E1047" s="299"/>
    </row>
    <row r="1048" spans="5:20" x14ac:dyDescent="0.2">
      <c r="E1048" s="299"/>
      <c r="T1048" s="298" t="s">
        <v>253</v>
      </c>
    </row>
    <row r="1049" spans="5:20" x14ac:dyDescent="0.2">
      <c r="E1049" s="299"/>
    </row>
    <row r="1050" spans="5:20" x14ac:dyDescent="0.2">
      <c r="E1050" s="299" t="s">
        <v>261</v>
      </c>
    </row>
    <row r="1053" spans="5:20" x14ac:dyDescent="0.2">
      <c r="T1053" s="298" t="s">
        <v>268</v>
      </c>
    </row>
    <row r="1055" spans="5:20" x14ac:dyDescent="0.2">
      <c r="E1055" s="299" t="s">
        <v>250</v>
      </c>
    </row>
    <row r="1058" spans="5:20" x14ac:dyDescent="0.2">
      <c r="T1058" s="299" t="s">
        <v>269</v>
      </c>
    </row>
    <row r="1060" spans="5:20" x14ac:dyDescent="0.2">
      <c r="E1060" s="299" t="s">
        <v>259</v>
      </c>
    </row>
    <row r="1061" spans="5:20" x14ac:dyDescent="0.2">
      <c r="E1061" s="299"/>
    </row>
    <row r="1062" spans="5:20" x14ac:dyDescent="0.2">
      <c r="E1062" s="299"/>
    </row>
    <row r="1063" spans="5:20" x14ac:dyDescent="0.2">
      <c r="E1063" s="299"/>
    </row>
    <row r="1064" spans="5:20" x14ac:dyDescent="0.2">
      <c r="E1064" s="299"/>
    </row>
    <row r="1065" spans="5:20" x14ac:dyDescent="0.2">
      <c r="E1065" s="299" t="s">
        <v>249</v>
      </c>
    </row>
    <row r="1066" spans="5:20" x14ac:dyDescent="0.2">
      <c r="E1066" s="299"/>
    </row>
    <row r="1067" spans="5:20" x14ac:dyDescent="0.2">
      <c r="E1067" s="299"/>
    </row>
    <row r="1068" spans="5:20" x14ac:dyDescent="0.2">
      <c r="E1068" s="299"/>
    </row>
    <row r="1069" spans="5:20" x14ac:dyDescent="0.2">
      <c r="E1069" s="299"/>
    </row>
    <row r="1070" spans="5:20" x14ac:dyDescent="0.2">
      <c r="E1070" s="299" t="s">
        <v>252</v>
      </c>
    </row>
    <row r="1071" spans="5:20" x14ac:dyDescent="0.2">
      <c r="E1071" s="299"/>
    </row>
    <row r="1072" spans="5:20" x14ac:dyDescent="0.2">
      <c r="E1072" s="299"/>
    </row>
    <row r="1073" spans="5:5" x14ac:dyDescent="0.2">
      <c r="E1073" s="299"/>
    </row>
    <row r="1074" spans="5:5" x14ac:dyDescent="0.2">
      <c r="E1074" s="299"/>
    </row>
    <row r="1075" spans="5:5" x14ac:dyDescent="0.2">
      <c r="E1075" s="299" t="s">
        <v>264</v>
      </c>
    </row>
  </sheetData>
  <sheetProtection password="C6AC" sheet="1"/>
  <mergeCells count="5">
    <mergeCell ref="D1:N1"/>
    <mergeCell ref="P1:W1"/>
    <mergeCell ref="AG1:AH1"/>
    <mergeCell ref="Y2:AA2"/>
    <mergeCell ref="AC1:AE1"/>
  </mergeCells>
  <phoneticPr fontId="8" type="noConversion"/>
  <conditionalFormatting sqref="A4:XFD1004">
    <cfRule type="expression" dxfId="5" priority="7" stopIfTrue="1">
      <formula>OR($Y4="Sortie de rampe",$Z4="Para")</formula>
    </cfRule>
    <cfRule type="expression" dxfId="4" priority="8" stopIfTrue="1">
      <formula>OR($Y4="Fin de propulsion",$Y4="Impact balistique",$AA4="Satellite")</formula>
    </cfRule>
    <cfRule type="expression" dxfId="3" priority="9" stopIfTrue="1">
      <formula>$Y4="Apogée"</formula>
    </cfRule>
  </conditionalFormatting>
  <hyperlinks>
    <hyperlink ref="J1034" r:id="rId1" xr:uid="{00000000-0004-0000-0400-000000000000}"/>
    <hyperlink ref="Y1034" r:id="rId2" xr:uid="{00000000-0004-0000-0400-000001000000}"/>
  </hyperlinks>
  <pageMargins left="0.39370078740157483" right="0.39370078740157483" top="0.39370078740157483" bottom="0.39370078740157483" header="0" footer="0"/>
  <pageSetup paperSize="9" scale="29" firstPageNumber="0" fitToHeight="5" orientation="portrait" horizontalDpi="300" verticalDpi="300" r:id="rId3"/>
  <headerFooter alignWithMargins="0"/>
  <drawing r:id="rId4"/>
  <legacyDrawing r:id="rId5"/>
  <oleObjects>
    <mc:AlternateContent xmlns:mc="http://schemas.openxmlformats.org/markup-compatibility/2006">
      <mc:Choice Requires="x14">
        <oleObject progId="Equation.3" shapeId="3091" r:id="rId6">
          <objectPr defaultSize="0" autoPict="0" r:id="rId7">
            <anchor moveWithCells="1">
              <from>
                <xdr:col>18</xdr:col>
                <xdr:colOff>9525</xdr:colOff>
                <xdr:row>1010</xdr:row>
                <xdr:rowOff>104775</xdr:rowOff>
              </from>
              <to>
                <xdr:col>20</xdr:col>
                <xdr:colOff>295275</xdr:colOff>
                <xdr:row>1013</xdr:row>
                <xdr:rowOff>28575</xdr:rowOff>
              </to>
            </anchor>
          </objectPr>
        </oleObject>
      </mc:Choice>
      <mc:Fallback>
        <oleObject progId="Equation.3" shapeId="3091" r:id="rId6"/>
      </mc:Fallback>
    </mc:AlternateContent>
    <mc:AlternateContent xmlns:mc="http://schemas.openxmlformats.org/markup-compatibility/2006">
      <mc:Choice Requires="x14">
        <oleObject progId="Equation.3" shapeId="3092" r:id="rId8">
          <objectPr defaultSize="0" autoPict="0" r:id="rId9">
            <anchor moveWithCells="1">
              <from>
                <xdr:col>21</xdr:col>
                <xdr:colOff>28575</xdr:colOff>
                <xdr:row>1024</xdr:row>
                <xdr:rowOff>161925</xdr:rowOff>
              </from>
              <to>
                <xdr:col>25</xdr:col>
                <xdr:colOff>457200</xdr:colOff>
                <xdr:row>1026</xdr:row>
                <xdr:rowOff>76200</xdr:rowOff>
              </to>
            </anchor>
          </objectPr>
        </oleObject>
      </mc:Choice>
      <mc:Fallback>
        <oleObject progId="Equation.3" shapeId="3092" r:id="rId8"/>
      </mc:Fallback>
    </mc:AlternateContent>
    <mc:AlternateContent xmlns:mc="http://schemas.openxmlformats.org/markup-compatibility/2006">
      <mc:Choice Requires="x14">
        <oleObject progId="Equation.3" shapeId="3096" r:id="rId10">
          <objectPr defaultSize="0" autoPict="0" r:id="rId11">
            <anchor moveWithCells="1">
              <from>
                <xdr:col>16</xdr:col>
                <xdr:colOff>257175</xdr:colOff>
                <xdr:row>1006</xdr:row>
                <xdr:rowOff>28575</xdr:rowOff>
              </from>
              <to>
                <xdr:col>24</xdr:col>
                <xdr:colOff>152400</xdr:colOff>
                <xdr:row>1007</xdr:row>
                <xdr:rowOff>104775</xdr:rowOff>
              </to>
            </anchor>
          </objectPr>
        </oleObject>
      </mc:Choice>
      <mc:Fallback>
        <oleObject progId="Equation.3" shapeId="3096" r:id="rId10"/>
      </mc:Fallback>
    </mc:AlternateContent>
    <mc:AlternateContent xmlns:mc="http://schemas.openxmlformats.org/markup-compatibility/2006">
      <mc:Choice Requires="x14">
        <oleObject progId="Equation.3" shapeId="3112" r:id="rId12">
          <objectPr defaultSize="0" autoPict="0" r:id="rId13">
            <anchor moveWithCells="1">
              <from>
                <xdr:col>7</xdr:col>
                <xdr:colOff>9525</xdr:colOff>
                <xdr:row>1017</xdr:row>
                <xdr:rowOff>161925</xdr:rowOff>
              </from>
              <to>
                <xdr:col>10</xdr:col>
                <xdr:colOff>581025</xdr:colOff>
                <xdr:row>1019</xdr:row>
                <xdr:rowOff>142875</xdr:rowOff>
              </to>
            </anchor>
          </objectPr>
        </oleObject>
      </mc:Choice>
      <mc:Fallback>
        <oleObject progId="Equation.3" shapeId="3112" r:id="rId12"/>
      </mc:Fallback>
    </mc:AlternateContent>
    <mc:AlternateContent xmlns:mc="http://schemas.openxmlformats.org/markup-compatibility/2006">
      <mc:Choice Requires="x14">
        <oleObject progId="Equation.3" shapeId="3114" r:id="rId14">
          <objectPr defaultSize="0" autoPict="0" r:id="rId15">
            <anchor moveWithCells="1">
              <from>
                <xdr:col>7</xdr:col>
                <xdr:colOff>9525</xdr:colOff>
                <xdr:row>1014</xdr:row>
                <xdr:rowOff>180975</xdr:rowOff>
              </from>
              <to>
                <xdr:col>11</xdr:col>
                <xdr:colOff>266700</xdr:colOff>
                <xdr:row>1016</xdr:row>
                <xdr:rowOff>66675</xdr:rowOff>
              </to>
            </anchor>
          </objectPr>
        </oleObject>
      </mc:Choice>
      <mc:Fallback>
        <oleObject progId="Equation.3" shapeId="3114" r:id="rId14"/>
      </mc:Fallback>
    </mc:AlternateContent>
    <mc:AlternateContent xmlns:mc="http://schemas.openxmlformats.org/markup-compatibility/2006">
      <mc:Choice Requires="x14">
        <oleObject progId="Equation.3" shapeId="3115" r:id="rId16">
          <objectPr defaultSize="0" autoPict="0" r:id="rId17">
            <anchor moveWithCells="1">
              <from>
                <xdr:col>7</xdr:col>
                <xdr:colOff>9525</xdr:colOff>
                <xdr:row>1016</xdr:row>
                <xdr:rowOff>76200</xdr:rowOff>
              </from>
              <to>
                <xdr:col>11</xdr:col>
                <xdr:colOff>238125</xdr:colOff>
                <xdr:row>1017</xdr:row>
                <xdr:rowOff>161925</xdr:rowOff>
              </to>
            </anchor>
          </objectPr>
        </oleObject>
      </mc:Choice>
      <mc:Fallback>
        <oleObject progId="Equation.3" shapeId="3115" r:id="rId16"/>
      </mc:Fallback>
    </mc:AlternateContent>
    <mc:AlternateContent xmlns:mc="http://schemas.openxmlformats.org/markup-compatibility/2006">
      <mc:Choice Requires="x14">
        <oleObject progId="Equation.3" shapeId="3119" r:id="rId18">
          <objectPr defaultSize="0" autoPict="0" r:id="rId19">
            <anchor moveWithCells="1">
              <from>
                <xdr:col>10</xdr:col>
                <xdr:colOff>0</xdr:colOff>
                <xdr:row>1022</xdr:row>
                <xdr:rowOff>66675</xdr:rowOff>
              </from>
              <to>
                <xdr:col>17</xdr:col>
                <xdr:colOff>276225</xdr:colOff>
                <xdr:row>1024</xdr:row>
                <xdr:rowOff>161925</xdr:rowOff>
              </to>
            </anchor>
          </objectPr>
        </oleObject>
      </mc:Choice>
      <mc:Fallback>
        <oleObject progId="Equation.3" shapeId="3119" r:id="rId18"/>
      </mc:Fallback>
    </mc:AlternateContent>
    <mc:AlternateContent xmlns:mc="http://schemas.openxmlformats.org/markup-compatibility/2006">
      <mc:Choice Requires="x14">
        <oleObject progId="Equation.3" shapeId="3120" r:id="rId20">
          <objectPr defaultSize="0" autoPict="0" r:id="rId21">
            <anchor moveWithCells="1">
              <from>
                <xdr:col>4</xdr:col>
                <xdr:colOff>0</xdr:colOff>
                <xdr:row>1008</xdr:row>
                <xdr:rowOff>0</xdr:rowOff>
              </from>
              <to>
                <xdr:col>11</xdr:col>
                <xdr:colOff>238125</xdr:colOff>
                <xdr:row>1010</xdr:row>
                <xdr:rowOff>85725</xdr:rowOff>
              </to>
            </anchor>
          </objectPr>
        </oleObject>
      </mc:Choice>
      <mc:Fallback>
        <oleObject progId="Equation.3" shapeId="3120" r:id="rId20"/>
      </mc:Fallback>
    </mc:AlternateContent>
    <mc:AlternateContent xmlns:mc="http://schemas.openxmlformats.org/markup-compatibility/2006">
      <mc:Choice Requires="x14">
        <oleObject progId="Equation.3" shapeId="3121" r:id="rId22">
          <objectPr defaultSize="0" autoPict="0" r:id="rId23">
            <anchor moveWithCells="1">
              <from>
                <xdr:col>4</xdr:col>
                <xdr:colOff>0</xdr:colOff>
                <xdr:row>1010</xdr:row>
                <xdr:rowOff>104775</xdr:rowOff>
              </from>
              <to>
                <xdr:col>12</xdr:col>
                <xdr:colOff>238125</xdr:colOff>
                <xdr:row>1013</xdr:row>
                <xdr:rowOff>0</xdr:rowOff>
              </to>
            </anchor>
          </objectPr>
        </oleObject>
      </mc:Choice>
      <mc:Fallback>
        <oleObject progId="Equation.3" shapeId="3121" r:id="rId22"/>
      </mc:Fallback>
    </mc:AlternateContent>
    <mc:AlternateContent xmlns:mc="http://schemas.openxmlformats.org/markup-compatibility/2006">
      <mc:Choice Requires="x14">
        <oleObject progId="Equation.3" shapeId="3122" r:id="rId24">
          <objectPr defaultSize="0" autoPict="0" r:id="rId25">
            <anchor moveWithCells="1">
              <from>
                <xdr:col>1</xdr:col>
                <xdr:colOff>9525</xdr:colOff>
                <xdr:row>1006</xdr:row>
                <xdr:rowOff>104775</xdr:rowOff>
              </from>
              <to>
                <xdr:col>3</xdr:col>
                <xdr:colOff>542925</xdr:colOff>
                <xdr:row>1007</xdr:row>
                <xdr:rowOff>180975</xdr:rowOff>
              </to>
            </anchor>
          </objectPr>
        </oleObject>
      </mc:Choice>
      <mc:Fallback>
        <oleObject progId="Equation.3" shapeId="3122" r:id="rId24"/>
      </mc:Fallback>
    </mc:AlternateContent>
    <mc:AlternateContent xmlns:mc="http://schemas.openxmlformats.org/markup-compatibility/2006">
      <mc:Choice Requires="x14">
        <oleObject progId="Equation.3" shapeId="3124" r:id="rId26">
          <objectPr defaultSize="0" autoPict="0" r:id="rId27">
            <anchor moveWithCells="1">
              <from>
                <xdr:col>10</xdr:col>
                <xdr:colOff>0</xdr:colOff>
                <xdr:row>1024</xdr:row>
                <xdr:rowOff>180975</xdr:rowOff>
              </from>
              <to>
                <xdr:col>16</xdr:col>
                <xdr:colOff>0</xdr:colOff>
                <xdr:row>1026</xdr:row>
                <xdr:rowOff>142875</xdr:rowOff>
              </to>
            </anchor>
          </objectPr>
        </oleObject>
      </mc:Choice>
      <mc:Fallback>
        <oleObject progId="Equation.3" shapeId="3124" r:id="rId26"/>
      </mc:Fallback>
    </mc:AlternateContent>
    <mc:AlternateContent xmlns:mc="http://schemas.openxmlformats.org/markup-compatibility/2006">
      <mc:Choice Requires="x14">
        <oleObject progId="Equation.3" shapeId="3125" r:id="rId28">
          <objectPr defaultSize="0" autoPict="0" r:id="rId29">
            <anchor moveWithCells="1">
              <from>
                <xdr:col>18</xdr:col>
                <xdr:colOff>9525</xdr:colOff>
                <xdr:row>1013</xdr:row>
                <xdr:rowOff>28575</xdr:rowOff>
              </from>
              <to>
                <xdr:col>21</xdr:col>
                <xdr:colOff>28575</xdr:colOff>
                <xdr:row>1014</xdr:row>
                <xdr:rowOff>114300</xdr:rowOff>
              </to>
            </anchor>
          </objectPr>
        </oleObject>
      </mc:Choice>
      <mc:Fallback>
        <oleObject progId="Equation.3" shapeId="3125" r:id="rId28"/>
      </mc:Fallback>
    </mc:AlternateContent>
    <mc:AlternateContent xmlns:mc="http://schemas.openxmlformats.org/markup-compatibility/2006">
      <mc:Choice Requires="x14">
        <oleObject progId="Equation.3" shapeId="3127" r:id="rId30">
          <objectPr defaultSize="0" autoPict="0" r:id="rId31">
            <anchor moveWithCells="1">
              <from>
                <xdr:col>1</xdr:col>
                <xdr:colOff>9525</xdr:colOff>
                <xdr:row>1005</xdr:row>
                <xdr:rowOff>9525</xdr:rowOff>
              </from>
              <to>
                <xdr:col>10</xdr:col>
                <xdr:colOff>409575</xdr:colOff>
                <xdr:row>1006</xdr:row>
                <xdr:rowOff>85725</xdr:rowOff>
              </to>
            </anchor>
          </objectPr>
        </oleObject>
      </mc:Choice>
      <mc:Fallback>
        <oleObject progId="Equation.3" shapeId="3127" r:id="rId30"/>
      </mc:Fallback>
    </mc:AlternateContent>
    <mc:AlternateContent xmlns:mc="http://schemas.openxmlformats.org/markup-compatibility/2006">
      <mc:Choice Requires="x14">
        <oleObject progId="Equation.3" shapeId="3129" r:id="rId32">
          <objectPr defaultSize="0" autoPict="0" r:id="rId33">
            <anchor moveWithCells="1">
              <from>
                <xdr:col>4</xdr:col>
                <xdr:colOff>0</xdr:colOff>
                <xdr:row>1013</xdr:row>
                <xdr:rowOff>9525</xdr:rowOff>
              </from>
              <to>
                <xdr:col>8</xdr:col>
                <xdr:colOff>190500</xdr:colOff>
                <xdr:row>1014</xdr:row>
                <xdr:rowOff>161925</xdr:rowOff>
              </to>
            </anchor>
          </objectPr>
        </oleObject>
      </mc:Choice>
      <mc:Fallback>
        <oleObject progId="Equation.3" shapeId="3129" r:id="rId32"/>
      </mc:Fallback>
    </mc:AlternateContent>
    <mc:AlternateContent xmlns:mc="http://schemas.openxmlformats.org/markup-compatibility/2006">
      <mc:Choice Requires="x14">
        <oleObject progId="Equation.3" shapeId="3131" r:id="rId34">
          <objectPr defaultSize="0" autoPict="0" r:id="rId35">
            <anchor moveWithCells="1">
              <from>
                <xdr:col>20</xdr:col>
                <xdr:colOff>9525</xdr:colOff>
                <xdr:row>1018</xdr:row>
                <xdr:rowOff>47625</xdr:rowOff>
              </from>
              <to>
                <xdr:col>24</xdr:col>
                <xdr:colOff>1076325</xdr:colOff>
                <xdr:row>1019</xdr:row>
                <xdr:rowOff>142875</xdr:rowOff>
              </to>
            </anchor>
          </objectPr>
        </oleObject>
      </mc:Choice>
      <mc:Fallback>
        <oleObject progId="Equation.3" shapeId="3131" r:id="rId34"/>
      </mc:Fallback>
    </mc:AlternateContent>
    <mc:AlternateContent xmlns:mc="http://schemas.openxmlformats.org/markup-compatibility/2006">
      <mc:Choice Requires="x14">
        <oleObject progId="Equation.3" shapeId="3134" r:id="rId36">
          <objectPr defaultSize="0" autoPict="0" r:id="rId37">
            <anchor moveWithCells="1">
              <from>
                <xdr:col>10</xdr:col>
                <xdr:colOff>0</xdr:colOff>
                <xdr:row>1019</xdr:row>
                <xdr:rowOff>142875</xdr:rowOff>
              </from>
              <to>
                <xdr:col>20</xdr:col>
                <xdr:colOff>581025</xdr:colOff>
                <xdr:row>1022</xdr:row>
                <xdr:rowOff>47625</xdr:rowOff>
              </to>
            </anchor>
          </objectPr>
        </oleObject>
      </mc:Choice>
      <mc:Fallback>
        <oleObject progId="Equation.3" shapeId="3134" r:id="rId36"/>
      </mc:Fallback>
    </mc:AlternateContent>
    <mc:AlternateContent xmlns:mc="http://schemas.openxmlformats.org/markup-compatibility/2006">
      <mc:Choice Requires="x14">
        <oleObject progId="Equation.3" shapeId="3135" r:id="rId38">
          <objectPr defaultSize="0" autoPict="0" r:id="rId39">
            <anchor moveWithCells="1">
              <from>
                <xdr:col>12</xdr:col>
                <xdr:colOff>0</xdr:colOff>
                <xdr:row>1018</xdr:row>
                <xdr:rowOff>47625</xdr:rowOff>
              </from>
              <to>
                <xdr:col>19</xdr:col>
                <xdr:colOff>180975</xdr:colOff>
                <xdr:row>1019</xdr:row>
                <xdr:rowOff>142875</xdr:rowOff>
              </to>
            </anchor>
          </objectPr>
        </oleObject>
      </mc:Choice>
      <mc:Fallback>
        <oleObject progId="Equation.3" shapeId="3135" r:id="rId38"/>
      </mc:Fallback>
    </mc:AlternateContent>
    <mc:AlternateContent xmlns:mc="http://schemas.openxmlformats.org/markup-compatibility/2006">
      <mc:Choice Requires="x14">
        <oleObject progId="Equation.3" shapeId="3141" r:id="rId40">
          <objectPr defaultSize="0" autoPict="0" r:id="rId41">
            <anchor moveWithCells="1">
              <from>
                <xdr:col>33</xdr:col>
                <xdr:colOff>9525</xdr:colOff>
                <xdr:row>1007</xdr:row>
                <xdr:rowOff>123825</xdr:rowOff>
              </from>
              <to>
                <xdr:col>37</xdr:col>
                <xdr:colOff>276225</xdr:colOff>
                <xdr:row>1010</xdr:row>
                <xdr:rowOff>76200</xdr:rowOff>
              </to>
            </anchor>
          </objectPr>
        </oleObject>
      </mc:Choice>
      <mc:Fallback>
        <oleObject progId="Equation.3" shapeId="3141" r:id="rId40"/>
      </mc:Fallback>
    </mc:AlternateContent>
    <mc:AlternateContent xmlns:mc="http://schemas.openxmlformats.org/markup-compatibility/2006">
      <mc:Choice Requires="x14">
        <oleObject progId="Equation.3" shapeId="3142" r:id="rId42">
          <objectPr defaultSize="0" autoPict="0" r:id="rId43">
            <anchor moveWithCells="1">
              <from>
                <xdr:col>33</xdr:col>
                <xdr:colOff>9525</xdr:colOff>
                <xdr:row>1010</xdr:row>
                <xdr:rowOff>85725</xdr:rowOff>
              </from>
              <to>
                <xdr:col>35</xdr:col>
                <xdr:colOff>723900</xdr:colOff>
                <xdr:row>1013</xdr:row>
                <xdr:rowOff>47625</xdr:rowOff>
              </to>
            </anchor>
          </objectPr>
        </oleObject>
      </mc:Choice>
      <mc:Fallback>
        <oleObject progId="Equation.3" shapeId="3142" r:id="rId42"/>
      </mc:Fallback>
    </mc:AlternateContent>
    <mc:AlternateContent xmlns:mc="http://schemas.openxmlformats.org/markup-compatibility/2006">
      <mc:Choice Requires="x14">
        <oleObject progId="Equation.3" shapeId="3157" r:id="rId44">
          <objectPr defaultSize="0" autoPict="0" r:id="rId45">
            <anchor moveWithCells="1">
              <from>
                <xdr:col>4</xdr:col>
                <xdr:colOff>0</xdr:colOff>
                <xdr:row>1035</xdr:row>
                <xdr:rowOff>28575</xdr:rowOff>
              </from>
              <to>
                <xdr:col>11</xdr:col>
                <xdr:colOff>561975</xdr:colOff>
                <xdr:row>1038</xdr:row>
                <xdr:rowOff>28575</xdr:rowOff>
              </to>
            </anchor>
          </objectPr>
        </oleObject>
      </mc:Choice>
      <mc:Fallback>
        <oleObject progId="Equation.3" shapeId="3157" r:id="rId44"/>
      </mc:Fallback>
    </mc:AlternateContent>
    <mc:AlternateContent xmlns:mc="http://schemas.openxmlformats.org/markup-compatibility/2006">
      <mc:Choice Requires="x14">
        <oleObject progId="Equation.3" shapeId="3158" r:id="rId46">
          <objectPr defaultSize="0" autoPict="0" r:id="rId47">
            <anchor moveWithCells="1">
              <from>
                <xdr:col>4</xdr:col>
                <xdr:colOff>0</xdr:colOff>
                <xdr:row>1040</xdr:row>
                <xdr:rowOff>28575</xdr:rowOff>
              </from>
              <to>
                <xdr:col>12</xdr:col>
                <xdr:colOff>28575</xdr:colOff>
                <xdr:row>1043</xdr:row>
                <xdr:rowOff>28575</xdr:rowOff>
              </to>
            </anchor>
          </objectPr>
        </oleObject>
      </mc:Choice>
      <mc:Fallback>
        <oleObject progId="Equation.3" shapeId="3158" r:id="rId46"/>
      </mc:Fallback>
    </mc:AlternateContent>
    <mc:AlternateContent xmlns:mc="http://schemas.openxmlformats.org/markup-compatibility/2006">
      <mc:Choice Requires="x14">
        <oleObject progId="Equation.3" shapeId="3161" r:id="rId48">
          <objectPr defaultSize="0" autoPict="0" r:id="rId49">
            <anchor moveWithCells="1">
              <from>
                <xdr:col>18</xdr:col>
                <xdr:colOff>9525</xdr:colOff>
                <xdr:row>1014</xdr:row>
                <xdr:rowOff>123825</xdr:rowOff>
              </from>
              <to>
                <xdr:col>20</xdr:col>
                <xdr:colOff>333375</xdr:colOff>
                <xdr:row>1016</xdr:row>
                <xdr:rowOff>9525</xdr:rowOff>
              </to>
            </anchor>
          </objectPr>
        </oleObject>
      </mc:Choice>
      <mc:Fallback>
        <oleObject progId="Equation.3" shapeId="3161" r:id="rId48"/>
      </mc:Fallback>
    </mc:AlternateContent>
    <mc:AlternateContent xmlns:mc="http://schemas.openxmlformats.org/markup-compatibility/2006">
      <mc:Choice Requires="x14">
        <oleObject progId="Equation.3" shapeId="3162" r:id="rId50">
          <objectPr defaultSize="0" autoPict="0" r:id="rId51">
            <anchor moveWithCells="1">
              <from>
                <xdr:col>16</xdr:col>
                <xdr:colOff>257175</xdr:colOff>
                <xdr:row>1007</xdr:row>
                <xdr:rowOff>114300</xdr:rowOff>
              </from>
              <to>
                <xdr:col>32</xdr:col>
                <xdr:colOff>161925</xdr:colOff>
                <xdr:row>1010</xdr:row>
                <xdr:rowOff>85725</xdr:rowOff>
              </to>
            </anchor>
          </objectPr>
        </oleObject>
      </mc:Choice>
      <mc:Fallback>
        <oleObject progId="Equation.3" shapeId="3162" r:id="rId50"/>
      </mc:Fallback>
    </mc:AlternateContent>
    <mc:AlternateContent xmlns:mc="http://schemas.openxmlformats.org/markup-compatibility/2006">
      <mc:Choice Requires="x14">
        <oleObject progId="Equation.3" shapeId="3167" r:id="rId52">
          <objectPr defaultSize="0" autoPict="0" r:id="rId53">
            <anchor moveWithCells="1">
              <from>
                <xdr:col>4</xdr:col>
                <xdr:colOff>0</xdr:colOff>
                <xdr:row>1055</xdr:row>
                <xdr:rowOff>28575</xdr:rowOff>
              </from>
              <to>
                <xdr:col>12</xdr:col>
                <xdr:colOff>333375</xdr:colOff>
                <xdr:row>1058</xdr:row>
                <xdr:rowOff>47625</xdr:rowOff>
              </to>
            </anchor>
          </objectPr>
        </oleObject>
      </mc:Choice>
      <mc:Fallback>
        <oleObject progId="Equation.3" shapeId="3167" r:id="rId52"/>
      </mc:Fallback>
    </mc:AlternateContent>
    <mc:AlternateContent xmlns:mc="http://schemas.openxmlformats.org/markup-compatibility/2006">
      <mc:Choice Requires="x14">
        <oleObject progId="Equation.3" shapeId="3168" r:id="rId54">
          <objectPr defaultSize="0" autoPict="0" r:id="rId55">
            <anchor moveWithCells="1">
              <from>
                <xdr:col>4</xdr:col>
                <xdr:colOff>0</xdr:colOff>
                <xdr:row>1060</xdr:row>
                <xdr:rowOff>28575</xdr:rowOff>
              </from>
              <to>
                <xdr:col>15</xdr:col>
                <xdr:colOff>47625</xdr:colOff>
                <xdr:row>1063</xdr:row>
                <xdr:rowOff>47625</xdr:rowOff>
              </to>
            </anchor>
          </objectPr>
        </oleObject>
      </mc:Choice>
      <mc:Fallback>
        <oleObject progId="Equation.3" shapeId="3168" r:id="rId54"/>
      </mc:Fallback>
    </mc:AlternateContent>
    <mc:AlternateContent xmlns:mc="http://schemas.openxmlformats.org/markup-compatibility/2006">
      <mc:Choice Requires="x14">
        <oleObject progId="Equation.3" shapeId="3169" r:id="rId56">
          <objectPr defaultSize="0" autoPict="0" r:id="rId57">
            <anchor moveWithCells="1">
              <from>
                <xdr:col>4</xdr:col>
                <xdr:colOff>0</xdr:colOff>
                <xdr:row>1065</xdr:row>
                <xdr:rowOff>28575</xdr:rowOff>
              </from>
              <to>
                <xdr:col>16</xdr:col>
                <xdr:colOff>676275</xdr:colOff>
                <xdr:row>1068</xdr:row>
                <xdr:rowOff>47625</xdr:rowOff>
              </to>
            </anchor>
          </objectPr>
        </oleObject>
      </mc:Choice>
      <mc:Fallback>
        <oleObject progId="Equation.3" shapeId="3169" r:id="rId56"/>
      </mc:Fallback>
    </mc:AlternateContent>
    <mc:AlternateContent xmlns:mc="http://schemas.openxmlformats.org/markup-compatibility/2006">
      <mc:Choice Requires="x14">
        <oleObject progId="Equation.3" shapeId="3173" r:id="rId58">
          <objectPr defaultSize="0" autoPict="0" r:id="rId59">
            <anchor moveWithCells="1">
              <from>
                <xdr:col>4</xdr:col>
                <xdr:colOff>0</xdr:colOff>
                <xdr:row>1045</xdr:row>
                <xdr:rowOff>28575</xdr:rowOff>
              </from>
              <to>
                <xdr:col>16</xdr:col>
                <xdr:colOff>104775</xdr:colOff>
                <xdr:row>1048</xdr:row>
                <xdr:rowOff>28575</xdr:rowOff>
              </to>
            </anchor>
          </objectPr>
        </oleObject>
      </mc:Choice>
      <mc:Fallback>
        <oleObject progId="Equation.3" shapeId="3173" r:id="rId58"/>
      </mc:Fallback>
    </mc:AlternateContent>
    <mc:AlternateContent xmlns:mc="http://schemas.openxmlformats.org/markup-compatibility/2006">
      <mc:Choice Requires="x14">
        <oleObject progId="Equation.3" shapeId="3174" r:id="rId60">
          <objectPr defaultSize="0" autoPict="0" r:id="rId61">
            <anchor moveWithCells="1">
              <from>
                <xdr:col>4</xdr:col>
                <xdr:colOff>0</xdr:colOff>
                <xdr:row>1050</xdr:row>
                <xdr:rowOff>28575</xdr:rowOff>
              </from>
              <to>
                <xdr:col>16</xdr:col>
                <xdr:colOff>390525</xdr:colOff>
                <xdr:row>1053</xdr:row>
                <xdr:rowOff>47625</xdr:rowOff>
              </to>
            </anchor>
          </objectPr>
        </oleObject>
      </mc:Choice>
      <mc:Fallback>
        <oleObject progId="Equation.3" shapeId="3174" r:id="rId60"/>
      </mc:Fallback>
    </mc:AlternateContent>
    <mc:AlternateContent xmlns:mc="http://schemas.openxmlformats.org/markup-compatibility/2006">
      <mc:Choice Requires="x14">
        <oleObject progId="Equation.3" shapeId="3178" r:id="rId62">
          <objectPr defaultSize="0" autoPict="0" r:id="rId63">
            <anchor moveWithCells="1">
              <from>
                <xdr:col>4</xdr:col>
                <xdr:colOff>0</xdr:colOff>
                <xdr:row>1070</xdr:row>
                <xdr:rowOff>28575</xdr:rowOff>
              </from>
              <to>
                <xdr:col>12</xdr:col>
                <xdr:colOff>409575</xdr:colOff>
                <xdr:row>1073</xdr:row>
                <xdr:rowOff>47625</xdr:rowOff>
              </to>
            </anchor>
          </objectPr>
        </oleObject>
      </mc:Choice>
      <mc:Fallback>
        <oleObject progId="Equation.3" shapeId="3178" r:id="rId62"/>
      </mc:Fallback>
    </mc:AlternateContent>
    <mc:AlternateContent xmlns:mc="http://schemas.openxmlformats.org/markup-compatibility/2006">
      <mc:Choice Requires="x14">
        <oleObject progId="Equation.3" shapeId="3188" r:id="rId64">
          <objectPr defaultSize="0" autoPict="0" r:id="rId65">
            <anchor moveWithCells="1">
              <from>
                <xdr:col>19</xdr:col>
                <xdr:colOff>0</xdr:colOff>
                <xdr:row>1053</xdr:row>
                <xdr:rowOff>28575</xdr:rowOff>
              </from>
              <to>
                <xdr:col>32</xdr:col>
                <xdr:colOff>419100</xdr:colOff>
                <xdr:row>1056</xdr:row>
                <xdr:rowOff>28575</xdr:rowOff>
              </to>
            </anchor>
          </objectPr>
        </oleObject>
      </mc:Choice>
      <mc:Fallback>
        <oleObject progId="Equation.3" shapeId="3188" r:id="rId64"/>
      </mc:Fallback>
    </mc:AlternateContent>
    <mc:AlternateContent xmlns:mc="http://schemas.openxmlformats.org/markup-compatibility/2006">
      <mc:Choice Requires="x14">
        <oleObject progId="Equation.3" shapeId="3192" r:id="rId66">
          <objectPr defaultSize="0" autoPict="0" r:id="rId67">
            <anchor moveWithCells="1">
              <from>
                <xdr:col>21</xdr:col>
                <xdr:colOff>28575</xdr:colOff>
                <xdr:row>1022</xdr:row>
                <xdr:rowOff>47625</xdr:rowOff>
              </from>
              <to>
                <xdr:col>32</xdr:col>
                <xdr:colOff>266700</xdr:colOff>
                <xdr:row>1024</xdr:row>
                <xdr:rowOff>142875</xdr:rowOff>
              </to>
            </anchor>
          </objectPr>
        </oleObject>
      </mc:Choice>
      <mc:Fallback>
        <oleObject progId="Equation.3" shapeId="3192" r:id="rId66"/>
      </mc:Fallback>
    </mc:AlternateContent>
    <mc:AlternateContent xmlns:mc="http://schemas.openxmlformats.org/markup-compatibility/2006">
      <mc:Choice Requires="x14">
        <oleObject progId="Equation.3" shapeId="3220" r:id="rId68">
          <objectPr defaultSize="0" autoPict="0" r:id="rId69">
            <anchor moveWithCells="1">
              <from>
                <xdr:col>33</xdr:col>
                <xdr:colOff>0</xdr:colOff>
                <xdr:row>1017</xdr:row>
                <xdr:rowOff>28575</xdr:rowOff>
              </from>
              <to>
                <xdr:col>36</xdr:col>
                <xdr:colOff>161925</xdr:colOff>
                <xdr:row>1020</xdr:row>
                <xdr:rowOff>28575</xdr:rowOff>
              </to>
            </anchor>
          </objectPr>
        </oleObject>
      </mc:Choice>
      <mc:Fallback>
        <oleObject progId="Equation.3" shapeId="3220" r:id="rId68"/>
      </mc:Fallback>
    </mc:AlternateContent>
    <mc:AlternateContent xmlns:mc="http://schemas.openxmlformats.org/markup-compatibility/2006">
      <mc:Choice Requires="x14">
        <oleObject progId="Equation.3" shapeId="3222" r:id="rId70">
          <objectPr defaultSize="0" autoPict="0" r:id="rId71">
            <anchor moveWithCells="1">
              <from>
                <xdr:col>33</xdr:col>
                <xdr:colOff>0</xdr:colOff>
                <xdr:row>1014</xdr:row>
                <xdr:rowOff>0</xdr:rowOff>
              </from>
              <to>
                <xdr:col>36</xdr:col>
                <xdr:colOff>695325</xdr:colOff>
                <xdr:row>1017</xdr:row>
                <xdr:rowOff>0</xdr:rowOff>
              </to>
            </anchor>
          </objectPr>
        </oleObject>
      </mc:Choice>
      <mc:Fallback>
        <oleObject progId="Equation.3" shapeId="3222" r:id="rId70"/>
      </mc:Fallback>
    </mc:AlternateContent>
    <mc:AlternateContent xmlns:mc="http://schemas.openxmlformats.org/markup-compatibility/2006">
      <mc:Choice Requires="x14">
        <oleObject progId="Equation.3" shapeId="3223" r:id="rId72">
          <objectPr defaultSize="0" autoPict="0" r:id="rId73">
            <anchor moveWithCells="1">
              <from>
                <xdr:col>33</xdr:col>
                <xdr:colOff>0</xdr:colOff>
                <xdr:row>1020</xdr:row>
                <xdr:rowOff>47625</xdr:rowOff>
              </from>
              <to>
                <xdr:col>35</xdr:col>
                <xdr:colOff>142875</xdr:colOff>
                <xdr:row>1023</xdr:row>
                <xdr:rowOff>47625</xdr:rowOff>
              </to>
            </anchor>
          </objectPr>
        </oleObject>
      </mc:Choice>
      <mc:Fallback>
        <oleObject progId="Equation.3" shapeId="3223" r:id="rId72"/>
      </mc:Fallback>
    </mc:AlternateContent>
    <mc:AlternateContent xmlns:mc="http://schemas.openxmlformats.org/markup-compatibility/2006">
      <mc:Choice Requires="x14">
        <oleObject progId="Equation.3" shapeId="3225" r:id="rId74">
          <objectPr defaultSize="0" autoPict="0" r:id="rId75">
            <anchor moveWithCells="1">
              <from>
                <xdr:col>33</xdr:col>
                <xdr:colOff>0</xdr:colOff>
                <xdr:row>1023</xdr:row>
                <xdr:rowOff>66675</xdr:rowOff>
              </from>
              <to>
                <xdr:col>36</xdr:col>
                <xdr:colOff>47625</xdr:colOff>
                <xdr:row>1026</xdr:row>
                <xdr:rowOff>66675</xdr:rowOff>
              </to>
            </anchor>
          </objectPr>
        </oleObject>
      </mc:Choice>
      <mc:Fallback>
        <oleObject progId="Equation.3" shapeId="3225" r:id="rId74"/>
      </mc:Fallback>
    </mc:AlternateContent>
    <mc:AlternateContent xmlns:mc="http://schemas.openxmlformats.org/markup-compatibility/2006">
      <mc:Choice Requires="x14">
        <oleObject progId="Equation.3" shapeId="3281" r:id="rId76">
          <objectPr defaultSize="0" autoPict="0" r:id="rId77">
            <anchor moveWithCells="1">
              <from>
                <xdr:col>19</xdr:col>
                <xdr:colOff>0</xdr:colOff>
                <xdr:row>1048</xdr:row>
                <xdr:rowOff>28575</xdr:rowOff>
              </from>
              <to>
                <xdr:col>34</xdr:col>
                <xdr:colOff>352425</xdr:colOff>
                <xdr:row>1051</xdr:row>
                <xdr:rowOff>85725</xdr:rowOff>
              </to>
            </anchor>
          </objectPr>
        </oleObject>
      </mc:Choice>
      <mc:Fallback>
        <oleObject progId="Equation.3" shapeId="3281" r:id="rId76"/>
      </mc:Fallback>
    </mc:AlternateContent>
  </oleObjec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Feuil8">
    <pageSetUpPr fitToPage="1"/>
  </sheetPr>
  <dimension ref="A1:M81"/>
  <sheetViews>
    <sheetView showGridLines="0" zoomScaleNormal="100" workbookViewId="0">
      <selection activeCell="E13" sqref="E13"/>
    </sheetView>
  </sheetViews>
  <sheetFormatPr baseColWidth="10" defaultRowHeight="12.75" x14ac:dyDescent="0.2"/>
  <cols>
    <col min="1" max="1" width="2.140625" customWidth="1"/>
    <col min="2" max="2" width="16.140625" customWidth="1"/>
    <col min="3" max="4" width="11.42578125" customWidth="1"/>
  </cols>
  <sheetData>
    <row r="1" spans="1:13" x14ac:dyDescent="0.2">
      <c r="A1" s="51"/>
      <c r="B1" s="52"/>
      <c r="C1" s="53"/>
      <c r="D1" s="52"/>
      <c r="E1" s="72"/>
      <c r="F1" s="72"/>
      <c r="G1" s="72"/>
      <c r="H1" s="72"/>
      <c r="I1" s="72"/>
      <c r="J1" s="72"/>
      <c r="K1" s="72"/>
      <c r="L1" s="72"/>
      <c r="M1" s="73"/>
    </row>
    <row r="2" spans="1:13" ht="12.75" customHeight="1" x14ac:dyDescent="0.2">
      <c r="A2" s="56"/>
      <c r="B2" s="2"/>
      <c r="C2" s="542" t="s">
        <v>281</v>
      </c>
      <c r="D2" s="542"/>
      <c r="M2" s="75"/>
    </row>
    <row r="3" spans="1:13" ht="12.75" customHeight="1" x14ac:dyDescent="0.2">
      <c r="A3" s="56"/>
      <c r="B3" s="2"/>
      <c r="C3" s="542"/>
      <c r="D3" s="542"/>
      <c r="M3" s="75"/>
    </row>
    <row r="4" spans="1:13" x14ac:dyDescent="0.2">
      <c r="A4" s="56"/>
      <c r="B4" s="2"/>
      <c r="C4" s="547" t="str">
        <f>IF(Lang="Français","Abaques de performance",IF(Lang="English","Performance charts",""))</f>
        <v>Abaques de performance</v>
      </c>
      <c r="D4" s="547"/>
      <c r="M4" s="75"/>
    </row>
    <row r="5" spans="1:13" x14ac:dyDescent="0.2">
      <c r="A5" s="56"/>
      <c r="B5" s="2"/>
      <c r="C5" s="547" t="str">
        <f>IF(Lang="Français","Calcul analytique simple",IF(Lang="English","Analytical computation",""))</f>
        <v>Calcul analytique simple</v>
      </c>
      <c r="D5" s="547"/>
      <c r="M5" s="75"/>
    </row>
    <row r="6" spans="1:13" x14ac:dyDescent="0.2">
      <c r="A6" s="56"/>
      <c r="B6" s="87"/>
      <c r="C6" s="1"/>
      <c r="D6" s="1"/>
      <c r="M6" s="75"/>
    </row>
    <row r="7" spans="1:13" x14ac:dyDescent="0.2">
      <c r="A7" s="59"/>
      <c r="B7" s="6"/>
      <c r="C7" s="543" t="str">
        <f>IF(Lang="Français","Fusée",IF(Lang="English","Rocket",""))</f>
        <v>Fusée</v>
      </c>
      <c r="D7" s="543"/>
      <c r="M7" s="75"/>
    </row>
    <row r="8" spans="1:13" ht="15.75" x14ac:dyDescent="0.25">
      <c r="A8" s="59"/>
      <c r="B8" s="140" t="str">
        <f>IF(Lang="Français","Nom",IF(Lang="English","Name",""))</f>
        <v>Nom</v>
      </c>
      <c r="C8" s="544" t="str">
        <f>Nom</f>
        <v>SP02</v>
      </c>
      <c r="D8" s="544"/>
      <c r="M8" s="75"/>
    </row>
    <row r="9" spans="1:13" ht="15.75" x14ac:dyDescent="0.25">
      <c r="A9" s="59"/>
      <c r="B9" s="140" t="s">
        <v>4</v>
      </c>
      <c r="C9" s="544" t="str">
        <f>Club</f>
        <v>L'AéroIPSA</v>
      </c>
      <c r="D9" s="544"/>
      <c r="M9" s="75"/>
    </row>
    <row r="10" spans="1:13" ht="15.75" x14ac:dyDescent="0.25">
      <c r="A10" s="59"/>
      <c r="B10" s="140" t="s">
        <v>562</v>
      </c>
      <c r="C10" s="666" t="str">
        <f>Matricule</f>
        <v>FX0</v>
      </c>
      <c r="D10" s="667"/>
      <c r="M10" s="75"/>
    </row>
    <row r="11" spans="1:13" x14ac:dyDescent="0.2">
      <c r="A11" s="59"/>
      <c r="B11" s="140" t="str">
        <f>IF(Lang="Français","Masse sans propu",IF(Lang="English","Mass without M",""))</f>
        <v>Masse sans propu</v>
      </c>
      <c r="C11" s="662">
        <f>MasseSans</f>
        <v>4.3410000000000002</v>
      </c>
      <c r="D11" s="662"/>
      <c r="M11" s="75"/>
    </row>
    <row r="12" spans="1:13" x14ac:dyDescent="0.2">
      <c r="A12" s="59"/>
      <c r="B12" s="140" t="str">
        <f>IF(Lang="Français","Masse totale",IF(Lang="English","Total mass",""))</f>
        <v>Masse totale</v>
      </c>
      <c r="C12" s="665" t="str">
        <f ca="1">MassePlein &amp; " kg ±" &amp; MasseSans &amp; " kg"</f>
        <v>4,3411 kg ±4,341 kg</v>
      </c>
      <c r="D12" s="665"/>
      <c r="M12" s="75"/>
    </row>
    <row r="13" spans="1:13" x14ac:dyDescent="0.2">
      <c r="A13" s="59"/>
      <c r="B13" s="227" t="str">
        <f>IF(Lang="Français","Propulseur",IF(Lang="English","Motor",""))</f>
        <v>Propulseur</v>
      </c>
      <c r="C13" s="572" t="str">
        <f>Propu</f>
        <v>Aucun (2e ét. inerte)</v>
      </c>
      <c r="D13" s="573"/>
      <c r="M13" s="75"/>
    </row>
    <row r="14" spans="1:13" x14ac:dyDescent="0.2">
      <c r="A14" s="59"/>
      <c r="B14" s="1"/>
      <c r="C14" s="1"/>
      <c r="D14" s="1"/>
      <c r="M14" s="75"/>
    </row>
    <row r="15" spans="1:13" x14ac:dyDescent="0.2">
      <c r="A15" s="74"/>
      <c r="C15" s="543" t="str">
        <f>IF(Lang="Français","Traînée Aérdynamique",IF(Lang="English","Drag",""))</f>
        <v>Traînée Aérdynamique</v>
      </c>
      <c r="D15" s="543"/>
      <c r="M15" s="75"/>
    </row>
    <row r="16" spans="1:13" x14ac:dyDescent="0.2">
      <c r="A16" s="74"/>
      <c r="B16" s="139" t="str">
        <f>IF(Lang="Français","Diamètre Ø",IF(Lang="English","Diameter Ø",""))</f>
        <v>Diamètre Ø</v>
      </c>
      <c r="C16" s="663">
        <f>D_ref</f>
        <v>104</v>
      </c>
      <c r="D16" s="663"/>
      <c r="M16" s="75"/>
    </row>
    <row r="17" spans="1:13" x14ac:dyDescent="0.2">
      <c r="A17" s="74"/>
      <c r="B17" s="140" t="s">
        <v>5</v>
      </c>
      <c r="C17" s="664">
        <f>Cx</f>
        <v>0.6</v>
      </c>
      <c r="D17" s="664"/>
      <c r="M17" s="75"/>
    </row>
    <row r="18" spans="1:13" x14ac:dyDescent="0.2">
      <c r="A18" s="74"/>
      <c r="M18" s="75"/>
    </row>
    <row r="19" spans="1:13" x14ac:dyDescent="0.2">
      <c r="A19" s="74"/>
      <c r="M19" s="75"/>
    </row>
    <row r="20" spans="1:13" x14ac:dyDescent="0.2">
      <c r="A20" s="74"/>
      <c r="M20" s="75"/>
    </row>
    <row r="21" spans="1:13" x14ac:dyDescent="0.2">
      <c r="A21" s="74"/>
      <c r="M21" s="75"/>
    </row>
    <row r="22" spans="1:13" x14ac:dyDescent="0.2">
      <c r="A22" s="74"/>
      <c r="M22" s="75"/>
    </row>
    <row r="23" spans="1:13" x14ac:dyDescent="0.2">
      <c r="A23" s="74"/>
      <c r="M23" s="75"/>
    </row>
    <row r="24" spans="1:13" x14ac:dyDescent="0.2">
      <c r="A24" s="74"/>
      <c r="M24" s="75"/>
    </row>
    <row r="25" spans="1:13" x14ac:dyDescent="0.2">
      <c r="A25" s="74"/>
      <c r="M25" s="75"/>
    </row>
    <row r="26" spans="1:13" x14ac:dyDescent="0.2">
      <c r="A26" s="74"/>
      <c r="M26" s="75"/>
    </row>
    <row r="27" spans="1:13" x14ac:dyDescent="0.2">
      <c r="A27" s="74"/>
      <c r="M27" s="75"/>
    </row>
    <row r="28" spans="1:13" x14ac:dyDescent="0.2">
      <c r="A28" s="74"/>
      <c r="M28" s="75"/>
    </row>
    <row r="29" spans="1:13" x14ac:dyDescent="0.2">
      <c r="A29" s="74"/>
      <c r="M29" s="75"/>
    </row>
    <row r="30" spans="1:13" x14ac:dyDescent="0.2">
      <c r="A30" s="74"/>
      <c r="M30" s="75"/>
    </row>
    <row r="31" spans="1:13" x14ac:dyDescent="0.2">
      <c r="A31" s="74"/>
      <c r="M31" s="75"/>
    </row>
    <row r="32" spans="1:13" x14ac:dyDescent="0.2">
      <c r="A32" s="74"/>
      <c r="M32" s="75"/>
    </row>
    <row r="33" spans="1:13" x14ac:dyDescent="0.2">
      <c r="A33" s="74"/>
      <c r="M33" s="75"/>
    </row>
    <row r="34" spans="1:13" x14ac:dyDescent="0.2">
      <c r="A34" s="74"/>
      <c r="M34" s="75"/>
    </row>
    <row r="35" spans="1:13" x14ac:dyDescent="0.2">
      <c r="A35" s="74"/>
      <c r="M35" s="75"/>
    </row>
    <row r="36" spans="1:13" x14ac:dyDescent="0.2">
      <c r="A36" s="74"/>
      <c r="M36" s="75"/>
    </row>
    <row r="37" spans="1:13" ht="13.5" thickBot="1" x14ac:dyDescent="0.25">
      <c r="A37" s="77"/>
      <c r="B37" s="78"/>
      <c r="C37" s="78"/>
      <c r="D37" s="78"/>
      <c r="E37" s="78"/>
      <c r="F37" s="78"/>
      <c r="G37" s="78"/>
      <c r="H37" s="78"/>
      <c r="I37" s="78"/>
      <c r="J37" s="78"/>
      <c r="K37" s="78"/>
      <c r="L37" s="78"/>
      <c r="M37" s="79"/>
    </row>
    <row r="41" spans="1:13" x14ac:dyDescent="0.2">
      <c r="B41" s="419" t="s">
        <v>61</v>
      </c>
      <c r="C41" s="170" t="s">
        <v>285</v>
      </c>
      <c r="D41" s="134" t="s">
        <v>282</v>
      </c>
      <c r="E41" s="134" t="s">
        <v>286</v>
      </c>
      <c r="F41" s="134" t="s">
        <v>287</v>
      </c>
      <c r="G41" s="134" t="s">
        <v>13</v>
      </c>
      <c r="H41" s="134" t="s">
        <v>283</v>
      </c>
      <c r="I41" s="134" t="s">
        <v>284</v>
      </c>
      <c r="J41" s="134" t="s">
        <v>299</v>
      </c>
      <c r="K41" s="134" t="s">
        <v>300</v>
      </c>
      <c r="L41" s="134" t="s">
        <v>302</v>
      </c>
      <c r="M41" s="134" t="s">
        <v>290</v>
      </c>
    </row>
    <row r="42" spans="1:13" x14ac:dyDescent="0.2">
      <c r="B42" s="420" t="s">
        <v>291</v>
      </c>
      <c r="C42" s="170" t="s">
        <v>292</v>
      </c>
      <c r="D42" s="134" t="s">
        <v>293</v>
      </c>
      <c r="E42" s="134" t="s">
        <v>294</v>
      </c>
      <c r="F42" s="134" t="s">
        <v>295</v>
      </c>
      <c r="G42" s="134" t="s">
        <v>296</v>
      </c>
      <c r="H42" s="134" t="s">
        <v>297</v>
      </c>
      <c r="I42" s="134" t="s">
        <v>298</v>
      </c>
      <c r="J42" s="134" t="s">
        <v>288</v>
      </c>
      <c r="K42" s="134" t="s">
        <v>289</v>
      </c>
      <c r="L42" s="134"/>
      <c r="M42" s="134"/>
    </row>
    <row r="43" spans="1:13" x14ac:dyDescent="0.2">
      <c r="B43" s="425">
        <f t="shared" ref="B43:B51" ca="1" si="0">MAX(D_ref*0.5, Diam_propu)</f>
        <v>52</v>
      </c>
      <c r="C43" s="403">
        <f t="shared" ref="C43:C69" ca="1" si="1">1/2*Rho_moyen*PI()*D_var^2/4*Cx/10^6</f>
        <v>7.804658629313125E-4</v>
      </c>
      <c r="D43" s="400">
        <f ca="1">MpropuPlein+0*MasseSans</f>
        <v>1E-4</v>
      </c>
      <c r="E43" s="400">
        <f t="shared" ref="E43:E69" ca="1" si="2">m_var - 0.5*m_poudre</f>
        <v>5.0000000000000002E-5</v>
      </c>
      <c r="F43" s="400">
        <f t="shared" ref="F43:F69" ca="1" si="3">m_var - m_poudre</f>
        <v>0</v>
      </c>
      <c r="G43" s="407">
        <f t="shared" ref="G43:G69" ca="1" si="4">MAX(0, (I_total/Temps_fin_propu)/m_prop-g)</f>
        <v>10.19</v>
      </c>
      <c r="H43" s="406">
        <f t="shared" ref="H43:H69" ca="1" si="5">Q_var/m_prop</f>
        <v>15.609317258626248</v>
      </c>
      <c r="I43" s="403" t="e">
        <f t="shared" ref="I43:I69" ca="1" si="6">Q_var/m_bal</f>
        <v>#DIV/0!</v>
      </c>
      <c r="J43" s="403">
        <f t="shared" ref="J43:J69" ca="1" si="7">1/(2*b_prop)*LN(  ((EXP(2*SQRT(a_prop*b_prop)*Temps_fin_propu)+1)^2)  /  (((1+1)^2)*EXP(2*SQRT(a_prop*b_prop)*Temps_fin_propu)))</f>
        <v>0.7635638288956943</v>
      </c>
      <c r="K43" s="410">
        <f t="shared" ref="K43:K69" ca="1" si="8">SQRT(a_prop/b_prop)  *  (EXP(2*SQRT(a_prop*b_prop)*Temps_fin_propu)-1)/(EXP(2*SQRT(a_prop*b_prop)*Temps_fin_propu)+1)</f>
        <v>0.80796981852254368</v>
      </c>
      <c r="L43" s="413" t="e">
        <f t="shared" ref="L43:L69" ca="1" si="9">alt_prop + 1/(2*b_bal) * LN(1+b_bal/g*V_prop^2)</f>
        <v>#DIV/0!</v>
      </c>
      <c r="M43" s="416" t="e">
        <f t="shared" ref="M43:M69" ca="1" si="10">Temps_fin_propu + ATAN(SQRT(b_bal/g)*V_prop)/SQRT(b_bal*g)</f>
        <v>#DIV/0!</v>
      </c>
    </row>
    <row r="44" spans="1:13" x14ac:dyDescent="0.2">
      <c r="B44" s="426">
        <f t="shared" ca="1" si="0"/>
        <v>52</v>
      </c>
      <c r="C44" s="404">
        <f t="shared" ca="1" si="1"/>
        <v>7.804658629313125E-4</v>
      </c>
      <c r="D44" s="401">
        <f ca="1">MpropuPlein+0.25*MasseSans</f>
        <v>1.08535</v>
      </c>
      <c r="E44" s="401">
        <f t="shared" ca="1" si="2"/>
        <v>1.0852999999999999</v>
      </c>
      <c r="F44" s="401">
        <f t="shared" ca="1" si="3"/>
        <v>1.08525</v>
      </c>
      <c r="G44" s="408">
        <f t="shared" ca="1" si="4"/>
        <v>0</v>
      </c>
      <c r="H44" s="404">
        <f t="shared" ca="1" si="5"/>
        <v>7.1912453969530323E-4</v>
      </c>
      <c r="I44" s="404">
        <f t="shared" ca="1" si="6"/>
        <v>7.1915767144096977E-4</v>
      </c>
      <c r="J44" s="404">
        <f t="shared" ca="1" si="7"/>
        <v>0</v>
      </c>
      <c r="K44" s="411">
        <f t="shared" ca="1" si="8"/>
        <v>0</v>
      </c>
      <c r="L44" s="414">
        <f t="shared" ca="1" si="9"/>
        <v>0</v>
      </c>
      <c r="M44" s="417">
        <f t="shared" ca="1" si="10"/>
        <v>1</v>
      </c>
    </row>
    <row r="45" spans="1:13" x14ac:dyDescent="0.2">
      <c r="B45" s="426">
        <f t="shared" ca="1" si="0"/>
        <v>52</v>
      </c>
      <c r="C45" s="404">
        <f t="shared" ca="1" si="1"/>
        <v>7.804658629313125E-4</v>
      </c>
      <c r="D45" s="401">
        <f ca="1">MpropuPlein+0.5*MasseSans</f>
        <v>2.1706000000000003</v>
      </c>
      <c r="E45" s="401">
        <f t="shared" ca="1" si="2"/>
        <v>2.1705500000000004</v>
      </c>
      <c r="F45" s="401">
        <f t="shared" ca="1" si="3"/>
        <v>2.1705000000000001</v>
      </c>
      <c r="G45" s="408">
        <f t="shared" ca="1" si="4"/>
        <v>0</v>
      </c>
      <c r="H45" s="404">
        <f t="shared" ca="1" si="5"/>
        <v>3.5957055259326545E-4</v>
      </c>
      <c r="I45" s="404">
        <f t="shared" ca="1" si="6"/>
        <v>3.5957883572048489E-4</v>
      </c>
      <c r="J45" s="404">
        <f t="shared" ca="1" si="7"/>
        <v>0</v>
      </c>
      <c r="K45" s="411">
        <f t="shared" ca="1" si="8"/>
        <v>0</v>
      </c>
      <c r="L45" s="414">
        <f t="shared" ca="1" si="9"/>
        <v>0</v>
      </c>
      <c r="M45" s="417">
        <f t="shared" ca="1" si="10"/>
        <v>1</v>
      </c>
    </row>
    <row r="46" spans="1:13" x14ac:dyDescent="0.2">
      <c r="B46" s="426">
        <f t="shared" ca="1" si="0"/>
        <v>52</v>
      </c>
      <c r="C46" s="404">
        <f t="shared" ca="1" si="1"/>
        <v>7.804658629313125E-4</v>
      </c>
      <c r="D46" s="401">
        <f ca="1">MpropuPlein+0.75*MasseSans</f>
        <v>3.2558500000000001</v>
      </c>
      <c r="E46" s="401">
        <f t="shared" ca="1" si="2"/>
        <v>3.2558000000000002</v>
      </c>
      <c r="F46" s="401">
        <f t="shared" ca="1" si="3"/>
        <v>3.2557499999999999</v>
      </c>
      <c r="G46" s="408">
        <f t="shared" ca="1" si="4"/>
        <v>0</v>
      </c>
      <c r="H46" s="404">
        <f t="shared" ca="1" si="5"/>
        <v>2.3971554239551337E-4</v>
      </c>
      <c r="I46" s="404">
        <f t="shared" ca="1" si="6"/>
        <v>2.397192238136566E-4</v>
      </c>
      <c r="J46" s="404">
        <f t="shared" ca="1" si="7"/>
        <v>0</v>
      </c>
      <c r="K46" s="411">
        <f t="shared" ca="1" si="8"/>
        <v>0</v>
      </c>
      <c r="L46" s="414">
        <f t="shared" ca="1" si="9"/>
        <v>0</v>
      </c>
      <c r="M46" s="417">
        <f t="shared" ca="1" si="10"/>
        <v>1</v>
      </c>
    </row>
    <row r="47" spans="1:13" x14ac:dyDescent="0.2">
      <c r="B47" s="426">
        <f t="shared" ca="1" si="0"/>
        <v>52</v>
      </c>
      <c r="C47" s="404">
        <f t="shared" ca="1" si="1"/>
        <v>7.804658629313125E-4</v>
      </c>
      <c r="D47" s="401">
        <f ca="1">MpropuPlein+1*MasseSans</f>
        <v>4.3411</v>
      </c>
      <c r="E47" s="401">
        <f t="shared" ca="1" si="2"/>
        <v>4.3410500000000001</v>
      </c>
      <c r="F47" s="401">
        <f t="shared" ca="1" si="3"/>
        <v>4.3410000000000002</v>
      </c>
      <c r="G47" s="408">
        <f t="shared" ca="1" si="4"/>
        <v>0</v>
      </c>
      <c r="H47" s="404">
        <f t="shared" ca="1" si="5"/>
        <v>1.7978734705458645E-4</v>
      </c>
      <c r="I47" s="404">
        <f t="shared" ca="1" si="6"/>
        <v>1.7978941786024244E-4</v>
      </c>
      <c r="J47" s="404">
        <f t="shared" ca="1" si="7"/>
        <v>0</v>
      </c>
      <c r="K47" s="411">
        <f t="shared" ca="1" si="8"/>
        <v>0</v>
      </c>
      <c r="L47" s="414">
        <f t="shared" ca="1" si="9"/>
        <v>0</v>
      </c>
      <c r="M47" s="417">
        <f t="shared" ca="1" si="10"/>
        <v>1</v>
      </c>
    </row>
    <row r="48" spans="1:13" x14ac:dyDescent="0.2">
      <c r="B48" s="426">
        <f t="shared" ca="1" si="0"/>
        <v>52</v>
      </c>
      <c r="C48" s="404">
        <f t="shared" ca="1" si="1"/>
        <v>7.804658629313125E-4</v>
      </c>
      <c r="D48" s="401">
        <f ca="1">MpropuPlein+1.25*MasseSans</f>
        <v>5.4263500000000002</v>
      </c>
      <c r="E48" s="401">
        <f t="shared" ca="1" si="2"/>
        <v>5.4263000000000003</v>
      </c>
      <c r="F48" s="401">
        <f t="shared" ca="1" si="3"/>
        <v>5.4262500000000005</v>
      </c>
      <c r="G48" s="408">
        <f t="shared" ca="1" si="4"/>
        <v>0</v>
      </c>
      <c r="H48" s="404">
        <f t="shared" ca="1" si="5"/>
        <v>1.4383020896952111E-4</v>
      </c>
      <c r="I48" s="404">
        <f t="shared" ca="1" si="6"/>
        <v>1.4383153428819395E-4</v>
      </c>
      <c r="J48" s="404">
        <f t="shared" ca="1" si="7"/>
        <v>0</v>
      </c>
      <c r="K48" s="411">
        <f t="shared" ca="1" si="8"/>
        <v>0</v>
      </c>
      <c r="L48" s="414">
        <f t="shared" ca="1" si="9"/>
        <v>0</v>
      </c>
      <c r="M48" s="417">
        <f t="shared" ca="1" si="10"/>
        <v>1</v>
      </c>
    </row>
    <row r="49" spans="2:13" x14ac:dyDescent="0.2">
      <c r="B49" s="426">
        <f t="shared" ca="1" si="0"/>
        <v>52</v>
      </c>
      <c r="C49" s="404">
        <f t="shared" ca="1" si="1"/>
        <v>7.804658629313125E-4</v>
      </c>
      <c r="D49" s="401">
        <f ca="1">MpropuPlein+1.5*MasseSans</f>
        <v>6.5115999999999996</v>
      </c>
      <c r="E49" s="401">
        <f t="shared" ca="1" si="2"/>
        <v>6.5115499999999997</v>
      </c>
      <c r="F49" s="401">
        <f t="shared" ca="1" si="3"/>
        <v>6.5114999999999998</v>
      </c>
      <c r="G49" s="408">
        <f t="shared" ca="1" si="4"/>
        <v>0</v>
      </c>
      <c r="H49" s="404">
        <f t="shared" ca="1" si="5"/>
        <v>1.1985869154522541E-4</v>
      </c>
      <c r="I49" s="404">
        <f t="shared" ca="1" si="6"/>
        <v>1.198596119068283E-4</v>
      </c>
      <c r="J49" s="404">
        <f t="shared" ca="1" si="7"/>
        <v>0</v>
      </c>
      <c r="K49" s="411">
        <f t="shared" ca="1" si="8"/>
        <v>0</v>
      </c>
      <c r="L49" s="414">
        <f t="shared" ca="1" si="9"/>
        <v>0</v>
      </c>
      <c r="M49" s="417">
        <f t="shared" ca="1" si="10"/>
        <v>1</v>
      </c>
    </row>
    <row r="50" spans="2:13" x14ac:dyDescent="0.2">
      <c r="B50" s="426">
        <f t="shared" ca="1" si="0"/>
        <v>52</v>
      </c>
      <c r="C50" s="404">
        <f t="shared" ca="1" si="1"/>
        <v>7.804658629313125E-4</v>
      </c>
      <c r="D50" s="401">
        <f ca="1">MpropuPlein+1.75*MasseSans</f>
        <v>7.5968499999999999</v>
      </c>
      <c r="E50" s="401">
        <f t="shared" ca="1" si="2"/>
        <v>7.5968</v>
      </c>
      <c r="F50" s="401">
        <f t="shared" ca="1" si="3"/>
        <v>7.5967500000000001</v>
      </c>
      <c r="G50" s="408">
        <f t="shared" ca="1" si="4"/>
        <v>0</v>
      </c>
      <c r="H50" s="404">
        <f t="shared" ca="1" si="5"/>
        <v>1.0273613402107631E-4</v>
      </c>
      <c r="I50" s="404">
        <f t="shared" ca="1" si="6"/>
        <v>1.0273681020585283E-4</v>
      </c>
      <c r="J50" s="404">
        <f t="shared" ca="1" si="7"/>
        <v>0</v>
      </c>
      <c r="K50" s="411">
        <f t="shared" ca="1" si="8"/>
        <v>0</v>
      </c>
      <c r="L50" s="414">
        <f t="shared" ca="1" si="9"/>
        <v>0</v>
      </c>
      <c r="M50" s="417">
        <f t="shared" ca="1" si="10"/>
        <v>1</v>
      </c>
    </row>
    <row r="51" spans="2:13" x14ac:dyDescent="0.2">
      <c r="B51" s="427">
        <f t="shared" ca="1" si="0"/>
        <v>52</v>
      </c>
      <c r="C51" s="405">
        <f t="shared" ca="1" si="1"/>
        <v>7.804658629313125E-4</v>
      </c>
      <c r="D51" s="402">
        <f ca="1">MpropuPlein+2*MasseSans</f>
        <v>8.6821000000000002</v>
      </c>
      <c r="E51" s="402">
        <f t="shared" ca="1" si="2"/>
        <v>8.6820500000000003</v>
      </c>
      <c r="F51" s="402">
        <f t="shared" ca="1" si="3"/>
        <v>8.6820000000000004</v>
      </c>
      <c r="G51" s="409">
        <f t="shared" ca="1" si="4"/>
        <v>0</v>
      </c>
      <c r="H51" s="405">
        <f t="shared" ca="1" si="5"/>
        <v>8.9894191225725782E-5</v>
      </c>
      <c r="I51" s="405">
        <f t="shared" ca="1" si="6"/>
        <v>8.9894708930121222E-5</v>
      </c>
      <c r="J51" s="405">
        <f t="shared" ca="1" si="7"/>
        <v>0</v>
      </c>
      <c r="K51" s="412">
        <f t="shared" ca="1" si="8"/>
        <v>0</v>
      </c>
      <c r="L51" s="415">
        <f t="shared" ca="1" si="9"/>
        <v>0</v>
      </c>
      <c r="M51" s="418">
        <f t="shared" ca="1" si="10"/>
        <v>1</v>
      </c>
    </row>
    <row r="52" spans="2:13" x14ac:dyDescent="0.2">
      <c r="B52" s="425">
        <f t="shared" ref="B52:B60" si="11">D_ref</f>
        <v>104</v>
      </c>
      <c r="C52" s="403">
        <f t="shared" si="1"/>
        <v>3.12186345172525E-3</v>
      </c>
      <c r="D52" s="400">
        <f ca="1">MpropuPlein+0*MasseSans</f>
        <v>1E-4</v>
      </c>
      <c r="E52" s="400">
        <f t="shared" ca="1" si="2"/>
        <v>5.0000000000000002E-5</v>
      </c>
      <c r="F52" s="400">
        <f t="shared" ca="1" si="3"/>
        <v>0</v>
      </c>
      <c r="G52" s="407">
        <f t="shared" ca="1" si="4"/>
        <v>10.19</v>
      </c>
      <c r="H52" s="403">
        <f t="shared" ca="1" si="5"/>
        <v>62.437269034504993</v>
      </c>
      <c r="I52" s="403" t="e">
        <f t="shared" ca="1" si="6"/>
        <v>#DIV/0!</v>
      </c>
      <c r="J52" s="403">
        <f t="shared" ca="1" si="7"/>
        <v>0.39288341185886755</v>
      </c>
      <c r="K52" s="410">
        <f t="shared" ca="1" si="8"/>
        <v>0.40398490927024355</v>
      </c>
      <c r="L52" s="413" t="e">
        <f t="shared" ca="1" si="9"/>
        <v>#DIV/0!</v>
      </c>
      <c r="M52" s="416" t="e">
        <f t="shared" ca="1" si="10"/>
        <v>#DIV/0!</v>
      </c>
    </row>
    <row r="53" spans="2:13" x14ac:dyDescent="0.2">
      <c r="B53" s="426">
        <f t="shared" si="11"/>
        <v>104</v>
      </c>
      <c r="C53" s="404">
        <f t="shared" si="1"/>
        <v>3.12186345172525E-3</v>
      </c>
      <c r="D53" s="401">
        <f ca="1">MpropuPlein+0.25*MasseSans</f>
        <v>1.08535</v>
      </c>
      <c r="E53" s="401">
        <f t="shared" ca="1" si="2"/>
        <v>1.0852999999999999</v>
      </c>
      <c r="F53" s="401">
        <f t="shared" ca="1" si="3"/>
        <v>1.08525</v>
      </c>
      <c r="G53" s="408">
        <f t="shared" ca="1" si="4"/>
        <v>0</v>
      </c>
      <c r="H53" s="404">
        <f t="shared" ca="1" si="5"/>
        <v>2.8764981587812129E-3</v>
      </c>
      <c r="I53" s="404">
        <f t="shared" ca="1" si="6"/>
        <v>2.8766306857638791E-3</v>
      </c>
      <c r="J53" s="404">
        <f t="shared" ca="1" si="7"/>
        <v>0</v>
      </c>
      <c r="K53" s="411">
        <f t="shared" ca="1" si="8"/>
        <v>0</v>
      </c>
      <c r="L53" s="414">
        <f t="shared" ca="1" si="9"/>
        <v>0</v>
      </c>
      <c r="M53" s="417">
        <f t="shared" ca="1" si="10"/>
        <v>1</v>
      </c>
    </row>
    <row r="54" spans="2:13" x14ac:dyDescent="0.2">
      <c r="B54" s="426">
        <f t="shared" si="11"/>
        <v>104</v>
      </c>
      <c r="C54" s="404">
        <f t="shared" si="1"/>
        <v>3.12186345172525E-3</v>
      </c>
      <c r="D54" s="401">
        <f ca="1">MpropuPlein+0.5*MasseSans</f>
        <v>2.1706000000000003</v>
      </c>
      <c r="E54" s="401">
        <f t="shared" ca="1" si="2"/>
        <v>2.1705500000000004</v>
      </c>
      <c r="F54" s="401">
        <f t="shared" ca="1" si="3"/>
        <v>2.1705000000000001</v>
      </c>
      <c r="G54" s="408">
        <f t="shared" ca="1" si="4"/>
        <v>0</v>
      </c>
      <c r="H54" s="404">
        <f t="shared" ca="1" si="5"/>
        <v>1.4382822103730618E-3</v>
      </c>
      <c r="I54" s="404">
        <f t="shared" ca="1" si="6"/>
        <v>1.4383153428819395E-3</v>
      </c>
      <c r="J54" s="404">
        <f t="shared" ca="1" si="7"/>
        <v>0</v>
      </c>
      <c r="K54" s="411">
        <f t="shared" ca="1" si="8"/>
        <v>0</v>
      </c>
      <c r="L54" s="414">
        <f t="shared" ca="1" si="9"/>
        <v>0</v>
      </c>
      <c r="M54" s="417">
        <f t="shared" ca="1" si="10"/>
        <v>1</v>
      </c>
    </row>
    <row r="55" spans="2:13" x14ac:dyDescent="0.2">
      <c r="B55" s="426">
        <f t="shared" si="11"/>
        <v>104</v>
      </c>
      <c r="C55" s="404">
        <f t="shared" si="1"/>
        <v>3.12186345172525E-3</v>
      </c>
      <c r="D55" s="401">
        <f ca="1">MpropuPlein+0.75*MasseSans</f>
        <v>3.2558500000000001</v>
      </c>
      <c r="E55" s="401">
        <f t="shared" ca="1" si="2"/>
        <v>3.2558000000000002</v>
      </c>
      <c r="F55" s="401">
        <f t="shared" ca="1" si="3"/>
        <v>3.2557499999999999</v>
      </c>
      <c r="G55" s="408">
        <f t="shared" ca="1" si="4"/>
        <v>0</v>
      </c>
      <c r="H55" s="404">
        <f t="shared" ca="1" si="5"/>
        <v>9.5886216958205347E-4</v>
      </c>
      <c r="I55" s="404">
        <f t="shared" ca="1" si="6"/>
        <v>9.588768952546264E-4</v>
      </c>
      <c r="J55" s="404">
        <f t="shared" ca="1" si="7"/>
        <v>0</v>
      </c>
      <c r="K55" s="411">
        <f t="shared" ca="1" si="8"/>
        <v>0</v>
      </c>
      <c r="L55" s="414">
        <f t="shared" ca="1" si="9"/>
        <v>0</v>
      </c>
      <c r="M55" s="417">
        <f t="shared" ca="1" si="10"/>
        <v>1</v>
      </c>
    </row>
    <row r="56" spans="2:13" x14ac:dyDescent="0.2">
      <c r="B56" s="426">
        <f t="shared" si="11"/>
        <v>104</v>
      </c>
      <c r="C56" s="404">
        <f t="shared" si="1"/>
        <v>3.12186345172525E-3</v>
      </c>
      <c r="D56" s="401">
        <f ca="1">MpropuPlein+1*MasseSans</f>
        <v>4.3411</v>
      </c>
      <c r="E56" s="401">
        <f t="shared" ca="1" si="2"/>
        <v>4.3410500000000001</v>
      </c>
      <c r="F56" s="401">
        <f t="shared" ca="1" si="3"/>
        <v>4.3410000000000002</v>
      </c>
      <c r="G56" s="408">
        <f t="shared" ca="1" si="4"/>
        <v>0</v>
      </c>
      <c r="H56" s="404">
        <f t="shared" ca="1" si="5"/>
        <v>7.191493882183458E-4</v>
      </c>
      <c r="I56" s="404">
        <f t="shared" ca="1" si="6"/>
        <v>7.1915767144096977E-4</v>
      </c>
      <c r="J56" s="404">
        <f t="shared" ca="1" si="7"/>
        <v>0</v>
      </c>
      <c r="K56" s="411">
        <f t="shared" ca="1" si="8"/>
        <v>0</v>
      </c>
      <c r="L56" s="414">
        <f t="shared" ca="1" si="9"/>
        <v>0</v>
      </c>
      <c r="M56" s="417">
        <f t="shared" ca="1" si="10"/>
        <v>1</v>
      </c>
    </row>
    <row r="57" spans="2:13" x14ac:dyDescent="0.2">
      <c r="B57" s="426">
        <f t="shared" si="11"/>
        <v>104</v>
      </c>
      <c r="C57" s="404">
        <f t="shared" si="1"/>
        <v>3.12186345172525E-3</v>
      </c>
      <c r="D57" s="401">
        <f ca="1">MpropuPlein+1.25*MasseSans</f>
        <v>5.4263500000000002</v>
      </c>
      <c r="E57" s="401">
        <f t="shared" ca="1" si="2"/>
        <v>5.4263000000000003</v>
      </c>
      <c r="F57" s="401">
        <f t="shared" ca="1" si="3"/>
        <v>5.4262500000000005</v>
      </c>
      <c r="G57" s="408">
        <f t="shared" ca="1" si="4"/>
        <v>0</v>
      </c>
      <c r="H57" s="404">
        <f t="shared" ca="1" si="5"/>
        <v>5.7532083587808446E-4</v>
      </c>
      <c r="I57" s="404">
        <f t="shared" ca="1" si="6"/>
        <v>5.7532613715277582E-4</v>
      </c>
      <c r="J57" s="404">
        <f t="shared" ca="1" si="7"/>
        <v>0</v>
      </c>
      <c r="K57" s="411">
        <f t="shared" ca="1" si="8"/>
        <v>0</v>
      </c>
      <c r="L57" s="414">
        <f t="shared" ca="1" si="9"/>
        <v>0</v>
      </c>
      <c r="M57" s="417">
        <f t="shared" ca="1" si="10"/>
        <v>1</v>
      </c>
    </row>
    <row r="58" spans="2:13" x14ac:dyDescent="0.2">
      <c r="B58" s="426">
        <f t="shared" si="11"/>
        <v>104</v>
      </c>
      <c r="C58" s="404">
        <f t="shared" si="1"/>
        <v>3.12186345172525E-3</v>
      </c>
      <c r="D58" s="401">
        <f ca="1">MpropuPlein+1.5*MasseSans</f>
        <v>6.5115999999999996</v>
      </c>
      <c r="E58" s="401">
        <f t="shared" ca="1" si="2"/>
        <v>6.5115499999999997</v>
      </c>
      <c r="F58" s="401">
        <f t="shared" ca="1" si="3"/>
        <v>6.5114999999999998</v>
      </c>
      <c r="G58" s="408">
        <f t="shared" ca="1" si="4"/>
        <v>0</v>
      </c>
      <c r="H58" s="404">
        <f t="shared" ca="1" si="5"/>
        <v>4.7943476618090165E-4</v>
      </c>
      <c r="I58" s="404">
        <f t="shared" ca="1" si="6"/>
        <v>4.794384476273132E-4</v>
      </c>
      <c r="J58" s="404">
        <f t="shared" ca="1" si="7"/>
        <v>0</v>
      </c>
      <c r="K58" s="411">
        <f t="shared" ca="1" si="8"/>
        <v>0</v>
      </c>
      <c r="L58" s="414">
        <f t="shared" ca="1" si="9"/>
        <v>0</v>
      </c>
      <c r="M58" s="417">
        <f t="shared" ca="1" si="10"/>
        <v>1</v>
      </c>
    </row>
    <row r="59" spans="2:13" x14ac:dyDescent="0.2">
      <c r="B59" s="426">
        <f t="shared" si="11"/>
        <v>104</v>
      </c>
      <c r="C59" s="404">
        <f t="shared" si="1"/>
        <v>3.12186345172525E-3</v>
      </c>
      <c r="D59" s="401">
        <f ca="1">MpropuPlein+1.75*MasseSans</f>
        <v>7.5968499999999999</v>
      </c>
      <c r="E59" s="401">
        <f t="shared" ca="1" si="2"/>
        <v>7.5968</v>
      </c>
      <c r="F59" s="401">
        <f t="shared" ca="1" si="3"/>
        <v>7.5967500000000001</v>
      </c>
      <c r="G59" s="408">
        <f t="shared" ca="1" si="4"/>
        <v>0</v>
      </c>
      <c r="H59" s="404">
        <f t="shared" ca="1" si="5"/>
        <v>4.1094453608430526E-4</v>
      </c>
      <c r="I59" s="404">
        <f t="shared" ca="1" si="6"/>
        <v>4.1094724082341134E-4</v>
      </c>
      <c r="J59" s="404">
        <f t="shared" ca="1" si="7"/>
        <v>0</v>
      </c>
      <c r="K59" s="411">
        <f t="shared" ca="1" si="8"/>
        <v>0</v>
      </c>
      <c r="L59" s="414">
        <f t="shared" ca="1" si="9"/>
        <v>0</v>
      </c>
      <c r="M59" s="417">
        <f t="shared" ca="1" si="10"/>
        <v>1</v>
      </c>
    </row>
    <row r="60" spans="2:13" x14ac:dyDescent="0.2">
      <c r="B60" s="427">
        <f t="shared" si="11"/>
        <v>104</v>
      </c>
      <c r="C60" s="405">
        <f t="shared" si="1"/>
        <v>3.12186345172525E-3</v>
      </c>
      <c r="D60" s="402">
        <f ca="1">MpropuPlein+2*MasseSans</f>
        <v>8.6821000000000002</v>
      </c>
      <c r="E60" s="402">
        <f t="shared" ca="1" si="2"/>
        <v>8.6820500000000003</v>
      </c>
      <c r="F60" s="402">
        <f t="shared" ca="1" si="3"/>
        <v>8.6820000000000004</v>
      </c>
      <c r="G60" s="409">
        <f t="shared" ca="1" si="4"/>
        <v>0</v>
      </c>
      <c r="H60" s="405">
        <f t="shared" ca="1" si="5"/>
        <v>3.5957676490290313E-4</v>
      </c>
      <c r="I60" s="405">
        <f t="shared" ca="1" si="6"/>
        <v>3.5957883572048489E-4</v>
      </c>
      <c r="J60" s="405">
        <f t="shared" ca="1" si="7"/>
        <v>0</v>
      </c>
      <c r="K60" s="412">
        <f t="shared" ca="1" si="8"/>
        <v>0</v>
      </c>
      <c r="L60" s="415">
        <f t="shared" ca="1" si="9"/>
        <v>0</v>
      </c>
      <c r="M60" s="418">
        <f t="shared" ca="1" si="10"/>
        <v>1</v>
      </c>
    </row>
    <row r="61" spans="2:13" x14ac:dyDescent="0.2">
      <c r="B61" s="425">
        <f t="shared" ref="B61:B69" si="12">D_ref*1.5</f>
        <v>156</v>
      </c>
      <c r="C61" s="403">
        <f t="shared" si="1"/>
        <v>7.0241927663818107E-3</v>
      </c>
      <c r="D61" s="400">
        <f ca="1">MpropuPlein+0*MasseSans</f>
        <v>1E-4</v>
      </c>
      <c r="E61" s="400">
        <f t="shared" ca="1" si="2"/>
        <v>5.0000000000000002E-5</v>
      </c>
      <c r="F61" s="400">
        <f t="shared" ca="1" si="3"/>
        <v>0</v>
      </c>
      <c r="G61" s="407">
        <f t="shared" ca="1" si="4"/>
        <v>10.19</v>
      </c>
      <c r="H61" s="403">
        <f t="shared" ca="1" si="5"/>
        <v>140.48385532763621</v>
      </c>
      <c r="I61" s="403" t="e">
        <f t="shared" ca="1" si="6"/>
        <v>#DIV/0!</v>
      </c>
      <c r="J61" s="403">
        <f t="shared" ca="1" si="7"/>
        <v>0.26438927399732864</v>
      </c>
      <c r="K61" s="410">
        <f t="shared" ca="1" si="8"/>
        <v>0.26932327284682905</v>
      </c>
      <c r="L61" s="413" t="e">
        <f t="shared" ca="1" si="9"/>
        <v>#DIV/0!</v>
      </c>
      <c r="M61" s="416" t="e">
        <f t="shared" ca="1" si="10"/>
        <v>#DIV/0!</v>
      </c>
    </row>
    <row r="62" spans="2:13" x14ac:dyDescent="0.2">
      <c r="B62" s="426">
        <f t="shared" si="12"/>
        <v>156</v>
      </c>
      <c r="C62" s="404">
        <f t="shared" si="1"/>
        <v>7.0241927663818107E-3</v>
      </c>
      <c r="D62" s="401">
        <f ca="1">MpropuPlein+0.25*MasseSans</f>
        <v>1.08535</v>
      </c>
      <c r="E62" s="401">
        <f t="shared" ca="1" si="2"/>
        <v>1.0852999999999999</v>
      </c>
      <c r="F62" s="401">
        <f t="shared" ca="1" si="3"/>
        <v>1.08525</v>
      </c>
      <c r="G62" s="408">
        <f t="shared" ca="1" si="4"/>
        <v>0</v>
      </c>
      <c r="H62" s="404">
        <f t="shared" ca="1" si="5"/>
        <v>6.4721208572577271E-3</v>
      </c>
      <c r="I62" s="404">
        <f t="shared" ca="1" si="6"/>
        <v>6.4724190429687268E-3</v>
      </c>
      <c r="J62" s="404">
        <f t="shared" ca="1" si="7"/>
        <v>0</v>
      </c>
      <c r="K62" s="411">
        <f t="shared" ca="1" si="8"/>
        <v>0</v>
      </c>
      <c r="L62" s="414">
        <f t="shared" ca="1" si="9"/>
        <v>0</v>
      </c>
      <c r="M62" s="417">
        <f t="shared" ca="1" si="10"/>
        <v>1</v>
      </c>
    </row>
    <row r="63" spans="2:13" x14ac:dyDescent="0.2">
      <c r="B63" s="426">
        <f t="shared" si="12"/>
        <v>156</v>
      </c>
      <c r="C63" s="404">
        <f t="shared" si="1"/>
        <v>7.0241927663818107E-3</v>
      </c>
      <c r="D63" s="401">
        <f ca="1">MpropuPlein+0.5*MasseSans</f>
        <v>2.1706000000000003</v>
      </c>
      <c r="E63" s="401">
        <f t="shared" ca="1" si="2"/>
        <v>2.1705500000000004</v>
      </c>
      <c r="F63" s="401">
        <f t="shared" ca="1" si="3"/>
        <v>2.1705000000000001</v>
      </c>
      <c r="G63" s="408">
        <f t="shared" ca="1" si="4"/>
        <v>0</v>
      </c>
      <c r="H63" s="404">
        <f t="shared" ca="1" si="5"/>
        <v>3.2361349733393881E-3</v>
      </c>
      <c r="I63" s="404">
        <f t="shared" ca="1" si="6"/>
        <v>3.2362095214843634E-3</v>
      </c>
      <c r="J63" s="404">
        <f t="shared" ca="1" si="7"/>
        <v>0</v>
      </c>
      <c r="K63" s="411">
        <f t="shared" ca="1" si="8"/>
        <v>0</v>
      </c>
      <c r="L63" s="414">
        <f t="shared" ca="1" si="9"/>
        <v>0</v>
      </c>
      <c r="M63" s="417">
        <f t="shared" ca="1" si="10"/>
        <v>1</v>
      </c>
    </row>
    <row r="64" spans="2:13" x14ac:dyDescent="0.2">
      <c r="B64" s="426">
        <f t="shared" si="12"/>
        <v>156</v>
      </c>
      <c r="C64" s="404">
        <f t="shared" si="1"/>
        <v>7.0241927663818107E-3</v>
      </c>
      <c r="D64" s="401">
        <f ca="1">MpropuPlein+0.75*MasseSans</f>
        <v>3.2558500000000001</v>
      </c>
      <c r="E64" s="401">
        <f t="shared" ca="1" si="2"/>
        <v>3.2558000000000002</v>
      </c>
      <c r="F64" s="401">
        <f t="shared" ca="1" si="3"/>
        <v>3.2557499999999999</v>
      </c>
      <c r="G64" s="408">
        <f t="shared" ca="1" si="4"/>
        <v>0</v>
      </c>
      <c r="H64" s="404">
        <f t="shared" ca="1" si="5"/>
        <v>2.1574398815596197E-3</v>
      </c>
      <c r="I64" s="404">
        <f t="shared" ca="1" si="6"/>
        <v>2.1574730143229088E-3</v>
      </c>
      <c r="J64" s="404">
        <f t="shared" ca="1" si="7"/>
        <v>0</v>
      </c>
      <c r="K64" s="411">
        <f t="shared" ca="1" si="8"/>
        <v>0</v>
      </c>
      <c r="L64" s="414">
        <f t="shared" ca="1" si="9"/>
        <v>0</v>
      </c>
      <c r="M64" s="417">
        <f t="shared" ca="1" si="10"/>
        <v>1</v>
      </c>
    </row>
    <row r="65" spans="2:13" x14ac:dyDescent="0.2">
      <c r="B65" s="426">
        <f t="shared" si="12"/>
        <v>156</v>
      </c>
      <c r="C65" s="404">
        <f t="shared" si="1"/>
        <v>7.0241927663818107E-3</v>
      </c>
      <c r="D65" s="401">
        <f ca="1">MpropuPlein+1*MasseSans</f>
        <v>4.3411</v>
      </c>
      <c r="E65" s="401">
        <f t="shared" ca="1" si="2"/>
        <v>4.3410500000000001</v>
      </c>
      <c r="F65" s="401">
        <f t="shared" ca="1" si="3"/>
        <v>4.3410000000000002</v>
      </c>
      <c r="G65" s="408">
        <f t="shared" ca="1" si="4"/>
        <v>0</v>
      </c>
      <c r="H65" s="404">
        <f t="shared" ca="1" si="5"/>
        <v>1.6180861234912777E-3</v>
      </c>
      <c r="I65" s="404">
        <f t="shared" ca="1" si="6"/>
        <v>1.6181047607421817E-3</v>
      </c>
      <c r="J65" s="404">
        <f t="shared" ca="1" si="7"/>
        <v>0</v>
      </c>
      <c r="K65" s="411">
        <f t="shared" ca="1" si="8"/>
        <v>0</v>
      </c>
      <c r="L65" s="414">
        <f t="shared" ca="1" si="9"/>
        <v>0</v>
      </c>
      <c r="M65" s="417">
        <f t="shared" ca="1" si="10"/>
        <v>1</v>
      </c>
    </row>
    <row r="66" spans="2:13" x14ac:dyDescent="0.2">
      <c r="B66" s="426">
        <f t="shared" si="12"/>
        <v>156</v>
      </c>
      <c r="C66" s="404">
        <f t="shared" si="1"/>
        <v>7.0241927663818107E-3</v>
      </c>
      <c r="D66" s="401">
        <f ca="1">MpropuPlein+1.25*MasseSans</f>
        <v>5.4263500000000002</v>
      </c>
      <c r="E66" s="401">
        <f t="shared" ca="1" si="2"/>
        <v>5.4263000000000003</v>
      </c>
      <c r="F66" s="401">
        <f t="shared" ca="1" si="3"/>
        <v>5.4262500000000005</v>
      </c>
      <c r="G66" s="408">
        <f t="shared" ca="1" si="4"/>
        <v>0</v>
      </c>
      <c r="H66" s="404">
        <f t="shared" ca="1" si="5"/>
        <v>1.2944718807256898E-3</v>
      </c>
      <c r="I66" s="404">
        <f t="shared" ca="1" si="6"/>
        <v>1.2944838085937453E-3</v>
      </c>
      <c r="J66" s="404">
        <f t="shared" ca="1" si="7"/>
        <v>0</v>
      </c>
      <c r="K66" s="411">
        <f t="shared" ca="1" si="8"/>
        <v>0</v>
      </c>
      <c r="L66" s="414">
        <f t="shared" ca="1" si="9"/>
        <v>0</v>
      </c>
      <c r="M66" s="417">
        <f t="shared" ca="1" si="10"/>
        <v>1</v>
      </c>
    </row>
    <row r="67" spans="2:13" x14ac:dyDescent="0.2">
      <c r="B67" s="426">
        <f t="shared" si="12"/>
        <v>156</v>
      </c>
      <c r="C67" s="404">
        <f t="shared" si="1"/>
        <v>7.0241927663818107E-3</v>
      </c>
      <c r="D67" s="401">
        <f ca="1">MpropuPlein+1.5*MasseSans</f>
        <v>6.5115999999999996</v>
      </c>
      <c r="E67" s="401">
        <f t="shared" ca="1" si="2"/>
        <v>6.5115499999999997</v>
      </c>
      <c r="F67" s="401">
        <f t="shared" ca="1" si="3"/>
        <v>6.5114999999999998</v>
      </c>
      <c r="G67" s="408">
        <f t="shared" ca="1" si="4"/>
        <v>0</v>
      </c>
      <c r="H67" s="404">
        <f t="shared" ca="1" si="5"/>
        <v>1.0787282239070285E-3</v>
      </c>
      <c r="I67" s="404">
        <f t="shared" ca="1" si="6"/>
        <v>1.0787365071614544E-3</v>
      </c>
      <c r="J67" s="404">
        <f t="shared" ca="1" si="7"/>
        <v>0</v>
      </c>
      <c r="K67" s="411">
        <f t="shared" ca="1" si="8"/>
        <v>0</v>
      </c>
      <c r="L67" s="414">
        <f t="shared" ca="1" si="9"/>
        <v>0</v>
      </c>
      <c r="M67" s="417">
        <f t="shared" ca="1" si="10"/>
        <v>1</v>
      </c>
    </row>
    <row r="68" spans="2:13" x14ac:dyDescent="0.2">
      <c r="B68" s="426">
        <f t="shared" si="12"/>
        <v>156</v>
      </c>
      <c r="C68" s="404">
        <f t="shared" si="1"/>
        <v>7.0241927663818107E-3</v>
      </c>
      <c r="D68" s="401">
        <f ca="1">MpropuPlein+1.75*MasseSans</f>
        <v>7.5968499999999999</v>
      </c>
      <c r="E68" s="401">
        <f t="shared" ca="1" si="2"/>
        <v>7.5968</v>
      </c>
      <c r="F68" s="401">
        <f t="shared" ca="1" si="3"/>
        <v>7.5967500000000001</v>
      </c>
      <c r="G68" s="408">
        <f t="shared" ca="1" si="4"/>
        <v>0</v>
      </c>
      <c r="H68" s="404">
        <f t="shared" ca="1" si="5"/>
        <v>9.2462520618968652E-4</v>
      </c>
      <c r="I68" s="404">
        <f t="shared" ca="1" si="6"/>
        <v>9.2463129185267525E-4</v>
      </c>
      <c r="J68" s="404">
        <f t="shared" ca="1" si="7"/>
        <v>0</v>
      </c>
      <c r="K68" s="411">
        <f t="shared" ca="1" si="8"/>
        <v>0</v>
      </c>
      <c r="L68" s="414">
        <f t="shared" ca="1" si="9"/>
        <v>0</v>
      </c>
      <c r="M68" s="417">
        <f t="shared" ca="1" si="10"/>
        <v>1</v>
      </c>
    </row>
    <row r="69" spans="2:13" x14ac:dyDescent="0.2">
      <c r="B69" s="427">
        <f t="shared" si="12"/>
        <v>156</v>
      </c>
      <c r="C69" s="405">
        <f t="shared" si="1"/>
        <v>7.0241927663818107E-3</v>
      </c>
      <c r="D69" s="402">
        <f ca="1">MpropuPlein+2*MasseSans</f>
        <v>8.6821000000000002</v>
      </c>
      <c r="E69" s="402">
        <f t="shared" ca="1" si="2"/>
        <v>8.6820500000000003</v>
      </c>
      <c r="F69" s="402">
        <f t="shared" ca="1" si="3"/>
        <v>8.6820000000000004</v>
      </c>
      <c r="G69" s="409">
        <f t="shared" ca="1" si="4"/>
        <v>0</v>
      </c>
      <c r="H69" s="405">
        <f t="shared" ca="1" si="5"/>
        <v>8.0904772103153181E-4</v>
      </c>
      <c r="I69" s="405">
        <f t="shared" ca="1" si="6"/>
        <v>8.0905238037109084E-4</v>
      </c>
      <c r="J69" s="405">
        <f t="shared" ca="1" si="7"/>
        <v>0</v>
      </c>
      <c r="K69" s="412">
        <f t="shared" ca="1" si="8"/>
        <v>0</v>
      </c>
      <c r="L69" s="415">
        <f t="shared" ca="1" si="9"/>
        <v>0</v>
      </c>
      <c r="M69" s="418">
        <f t="shared" ca="1" si="10"/>
        <v>1</v>
      </c>
    </row>
    <row r="73" spans="2:13" x14ac:dyDescent="0.2">
      <c r="B73" s="24" t="str">
        <f>IF(Lang="Français","Textes pour les graphiques :","Texts for graphics :")</f>
        <v>Textes pour les graphiques :</v>
      </c>
    </row>
    <row r="75" spans="2:13" x14ac:dyDescent="0.2">
      <c r="B75" t="str">
        <f>IF(Lang="Français","Masse totale",IF(Lang="English","Total Mass",""))</f>
        <v>Masse totale</v>
      </c>
    </row>
    <row r="76" spans="2:13" x14ac:dyDescent="0.2">
      <c r="B76" t="str">
        <f>IF(Lang="Français","Vitesse max",IF(Lang="English","Max Velocity",""))</f>
        <v>Vitesse max</v>
      </c>
    </row>
    <row r="77" spans="2:13" x14ac:dyDescent="0.2">
      <c r="B77" t="str">
        <f>Abaco!$B$76 &amp; " / " &amp; Abaco!$B$75</f>
        <v>Vitesse max / Masse totale</v>
      </c>
    </row>
    <row r="78" spans="2:13" x14ac:dyDescent="0.2">
      <c r="B78" t="str">
        <f>IF(Lang="Français","Altitude max",IF(Lang="English","Max Altitude",""))</f>
        <v>Altitude max</v>
      </c>
    </row>
    <row r="79" spans="2:13" x14ac:dyDescent="0.2">
      <c r="B79" t="str">
        <f>Abaco!$B$78 &amp; " / " &amp; Abaco!$B$75</f>
        <v>Altitude max / Masse totale</v>
      </c>
    </row>
    <row r="80" spans="2:13" x14ac:dyDescent="0.2">
      <c r="B80" t="str">
        <f>IF(Lang="Français","Temps de culmination",IF(Lang="English","Apogee time",""))</f>
        <v>Temps de culmination</v>
      </c>
    </row>
    <row r="81" spans="2:2" x14ac:dyDescent="0.2">
      <c r="B81" t="str">
        <f>Abaco!$B$80 &amp; " / " &amp; Abaco!$B$75</f>
        <v>Temps de culmination / Masse totale</v>
      </c>
    </row>
  </sheetData>
  <sheetProtection algorithmName="SHA-512" hashValue="+PTrTvch0rD/oo5wbJAiLSXEwsZuHYCw11E5jJpN7UFv8bqEgAVA+seu72dez5dZDB7fUdwejfBNAFZdr7g5pg==" saltValue="gnM8LKYZzdY29Fufgy5vJQ==" spinCount="100000" sheet="1"/>
  <mergeCells count="13">
    <mergeCell ref="C10:D10"/>
    <mergeCell ref="C9:D9"/>
    <mergeCell ref="C2:D3"/>
    <mergeCell ref="C4:D4"/>
    <mergeCell ref="C5:D5"/>
    <mergeCell ref="C7:D7"/>
    <mergeCell ref="C8:D8"/>
    <mergeCell ref="C11:D11"/>
    <mergeCell ref="C13:D13"/>
    <mergeCell ref="C15:D15"/>
    <mergeCell ref="C16:D16"/>
    <mergeCell ref="C17:D17"/>
    <mergeCell ref="C12:D12"/>
  </mergeCells>
  <dataValidations count="3">
    <dataValidation type="decimal" errorStyle="warning" showErrorMessage="1" errorTitle="Cx" error="Le Cx est souvent compris entre 0 et 1._x000a_Cx may be between 0 &amp; 1." sqref="C17:D17" xr:uid="{00000000-0002-0000-0500-000000000000}">
      <formula1>0</formula1>
      <formula2>1</formula2>
    </dataValidation>
    <dataValidation operator="greaterThanOrEqual" sqref="C11:D12" xr:uid="{00000000-0002-0000-0500-000001000000}"/>
    <dataValidation sqref="C13:D13" xr:uid="{00000000-0002-0000-0500-000002000000}"/>
  </dataValidations>
  <hyperlinks>
    <hyperlink ref="B13" location="Stabilito!C17" display="Stabilito!C17" xr:uid="{00000000-0004-0000-0500-000000000000}"/>
  </hyperlinks>
  <pageMargins left="0.70866141732283472" right="0.70866141732283472" top="0.74803149606299213" bottom="0.74803149606299213" header="0.31496062992125984" footer="0.31496062992125984"/>
  <pageSetup paperSize="9" scale="92" orientation="landscape" r:id="rId1"/>
  <drawing r:id="rId2"/>
  <legacyDrawing r:id="rId3"/>
  <oleObjects>
    <mc:AlternateContent xmlns:mc="http://schemas.openxmlformats.org/markup-compatibility/2006">
      <mc:Choice Requires="x14">
        <oleObject progId="Equation.3" shapeId="2604101" r:id="rId4">
          <objectPr defaultSize="0" autoPict="0" r:id="rId5">
            <anchor moveWithCells="1">
              <from>
                <xdr:col>8</xdr:col>
                <xdr:colOff>390525</xdr:colOff>
                <xdr:row>70</xdr:row>
                <xdr:rowOff>28575</xdr:rowOff>
              </from>
              <to>
                <xdr:col>12</xdr:col>
                <xdr:colOff>904875</xdr:colOff>
                <xdr:row>87</xdr:row>
                <xdr:rowOff>9525</xdr:rowOff>
              </to>
            </anchor>
          </objectPr>
        </oleObject>
      </mc:Choice>
      <mc:Fallback>
        <oleObject progId="Equation.3" shapeId="2604101" r:id="rId4"/>
      </mc:Fallback>
    </mc:AlternateContent>
  </oleObjects>
  <mc:AlternateContent xmlns:mc="http://schemas.openxmlformats.org/markup-compatibility/2006">
    <mc:Choice Requires="x14">
      <controls>
        <mc:AlternateContent xmlns:mc="http://schemas.openxmlformats.org/markup-compatibility/2006">
          <mc:Choice Requires="x14">
            <control shapeId="2604063" r:id="rId6" name="Spinner 31">
              <controlPr defaultSize="0" print="0" autoPict="0">
                <anchor moveWithCells="1" sizeWithCells="1">
                  <from>
                    <xdr:col>3</xdr:col>
                    <xdr:colOff>657225</xdr:colOff>
                    <xdr:row>9</xdr:row>
                    <xdr:rowOff>200025</xdr:rowOff>
                  </from>
                  <to>
                    <xdr:col>4</xdr:col>
                    <xdr:colOff>0</xdr:colOff>
                    <xdr:row>11</xdr:row>
                    <xdr:rowOff>0</xdr:rowOff>
                  </to>
                </anchor>
              </controlPr>
            </control>
          </mc:Choice>
        </mc:AlternateContent>
        <mc:AlternateContent xmlns:mc="http://schemas.openxmlformats.org/markup-compatibility/2006">
          <mc:Choice Requires="x14">
            <control shapeId="2604202" r:id="rId7" name="Spinner 170">
              <controlPr defaultSize="0" print="0" autoPict="0">
                <anchor moveWithCells="1" sizeWithCells="1">
                  <from>
                    <xdr:col>3</xdr:col>
                    <xdr:colOff>657225</xdr:colOff>
                    <xdr:row>11</xdr:row>
                    <xdr:rowOff>0</xdr:rowOff>
                  </from>
                  <to>
                    <xdr:col>4</xdr:col>
                    <xdr:colOff>0</xdr:colOff>
                    <xdr:row>12</xdr:row>
                    <xdr:rowOff>0</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Feuil6">
    <pageSetUpPr fitToPage="1"/>
  </sheetPr>
  <dimension ref="C2:H61"/>
  <sheetViews>
    <sheetView showGridLines="0" topLeftCell="A31" workbookViewId="0">
      <selection activeCell="G46" sqref="G46"/>
    </sheetView>
  </sheetViews>
  <sheetFormatPr baseColWidth="10" defaultRowHeight="12.75" x14ac:dyDescent="0.2"/>
  <cols>
    <col min="1" max="1" width="2.140625" customWidth="1"/>
    <col min="2" max="2" width="16.140625" customWidth="1"/>
    <col min="3" max="4" width="13.5703125" customWidth="1"/>
  </cols>
  <sheetData>
    <row r="2" spans="3:8" x14ac:dyDescent="0.2">
      <c r="C2" s="542" t="s">
        <v>178</v>
      </c>
      <c r="D2" s="542"/>
    </row>
    <row r="3" spans="3:8" x14ac:dyDescent="0.2">
      <c r="C3" s="542"/>
      <c r="D3" s="542"/>
    </row>
    <row r="5" spans="3:8" x14ac:dyDescent="0.2">
      <c r="C5" s="13" t="str">
        <f>IF(Lang="Français","Stabilité de fusée à ailerons","Stability of finned rocket")</f>
        <v>Stabilité de fusée à ailerons</v>
      </c>
    </row>
    <row r="6" spans="3:8" x14ac:dyDescent="0.2">
      <c r="C6" s="2" t="str">
        <f>IF(Lang="Français","Calculs de Stabilité basés sur les équations de Barrowman","Stability calculs are based on Barrowman equations")</f>
        <v>Calculs de Stabilité basés sur les équations de Barrowman</v>
      </c>
    </row>
    <row r="7" spans="3:8" x14ac:dyDescent="0.2">
      <c r="C7" s="13" t="str">
        <f>IF(Lang="Français","Trajectographie de fusée","Rocket Trajectography")</f>
        <v>Trajectographie de fusée</v>
      </c>
    </row>
    <row r="8" spans="3:8" x14ac:dyDescent="0.2">
      <c r="C8" s="2" t="str">
        <f>IF(Lang="Français","Trajectoire dans un plan par calcul pas à pas","Trajectory in a plane, step by step computation")</f>
        <v>Trajectoire dans un plan par calcul pas à pas</v>
      </c>
    </row>
    <row r="9" spans="3:8" x14ac:dyDescent="0.2">
      <c r="C9" s="2"/>
    </row>
    <row r="10" spans="3:8" x14ac:dyDescent="0.2">
      <c r="C10" s="14" t="str">
        <f>IF(Lang="Français","Documentation et équations :","Documentation and equations are aviable in french:")</f>
        <v>Documentation et équations :</v>
      </c>
    </row>
    <row r="11" spans="3:8" x14ac:dyDescent="0.2">
      <c r="C11" t="str">
        <f>IF(Lang="Français","voir le dossier technique Planète-Sciences ''Le Vol de la Fusée, Stabilité &amp; Trajectographie''","dossier technique Planète-Sciences ''Le Vol de la Fusée, Stabilité &amp; Trajectographie''")</f>
        <v>voir le dossier technique Planète-Sciences ''Le Vol de la Fusée, Stabilité &amp; Trajectographie''</v>
      </c>
    </row>
    <row r="12" spans="3:8" x14ac:dyDescent="0.2">
      <c r="C12" t="str">
        <f>IF(Lang="Français","Néanmoins, les équations d'intégration du mouvement utilisées sont légèrement différentes !","")</f>
        <v>Néanmoins, les équations d'intégration du mouvement utilisées sont légèrement différentes !</v>
      </c>
    </row>
    <row r="13" spans="3:8" x14ac:dyDescent="0.2">
      <c r="C13" t="str">
        <f>IF(Lang="Français","Logiciels et dossier technique téléchargeables sur :","Softwares and french documentation can be downloaded at:")</f>
        <v>Logiciels et dossier technique téléchargeables sur :</v>
      </c>
      <c r="H13" s="15" t="s">
        <v>39</v>
      </c>
    </row>
    <row r="15" spans="3:8" x14ac:dyDescent="0.2">
      <c r="C15" s="14" t="str">
        <f>IF(Lang="Français","Pour les experts :","For experts:")</f>
        <v>Pour les experts :</v>
      </c>
    </row>
    <row r="16" spans="3:8" x14ac:dyDescent="0.2">
      <c r="C16" t="str">
        <f>IF(Lang="Français","Pour les curieux et les experts, vous pouvez déprotéger les feuilles de calcul (mot de passe : anstj),","Curious people can unlock excel sheets with this password : anstj")</f>
        <v>Pour les curieux et les experts, vous pouvez déprotéger les feuilles de calcul (mot de passe : anstj),</v>
      </c>
    </row>
    <row r="17" spans="3:8" x14ac:dyDescent="0.2">
      <c r="C17" t="str">
        <f>IF(Lang="Français","et faire vos modifications personnelles (ajout de moteur...).","and do your personal modification (adding a motor...)")</f>
        <v>et faire vos modifications personnelles (ajout de moteur...).</v>
      </c>
    </row>
    <row r="18" spans="3:8" x14ac:dyDescent="0.2">
      <c r="C18" t="s">
        <v>419</v>
      </c>
    </row>
    <row r="19" spans="3:8" x14ac:dyDescent="0.2">
      <c r="C19" t="str">
        <f>IF(Lang="Français","Merci néanmoins de diffuser uniquement la version officielle protégée (fichier initial).","Please avoid distributing unlocked version.")</f>
        <v>Merci néanmoins de diffuser uniquement la version officielle protégée (fichier initial).</v>
      </c>
    </row>
    <row r="20" spans="3:8" x14ac:dyDescent="0.2">
      <c r="C20" t="str">
        <f>IF(Lang="Français","Aucune Macro. Mise en forme conditionnelle, Noms de zone.","No macro. Conditionnal formating, named zones.")</f>
        <v>Aucune Macro. Mise en forme conditionnelle, Noms de zone.</v>
      </c>
    </row>
    <row r="21" spans="3:8" x14ac:dyDescent="0.2">
      <c r="C21" s="48" t="str">
        <f>IF(Lang="Français","Pour changer les choix des menus déroulants et les restrictions des cellules jaunes, cf. Données&gt; Validations…", "To change choices menu &amp; yellow cells restrictions, go to data validation.")</f>
        <v>Pour changer les choix des menus déroulants et les restrictions des cellules jaunes, cf. Données&gt; Validations…</v>
      </c>
    </row>
    <row r="22" spans="3:8" x14ac:dyDescent="0.2">
      <c r="C22" s="48" t="str">
        <f>IF(Lang="Français","Les unités sont réglés dans le Format de la cellule.","Units are set in cell number Format")</f>
        <v>Les unités sont réglés dans le Format de la cellule.</v>
      </c>
      <c r="H22" s="15" t="s">
        <v>37</v>
      </c>
    </row>
    <row r="23" spans="3:8" x14ac:dyDescent="0.2">
      <c r="C23" t="str">
        <f>IF(Lang="Français","Vous pouvez proposer vos améliorations en envoyant votre fichier à : ","Send all remarks and improvements proposals to:")</f>
        <v xml:space="preserve">Vous pouvez proposer vos améliorations en envoyant votre fichier à : </v>
      </c>
      <c r="H23" s="15"/>
    </row>
    <row r="25" spans="3:8" x14ac:dyDescent="0.2">
      <c r="C25" s="14" t="str">
        <f>IF(Lang="Français","Licence :","License:")</f>
        <v>Licence :</v>
      </c>
      <c r="D25" s="16"/>
    </row>
    <row r="26" spans="3:8" x14ac:dyDescent="0.2">
      <c r="C26" t="str">
        <f>IF(Lang="Français","Ce logiciel est placé sous la licence Creative Commons BY-SA","This software is placed under Creative Commons licence BY-SA")</f>
        <v>Ce logiciel est placé sous la licence Creative Commons BY-SA</v>
      </c>
      <c r="H26" s="68" t="s">
        <v>122</v>
      </c>
    </row>
    <row r="28" spans="3:8" x14ac:dyDescent="0.2">
      <c r="C28" s="14" t="str">
        <f>IF(Lang="Français","Compatibilité :","Compatibility:")</f>
        <v>Compatibilité :</v>
      </c>
    </row>
    <row r="29" spans="3:8" x14ac:dyDescent="0.2">
      <c r="C29" t="s">
        <v>152</v>
      </c>
    </row>
    <row r="30" spans="3:8" x14ac:dyDescent="0.2">
      <c r="C30" t="s">
        <v>301</v>
      </c>
    </row>
    <row r="31" spans="3:8" x14ac:dyDescent="0.2">
      <c r="C31" s="49" t="s">
        <v>110</v>
      </c>
    </row>
    <row r="33" spans="3:6" x14ac:dyDescent="0.2">
      <c r="C33" s="14" t="str">
        <f>IF(Lang="Français","Historique :","History:")</f>
        <v>Historique :</v>
      </c>
    </row>
    <row r="34" spans="3:6" x14ac:dyDescent="0.2">
      <c r="C34" t="s">
        <v>102</v>
      </c>
      <c r="D34" t="s">
        <v>42</v>
      </c>
      <c r="E34" s="47" t="s">
        <v>101</v>
      </c>
      <c r="F34" t="str">
        <f>IF(Lang="Français","Essais personnels, héritage d'une feuille de calcul de Vincent Girard, ESO","Personnel tests")</f>
        <v>Essais personnels, héritage d'une feuille de calcul de Vincent Girard, ESO</v>
      </c>
    </row>
    <row r="35" spans="3:6" x14ac:dyDescent="0.2">
      <c r="C35" t="s">
        <v>103</v>
      </c>
      <c r="D35" t="s">
        <v>42</v>
      </c>
      <c r="E35" s="16">
        <v>39483</v>
      </c>
      <c r="F35" t="str">
        <f>IF(Lang="Français","Equations de Barrowman généralisées (D_ref), masquage inter-ailerons, bilingue fr-en","Generalized Barrowman equations (D_ref), fin-fin interaction, english translation")</f>
        <v>Equations de Barrowman généralisées (D_ref), masquage inter-ailerons, bilingue fr-en</v>
      </c>
    </row>
    <row r="36" spans="3:6" x14ac:dyDescent="0.2">
      <c r="C36" t="s">
        <v>104</v>
      </c>
      <c r="D36" t="s">
        <v>42</v>
      </c>
      <c r="E36" s="16">
        <v>39507</v>
      </c>
      <c r="F36" t="str">
        <f>IF(Lang="Français","Schéma de la fusée, estimation analytique de la trajecto, diagramme des critères","Rocket schematic, analytical trajecto, criterions diagram")</f>
        <v>Schéma de la fusée, estimation analytique de la trajecto, diagramme des critères</v>
      </c>
    </row>
    <row r="37" spans="3:6" x14ac:dyDescent="0.2">
      <c r="C37" t="s">
        <v>105</v>
      </c>
      <c r="D37" t="s">
        <v>42</v>
      </c>
      <c r="E37" s="16">
        <v>39694</v>
      </c>
      <c r="F37" t="str">
        <f>IF(Lang="Français","Mise en forme","Formatting")</f>
        <v>Mise en forme</v>
      </c>
    </row>
    <row r="38" spans="3:6" x14ac:dyDescent="0.2">
      <c r="C38" t="s">
        <v>106</v>
      </c>
      <c r="D38" t="s">
        <v>42</v>
      </c>
      <c r="E38" s="16">
        <v>39643</v>
      </c>
      <c r="F38" t="str">
        <f>IF(Lang="Français","Essais personnels, héritage d'une feuille de calcul de Félicien Roux, ESO","Personal tests")</f>
        <v>Essais personnels, héritage d'une feuille de calcul de Félicien Roux, ESO</v>
      </c>
    </row>
    <row r="39" spans="3:6" x14ac:dyDescent="0.2">
      <c r="C39" t="s">
        <v>107</v>
      </c>
      <c r="D39" t="s">
        <v>42</v>
      </c>
      <c r="E39" s="16">
        <v>39755</v>
      </c>
      <c r="F39" t="str">
        <f>IF(Lang="Français","Réécriture équations, traduction, érgonomie","Equations, traduction, ergonomy")</f>
        <v>Réécriture équations, traduction, érgonomie</v>
      </c>
    </row>
    <row r="40" spans="3:6" x14ac:dyDescent="0.2">
      <c r="C40" t="s">
        <v>108</v>
      </c>
      <c r="D40" t="s">
        <v>42</v>
      </c>
      <c r="E40" s="16">
        <v>39756</v>
      </c>
      <c r="F40" t="str">
        <f>IF(Lang="Français","Conditions Initiales pour vol 2e étage, 1ère publication","Initial Conditions, 1st publication")</f>
        <v>Conditions Initiales pour vol 2e étage, 1ère publication</v>
      </c>
    </row>
    <row r="41" spans="3:6" x14ac:dyDescent="0.2">
      <c r="C41" t="s">
        <v>109</v>
      </c>
      <c r="D41" t="s">
        <v>42</v>
      </c>
      <c r="E41" s="16">
        <v>40658</v>
      </c>
      <c r="F41" t="s">
        <v>52</v>
      </c>
    </row>
    <row r="42" spans="3:6" x14ac:dyDescent="0.2">
      <c r="C42" t="s">
        <v>179</v>
      </c>
      <c r="D42" t="s">
        <v>42</v>
      </c>
      <c r="E42" s="16">
        <v>40868</v>
      </c>
      <c r="F42" t="str">
        <f>IF(Lang="Français","Fusion Stabilito+Trajecto, mise en forme, Ctrl, RC, H2O, Abaco","Merge Stabilito+Trajecto, formatting, Ctrl, RC, H2O, Abaco")</f>
        <v>Fusion Stabilito+Trajecto, mise en forme, Ctrl, RC, H2O, Abaco</v>
      </c>
    </row>
    <row r="43" spans="3:6" x14ac:dyDescent="0.2">
      <c r="C43" t="s">
        <v>327</v>
      </c>
      <c r="D43" t="s">
        <v>42</v>
      </c>
      <c r="E43" s="16">
        <v>41194</v>
      </c>
      <c r="F43" t="s">
        <v>331</v>
      </c>
    </row>
    <row r="44" spans="3:6" x14ac:dyDescent="0.2">
      <c r="C44" t="s">
        <v>328</v>
      </c>
      <c r="D44" t="s">
        <v>42</v>
      </c>
      <c r="E44" s="16">
        <v>41329</v>
      </c>
      <c r="F44" t="s">
        <v>332</v>
      </c>
    </row>
    <row r="45" spans="3:6" x14ac:dyDescent="0.2">
      <c r="C45" t="s">
        <v>416</v>
      </c>
      <c r="D45" t="s">
        <v>395</v>
      </c>
      <c r="E45" s="16">
        <v>41947</v>
      </c>
      <c r="F45" t="s">
        <v>415</v>
      </c>
    </row>
    <row r="46" spans="3:6" x14ac:dyDescent="0.2">
      <c r="C46" t="s">
        <v>420</v>
      </c>
      <c r="D46" t="s">
        <v>395</v>
      </c>
      <c r="E46" s="16">
        <v>41965</v>
      </c>
      <c r="F46" t="s">
        <v>418</v>
      </c>
    </row>
    <row r="47" spans="3:6" x14ac:dyDescent="0.2">
      <c r="C47" t="s">
        <v>541</v>
      </c>
      <c r="D47" t="s">
        <v>395</v>
      </c>
      <c r="E47" s="16">
        <v>43048</v>
      </c>
      <c r="F47" t="s">
        <v>542</v>
      </c>
    </row>
    <row r="48" spans="3:6" x14ac:dyDescent="0.2">
      <c r="C48" t="s">
        <v>545</v>
      </c>
      <c r="D48" t="s">
        <v>395</v>
      </c>
      <c r="E48" s="16">
        <v>44160</v>
      </c>
      <c r="F48" t="s">
        <v>546</v>
      </c>
    </row>
    <row r="49" spans="3:6" x14ac:dyDescent="0.2">
      <c r="C49" t="s">
        <v>554</v>
      </c>
      <c r="D49" t="s">
        <v>552</v>
      </c>
      <c r="E49" s="16">
        <v>45300</v>
      </c>
      <c r="F49" t="s">
        <v>553</v>
      </c>
    </row>
    <row r="50" spans="3:6" x14ac:dyDescent="0.2">
      <c r="C50" t="s">
        <v>556</v>
      </c>
      <c r="D50" t="s">
        <v>395</v>
      </c>
      <c r="E50" s="16">
        <v>45322</v>
      </c>
      <c r="F50" t="s">
        <v>561</v>
      </c>
    </row>
    <row r="51" spans="3:6" x14ac:dyDescent="0.2">
      <c r="C51" t="s">
        <v>565</v>
      </c>
      <c r="D51" t="s">
        <v>395</v>
      </c>
      <c r="E51" s="16">
        <v>45325</v>
      </c>
      <c r="F51" t="s">
        <v>564</v>
      </c>
    </row>
    <row r="52" spans="3:6" x14ac:dyDescent="0.2">
      <c r="E52" s="16"/>
    </row>
    <row r="53" spans="3:6" x14ac:dyDescent="0.2">
      <c r="C53" s="14" t="str">
        <f>IF(Lang="Français","Paramètres de référence :","Reference parameters:")</f>
        <v>Paramètres de référence :</v>
      </c>
    </row>
    <row r="54" spans="3:6" x14ac:dyDescent="0.2">
      <c r="C54" s="62" t="str">
        <f>IF(Lang="Français","Gravité g :","Gravity g")</f>
        <v>Gravité g :</v>
      </c>
      <c r="E54" s="62">
        <v>9.81</v>
      </c>
      <c r="F54" s="62" t="s">
        <v>7</v>
      </c>
    </row>
    <row r="55" spans="3:6" x14ac:dyDescent="0.2">
      <c r="C55" s="62" t="str">
        <f>IF(Lang="Français","Masse volumique de l'air ρ :","Air density ρ")</f>
        <v>Masse volumique de l'air ρ :</v>
      </c>
      <c r="E55" s="63">
        <v>1.2250000000000001</v>
      </c>
      <c r="F55" s="62" t="s">
        <v>8</v>
      </c>
    </row>
    <row r="56" spans="3:6" x14ac:dyDescent="0.2">
      <c r="C56" s="48"/>
    </row>
    <row r="57" spans="3:6" x14ac:dyDescent="0.2">
      <c r="C57" s="48"/>
    </row>
    <row r="58" spans="3:6" x14ac:dyDescent="0.2">
      <c r="C58" s="48"/>
    </row>
    <row r="59" spans="3:6" x14ac:dyDescent="0.2">
      <c r="C59" s="48"/>
    </row>
    <row r="60" spans="3:6" x14ac:dyDescent="0.2">
      <c r="C60" s="48"/>
    </row>
    <row r="61" spans="3:6" x14ac:dyDescent="0.2">
      <c r="C61" s="48"/>
    </row>
  </sheetData>
  <sheetProtection algorithmName="SHA-512" hashValue="dcP9v4DQ6JuvC6eLIBXnlatxcJ77hQrkAMZATd7/biqbQNTpo5JLWb/f1rwPyt3T541dwFzTLWfTsEIfUWsRvA==" saltValue="abKm4XUCT8zC5fp4rZeuTQ==" spinCount="100000" sheet="1" objects="1" scenarios="1"/>
  <mergeCells count="1">
    <mergeCell ref="C2:D3"/>
  </mergeCells>
  <phoneticPr fontId="8" type="noConversion"/>
  <hyperlinks>
    <hyperlink ref="H13" r:id="rId1" xr:uid="{00000000-0004-0000-0600-000000000000}"/>
    <hyperlink ref="H22" r:id="rId2" xr:uid="{00000000-0004-0000-0600-000001000000}"/>
    <hyperlink ref="H26" r:id="rId3" xr:uid="{00000000-0004-0000-0600-000002000000}"/>
  </hyperlinks>
  <pageMargins left="0.39370078740157483" right="0.39370078740157483" top="0.39370078740157483" bottom="0.39370078740157483" header="0" footer="0"/>
  <pageSetup scale="73" firstPageNumber="0" orientation="portrait" horizontalDpi="300" verticalDpi="300" r:id="rId4"/>
  <headerFooter alignWithMargins="0"/>
  <drawing r:id="rId5"/>
  <legacyDrawing r:id="rId6"/>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Feuil7">
    <pageSetUpPr fitToPage="1"/>
  </sheetPr>
  <dimension ref="B1:U134"/>
  <sheetViews>
    <sheetView showGridLines="0" zoomScaleNormal="100" workbookViewId="0">
      <selection activeCell="L39" sqref="L39"/>
    </sheetView>
  </sheetViews>
  <sheetFormatPr baseColWidth="10" defaultColWidth="11.5703125" defaultRowHeight="12.75" x14ac:dyDescent="0.2"/>
  <cols>
    <col min="1" max="2" width="2.140625" customWidth="1"/>
    <col min="3" max="3" width="12.5703125" customWidth="1"/>
    <col min="4" max="4" width="21" customWidth="1"/>
    <col min="7" max="7" width="26.5703125" customWidth="1"/>
    <col min="8" max="9" width="6.85546875" customWidth="1"/>
    <col min="10" max="10" width="10" customWidth="1"/>
    <col min="11" max="11" width="13" customWidth="1"/>
    <col min="12" max="12" width="21.140625" customWidth="1"/>
    <col min="14" max="14" width="2.140625" customWidth="1"/>
    <col min="18" max="19" width="16.140625" customWidth="1"/>
  </cols>
  <sheetData>
    <row r="1" spans="2:21" ht="13.5" thickBot="1" x14ac:dyDescent="0.25">
      <c r="O1" s="6"/>
      <c r="P1" s="48"/>
      <c r="Q1" s="48"/>
      <c r="R1" s="48"/>
      <c r="S1" s="48"/>
      <c r="T1" s="48"/>
      <c r="U1" s="48"/>
    </row>
    <row r="2" spans="2:21" ht="13.5" thickBot="1" x14ac:dyDescent="0.25">
      <c r="B2" s="71"/>
      <c r="C2" s="72"/>
      <c r="D2" s="72"/>
      <c r="E2" s="72"/>
      <c r="F2" s="72"/>
      <c r="G2" s="72"/>
      <c r="H2" s="72"/>
      <c r="I2" s="72"/>
      <c r="J2" s="72"/>
      <c r="K2" s="72"/>
      <c r="L2" s="72"/>
      <c r="M2" s="72"/>
      <c r="N2" s="73"/>
      <c r="O2" s="6"/>
      <c r="P2" s="48"/>
      <c r="Q2" s="48"/>
      <c r="R2" s="48"/>
      <c r="S2" s="48"/>
      <c r="T2" s="48"/>
      <c r="U2" s="48"/>
    </row>
    <row r="3" spans="2:21" ht="15.75" customHeight="1" thickBot="1" x14ac:dyDescent="0.25">
      <c r="B3" s="74"/>
      <c r="D3" s="2" t="s">
        <v>428</v>
      </c>
      <c r="N3" s="75"/>
      <c r="O3" s="6"/>
      <c r="P3" s="273" t="s">
        <v>340</v>
      </c>
      <c r="Q3" s="441">
        <f>Long_ogive</f>
        <v>1</v>
      </c>
      <c r="R3" s="48"/>
      <c r="S3" s="48"/>
      <c r="T3" s="48"/>
      <c r="U3" s="48"/>
    </row>
    <row r="4" spans="2:21" ht="15.75" customHeight="1" x14ac:dyDescent="0.2">
      <c r="B4" s="74"/>
      <c r="D4" s="2" t="s">
        <v>563</v>
      </c>
      <c r="E4" t="str">
        <f>Matricule</f>
        <v>FX0</v>
      </c>
      <c r="N4" s="75"/>
      <c r="O4" s="6"/>
      <c r="P4" s="273"/>
      <c r="Q4" s="436"/>
      <c r="R4" s="48"/>
      <c r="S4" s="48"/>
      <c r="T4" s="48"/>
      <c r="U4" s="48"/>
    </row>
    <row r="5" spans="2:21" ht="15.75" customHeight="1" x14ac:dyDescent="0.2">
      <c r="B5" s="74"/>
      <c r="D5" t="s">
        <v>461</v>
      </c>
      <c r="E5" t="str">
        <f>Propu</f>
        <v>Aucun (2e ét. inerte)</v>
      </c>
      <c r="G5" t="s">
        <v>458</v>
      </c>
      <c r="H5">
        <f>MasseSans</f>
        <v>4.3410000000000002</v>
      </c>
      <c r="N5" s="75"/>
      <c r="O5" s="6"/>
      <c r="P5" s="273"/>
      <c r="Q5" s="436"/>
      <c r="R5" s="48"/>
      <c r="S5" s="48"/>
      <c r="T5" s="48"/>
      <c r="U5" s="48"/>
    </row>
    <row r="6" spans="2:21" x14ac:dyDescent="0.2">
      <c r="B6" s="74"/>
      <c r="D6" t="s">
        <v>454</v>
      </c>
      <c r="E6" s="2" t="str">
        <f>Trajecto!H34</f>
        <v>Brun/Orange…</v>
      </c>
      <c r="G6" t="s">
        <v>459</v>
      </c>
      <c r="H6">
        <f>D_ref</f>
        <v>104</v>
      </c>
      <c r="N6" s="75"/>
      <c r="O6" s="6"/>
      <c r="P6" s="273"/>
      <c r="Q6" s="436"/>
      <c r="R6" s="48"/>
      <c r="S6" s="48"/>
      <c r="T6" s="48"/>
      <c r="U6" s="48"/>
    </row>
    <row r="7" spans="2:21" x14ac:dyDescent="0.2">
      <c r="B7" s="74"/>
      <c r="D7" t="s">
        <v>456</v>
      </c>
      <c r="E7" s="2" t="str">
        <f>Trajecto!H35</f>
        <v>Rouge…</v>
      </c>
      <c r="G7" t="s">
        <v>5</v>
      </c>
      <c r="H7">
        <f>Cx</f>
        <v>0.6</v>
      </c>
      <c r="N7" s="75"/>
      <c r="O7" s="6"/>
      <c r="P7" s="273"/>
      <c r="Q7" s="436"/>
      <c r="R7" s="48"/>
      <c r="S7" s="48"/>
      <c r="T7" s="48"/>
      <c r="U7" s="48"/>
    </row>
    <row r="8" spans="2:21" x14ac:dyDescent="0.2">
      <c r="B8" s="74"/>
      <c r="D8" t="s">
        <v>457</v>
      </c>
      <c r="E8" s="2">
        <f>S_para</f>
        <v>0.48049999999999998</v>
      </c>
      <c r="G8" t="s">
        <v>460</v>
      </c>
      <c r="H8">
        <f>L_rampe</f>
        <v>4</v>
      </c>
      <c r="N8" s="75"/>
      <c r="O8" s="6"/>
      <c r="P8" s="273"/>
      <c r="Q8" s="436"/>
      <c r="R8" s="48"/>
      <c r="S8" s="48"/>
      <c r="T8" s="48"/>
      <c r="U8" s="48"/>
    </row>
    <row r="9" spans="2:21" x14ac:dyDescent="0.2">
      <c r="B9" s="74"/>
      <c r="D9" t="s">
        <v>455</v>
      </c>
      <c r="E9" s="2"/>
      <c r="G9" t="s">
        <v>146</v>
      </c>
      <c r="H9" s="532" t="str">
        <f>Forme_ogive</f>
        <v>Conique (droite)</v>
      </c>
      <c r="N9" s="75"/>
      <c r="O9" s="6"/>
      <c r="P9" s="273"/>
      <c r="Q9" s="436"/>
      <c r="R9" s="48"/>
      <c r="S9" s="48"/>
      <c r="T9" s="48"/>
      <c r="U9" s="48"/>
    </row>
    <row r="10" spans="2:21" x14ac:dyDescent="0.2">
      <c r="B10" s="74"/>
      <c r="F10" s="3"/>
      <c r="G10" s="6"/>
      <c r="N10" s="75"/>
      <c r="O10" s="521"/>
      <c r="P10" s="48"/>
      <c r="Q10" s="436"/>
      <c r="R10" s="48"/>
      <c r="S10" s="48"/>
      <c r="T10" s="48"/>
      <c r="U10" s="48"/>
    </row>
    <row r="11" spans="2:21" ht="13.5" thickBot="1" x14ac:dyDescent="0.25">
      <c r="B11" s="74"/>
      <c r="C11" s="12"/>
      <c r="D11" s="275" t="s">
        <v>453</v>
      </c>
      <c r="E11" s="243">
        <f>MasseSans</f>
        <v>4.3410000000000002</v>
      </c>
      <c r="F11" s="246" t="s">
        <v>123</v>
      </c>
      <c r="G11" s="246" t="s">
        <v>125</v>
      </c>
      <c r="H11" s="672" t="e">
        <f ca="1">Vsortie_de_rampe</f>
        <v>#N/A</v>
      </c>
      <c r="I11" s="673"/>
      <c r="J11" s="76"/>
      <c r="N11" s="75"/>
      <c r="P11" s="48"/>
      <c r="Q11" s="436"/>
      <c r="R11" s="48"/>
      <c r="S11" s="48"/>
      <c r="T11" s="48"/>
      <c r="U11" s="440">
        <f>IF(RIGHT(Nb_diam,1)=",", "", X_j)</f>
        <v>1</v>
      </c>
    </row>
    <row r="12" spans="2:21" ht="13.5" thickBot="1" x14ac:dyDescent="0.25">
      <c r="B12" s="74"/>
      <c r="C12" s="12"/>
      <c r="D12" s="276"/>
      <c r="E12" s="244"/>
      <c r="F12" s="6" t="s">
        <v>123</v>
      </c>
      <c r="G12" s="6" t="s">
        <v>126</v>
      </c>
      <c r="H12" s="674">
        <f>Finesse</f>
        <v>10.76923076923077</v>
      </c>
      <c r="I12" s="675"/>
      <c r="J12" s="76"/>
      <c r="N12" s="75"/>
      <c r="O12" s="6"/>
      <c r="P12" s="273" t="s">
        <v>341</v>
      </c>
      <c r="Q12" s="441">
        <f>D_og</f>
        <v>84</v>
      </c>
      <c r="R12" s="48"/>
      <c r="S12" s="48"/>
      <c r="T12" s="48"/>
      <c r="U12" s="436"/>
    </row>
    <row r="13" spans="2:21" x14ac:dyDescent="0.2">
      <c r="B13" s="74"/>
      <c r="C13" s="12"/>
      <c r="D13" s="276" t="s">
        <v>5</v>
      </c>
      <c r="E13" s="244">
        <f>Cx</f>
        <v>0.6</v>
      </c>
      <c r="F13" s="6" t="s">
        <v>123</v>
      </c>
      <c r="G13" s="6" t="s">
        <v>432</v>
      </c>
      <c r="H13" s="674">
        <f>Cn</f>
        <v>16.203642049332345</v>
      </c>
      <c r="I13" s="675"/>
      <c r="J13" s="76"/>
      <c r="N13" s="75"/>
      <c r="O13" s="6"/>
      <c r="P13" s="48"/>
      <c r="Q13" s="436"/>
      <c r="R13" s="48"/>
      <c r="S13" s="48"/>
      <c r="T13" s="48"/>
      <c r="U13" s="440">
        <f>IF(RIGHT(Nb_diam,1)=",", "", X_r)</f>
        <v>1070</v>
      </c>
    </row>
    <row r="14" spans="2:21" x14ac:dyDescent="0.2">
      <c r="B14" s="74"/>
      <c r="C14" s="12"/>
      <c r="D14" s="276" t="s">
        <v>143</v>
      </c>
      <c r="E14" s="244">
        <f>L_rampe</f>
        <v>4</v>
      </c>
      <c r="F14" s="6" t="s">
        <v>123</v>
      </c>
      <c r="G14" s="6" t="s">
        <v>127</v>
      </c>
      <c r="H14" s="247">
        <f ca="1">MS_min</f>
        <v>3.4627655069924241</v>
      </c>
      <c r="I14" s="254">
        <f ca="1">MS_max</f>
        <v>3.46290217033369</v>
      </c>
      <c r="J14" s="76"/>
      <c r="K14" s="76"/>
      <c r="N14" s="75"/>
      <c r="P14" s="48"/>
      <c r="Q14" s="436"/>
      <c r="R14" s="48"/>
      <c r="S14" s="48"/>
      <c r="T14" s="48"/>
      <c r="U14" s="436"/>
    </row>
    <row r="15" spans="2:21" x14ac:dyDescent="0.2">
      <c r="B15" s="74"/>
      <c r="C15" s="12"/>
      <c r="D15" s="276" t="s">
        <v>144</v>
      </c>
      <c r="E15" s="244">
        <f>ep_ail</f>
        <v>4</v>
      </c>
      <c r="F15" s="6" t="s">
        <v>123</v>
      </c>
      <c r="G15" s="6" t="s">
        <v>124</v>
      </c>
      <c r="H15" s="247">
        <f ca="1">MS_Cn_min</f>
        <v>56.109412776080077</v>
      </c>
      <c r="I15" s="254">
        <f ca="1">MS_Cn_max</f>
        <v>56.111627219943216</v>
      </c>
      <c r="J15" s="76"/>
      <c r="K15" s="76"/>
      <c r="N15" s="75"/>
      <c r="P15" s="48"/>
      <c r="Q15" s="436"/>
      <c r="R15" s="48"/>
      <c r="S15" s="48"/>
      <c r="T15" s="48"/>
    </row>
    <row r="16" spans="2:21" x14ac:dyDescent="0.2">
      <c r="B16" s="74"/>
      <c r="C16" s="12"/>
      <c r="D16" s="276" t="s">
        <v>145</v>
      </c>
      <c r="E16" s="244">
        <f>Q_ail</f>
        <v>4</v>
      </c>
      <c r="F16" s="6" t="s">
        <v>128</v>
      </c>
      <c r="G16" s="6" t="s">
        <v>129</v>
      </c>
      <c r="H16" s="247">
        <f ca="1">V_para</f>
        <v>12.029003578663529</v>
      </c>
      <c r="I16" s="253">
        <f>V_satellite</f>
        <v>12.655562623057198</v>
      </c>
      <c r="J16" s="76"/>
      <c r="N16" s="75"/>
      <c r="P16" s="48"/>
      <c r="Q16" s="436"/>
      <c r="R16" s="48"/>
      <c r="S16" s="48"/>
      <c r="T16" s="48"/>
      <c r="U16" s="440">
        <f>IF(RIGHT(Nb_diam,1)=",", "", l_j)</f>
        <v>60</v>
      </c>
    </row>
    <row r="17" spans="2:21" x14ac:dyDescent="0.2">
      <c r="B17" s="74"/>
      <c r="C17" s="12"/>
      <c r="D17" s="276" t="s">
        <v>146</v>
      </c>
      <c r="E17" s="272" t="str">
        <f>Forme_ogive</f>
        <v>Conique (droite)</v>
      </c>
      <c r="F17" s="6" t="s">
        <v>130</v>
      </c>
      <c r="G17" s="6" t="s">
        <v>131</v>
      </c>
      <c r="H17" s="674">
        <f>T_para</f>
        <v>11.1</v>
      </c>
      <c r="I17" s="675"/>
      <c r="J17" s="258"/>
      <c r="N17" s="75"/>
      <c r="P17" s="434" t="s">
        <v>342</v>
      </c>
      <c r="Q17" s="440">
        <f>IF(RIGHT(Nb_diam,1)=",", "", D2j)</f>
        <v>104</v>
      </c>
      <c r="R17" s="48"/>
      <c r="S17" s="48"/>
      <c r="T17" s="48"/>
      <c r="U17" s="436"/>
    </row>
    <row r="18" spans="2:21" x14ac:dyDescent="0.2">
      <c r="B18" s="74"/>
      <c r="C18" s="12"/>
      <c r="D18" s="276" t="s">
        <v>148</v>
      </c>
      <c r="E18" s="244">
        <f ca="1">XpropuRef-Long_propu</f>
        <v>1110</v>
      </c>
      <c r="F18" s="12" t="s">
        <v>130</v>
      </c>
      <c r="G18" s="12" t="s">
        <v>426</v>
      </c>
      <c r="H18" s="546">
        <f ca="1">T_para-Combustion-Depotage</f>
        <v>11.1</v>
      </c>
      <c r="I18" s="680"/>
      <c r="N18" s="75"/>
      <c r="P18" s="48"/>
      <c r="Q18" s="436"/>
      <c r="R18" s="48"/>
      <c r="S18" s="48"/>
    </row>
    <row r="19" spans="2:21" x14ac:dyDescent="0.2">
      <c r="B19" s="74"/>
      <c r="C19" s="531"/>
      <c r="D19" s="269"/>
      <c r="E19" s="271"/>
      <c r="F19" s="519" t="s">
        <v>132</v>
      </c>
      <c r="G19" s="274" t="s">
        <v>425</v>
      </c>
      <c r="H19" s="681">
        <f ca="1">Portee_balistique</f>
        <v>678.53524446899166</v>
      </c>
      <c r="I19" s="682"/>
      <c r="N19" s="75"/>
      <c r="P19" s="48"/>
      <c r="Q19" s="436"/>
      <c r="R19" s="48"/>
      <c r="S19" s="48"/>
      <c r="T19" s="48"/>
    </row>
    <row r="20" spans="2:21" x14ac:dyDescent="0.2">
      <c r="B20" s="74"/>
      <c r="C20" s="12"/>
      <c r="D20" s="6"/>
      <c r="E20" s="6"/>
      <c r="H20" s="518"/>
      <c r="I20" s="518"/>
      <c r="N20" s="75"/>
      <c r="P20" s="48"/>
      <c r="Q20" s="436"/>
      <c r="R20" s="48"/>
      <c r="S20" s="48"/>
      <c r="T20" s="48"/>
      <c r="U20" s="440">
        <f>IF(RIGHT(Nb_diam,1)=",", "", l_r)</f>
        <v>50</v>
      </c>
    </row>
    <row r="21" spans="2:21" x14ac:dyDescent="0.2">
      <c r="B21" s="74"/>
      <c r="C21" s="12"/>
      <c r="D21" s="6"/>
      <c r="E21" s="263"/>
      <c r="F21" s="3"/>
      <c r="G21" s="6"/>
      <c r="H21" s="518"/>
      <c r="I21" s="518"/>
      <c r="N21" s="75"/>
      <c r="O21" s="273"/>
      <c r="P21" s="436"/>
      <c r="Q21" s="48"/>
      <c r="R21" s="48"/>
      <c r="S21" s="48"/>
      <c r="T21" s="226"/>
      <c r="U21" s="436"/>
    </row>
    <row r="22" spans="2:21" x14ac:dyDescent="0.2">
      <c r="B22" s="74"/>
      <c r="C22" s="526" t="s">
        <v>452</v>
      </c>
      <c r="D22" s="526" t="s">
        <v>436</v>
      </c>
      <c r="E22" s="527"/>
      <c r="F22" s="528" t="s">
        <v>441</v>
      </c>
      <c r="G22" s="526" t="s">
        <v>446</v>
      </c>
      <c r="I22" s="529"/>
      <c r="J22" s="530" t="s">
        <v>156</v>
      </c>
      <c r="K22" s="526" t="s">
        <v>157</v>
      </c>
      <c r="N22" s="75"/>
      <c r="O22" s="273"/>
      <c r="P22" s="436"/>
      <c r="Q22" s="48"/>
      <c r="R22" s="48"/>
      <c r="S22" s="48"/>
      <c r="T22" s="226"/>
      <c r="U22" s="436"/>
    </row>
    <row r="23" spans="2:21" x14ac:dyDescent="0.2">
      <c r="B23" s="74"/>
      <c r="C23" s="526" t="s">
        <v>451</v>
      </c>
      <c r="D23" s="527">
        <f>XcgSans</f>
        <v>493</v>
      </c>
      <c r="E23" s="527" t="s">
        <v>38</v>
      </c>
      <c r="F23" s="528">
        <f>m_ail</f>
        <v>210</v>
      </c>
      <c r="G23" s="526">
        <f>m_can</f>
        <v>180</v>
      </c>
      <c r="I23" s="529" t="s">
        <v>447</v>
      </c>
      <c r="J23" s="528">
        <f>l_j</f>
        <v>60</v>
      </c>
      <c r="K23" s="526">
        <f>l_r</f>
        <v>50</v>
      </c>
      <c r="N23" s="75"/>
      <c r="O23" s="273"/>
      <c r="P23" s="436"/>
      <c r="Q23" s="48"/>
      <c r="R23" s="48"/>
      <c r="S23" s="48"/>
      <c r="T23" s="226"/>
      <c r="U23" s="436"/>
    </row>
    <row r="24" spans="2:21" x14ac:dyDescent="0.2">
      <c r="B24" s="74"/>
      <c r="C24" s="526" t="s">
        <v>439</v>
      </c>
      <c r="D24" s="526">
        <f>Long_tot</f>
        <v>1120</v>
      </c>
      <c r="E24" s="527" t="s">
        <v>442</v>
      </c>
      <c r="F24" s="528">
        <f>n_ail</f>
        <v>80</v>
      </c>
      <c r="G24" s="526">
        <f>n_can</f>
        <v>80</v>
      </c>
      <c r="I24" s="529" t="s">
        <v>448</v>
      </c>
      <c r="J24" s="528">
        <f>D1j</f>
        <v>84</v>
      </c>
      <c r="K24" s="526">
        <f>D1r</f>
        <v>104</v>
      </c>
      <c r="N24" s="75"/>
      <c r="O24" s="273"/>
      <c r="P24" s="436"/>
      <c r="Q24" s="48"/>
      <c r="R24" s="48"/>
      <c r="S24" s="48"/>
      <c r="T24" s="226"/>
      <c r="U24" s="436"/>
    </row>
    <row r="25" spans="2:21" x14ac:dyDescent="0.2">
      <c r="B25" s="74"/>
      <c r="C25" s="526" t="s">
        <v>440</v>
      </c>
      <c r="D25" s="526">
        <f>XpropuRef</f>
        <v>1110</v>
      </c>
      <c r="E25" s="527" t="s">
        <v>443</v>
      </c>
      <c r="F25" s="528">
        <f>p_ail</f>
        <v>185</v>
      </c>
      <c r="G25" s="526">
        <f>p_can</f>
        <v>160</v>
      </c>
      <c r="I25" s="529" t="s">
        <v>449</v>
      </c>
      <c r="J25" s="528">
        <f>D2j</f>
        <v>104</v>
      </c>
      <c r="K25" s="526">
        <f>D2r</f>
        <v>84</v>
      </c>
      <c r="N25" s="75"/>
      <c r="O25" s="273"/>
      <c r="P25" s="436"/>
      <c r="Q25" s="48"/>
      <c r="R25" s="48"/>
      <c r="S25" s="48"/>
      <c r="T25" s="226"/>
      <c r="U25" s="436"/>
    </row>
    <row r="26" spans="2:21" x14ac:dyDescent="0.2">
      <c r="B26" s="74"/>
      <c r="C26" s="526" t="s">
        <v>437</v>
      </c>
      <c r="D26" s="526">
        <f>D_ref</f>
        <v>104</v>
      </c>
      <c r="E26" s="527" t="s">
        <v>444</v>
      </c>
      <c r="F26" s="528">
        <f>E_ail</f>
        <v>145</v>
      </c>
      <c r="G26" s="526">
        <f>E_can</f>
        <v>110</v>
      </c>
      <c r="I26" s="529" t="s">
        <v>450</v>
      </c>
      <c r="J26" s="528">
        <f>X_j</f>
        <v>1</v>
      </c>
      <c r="K26" s="526">
        <f>X_r</f>
        <v>1070</v>
      </c>
      <c r="N26" s="75"/>
      <c r="O26" s="273"/>
      <c r="P26" s="436"/>
      <c r="Q26" s="48"/>
      <c r="R26" s="48"/>
      <c r="S26" s="48"/>
      <c r="T26" s="226"/>
      <c r="U26" s="436"/>
    </row>
    <row r="27" spans="2:21" x14ac:dyDescent="0.2">
      <c r="B27" s="74"/>
      <c r="C27" s="526" t="s">
        <v>438</v>
      </c>
      <c r="D27" s="526">
        <f>Long_ogive</f>
        <v>1</v>
      </c>
      <c r="E27" s="527" t="s">
        <v>445</v>
      </c>
      <c r="F27" s="528">
        <f>X_ail</f>
        <v>1070</v>
      </c>
      <c r="G27" s="526">
        <f>X_can</f>
        <v>1250</v>
      </c>
      <c r="H27" s="518"/>
      <c r="I27" s="3"/>
      <c r="J27" s="2"/>
      <c r="N27" s="75"/>
      <c r="O27" s="273"/>
      <c r="P27" s="436"/>
      <c r="Q27" s="48"/>
      <c r="R27" s="48"/>
      <c r="S27" s="48"/>
      <c r="T27" s="226"/>
      <c r="U27" s="436"/>
    </row>
    <row r="28" spans="2:21" ht="13.5" thickBot="1" x14ac:dyDescent="0.25">
      <c r="B28" s="74"/>
      <c r="E28" s="95"/>
      <c r="N28" s="75"/>
      <c r="O28" s="2"/>
      <c r="P28" s="6"/>
      <c r="Q28" s="2"/>
      <c r="R28" s="48"/>
      <c r="S28" s="48"/>
      <c r="T28" s="48"/>
      <c r="U28" s="436"/>
    </row>
    <row r="29" spans="2:21" ht="13.5" thickBot="1" x14ac:dyDescent="0.25">
      <c r="B29" s="74"/>
      <c r="C29" s="677" t="s">
        <v>141</v>
      </c>
      <c r="D29" s="677" t="s">
        <v>133</v>
      </c>
      <c r="E29" s="677" t="s">
        <v>134</v>
      </c>
      <c r="F29" s="677"/>
      <c r="G29" s="677"/>
      <c r="H29" s="678" t="s">
        <v>135</v>
      </c>
      <c r="I29" s="678"/>
      <c r="J29" s="678"/>
      <c r="K29" s="678"/>
      <c r="L29" s="677" t="s">
        <v>136</v>
      </c>
      <c r="M29" s="677" t="s">
        <v>137</v>
      </c>
      <c r="N29" s="75"/>
      <c r="O29" s="273" t="s">
        <v>429</v>
      </c>
      <c r="P29" s="441">
        <f>n_ail</f>
        <v>80</v>
      </c>
      <c r="Q29" s="2"/>
      <c r="R29" s="48"/>
      <c r="S29" s="48"/>
      <c r="T29" s="48"/>
      <c r="U29" s="12" t="s">
        <v>433</v>
      </c>
    </row>
    <row r="30" spans="2:21" ht="13.5" thickBot="1" x14ac:dyDescent="0.25">
      <c r="B30" s="74"/>
      <c r="C30" s="677"/>
      <c r="D30" s="677"/>
      <c r="E30" s="677"/>
      <c r="F30" s="677"/>
      <c r="G30" s="677"/>
      <c r="H30" s="678" t="s">
        <v>138</v>
      </c>
      <c r="I30" s="678"/>
      <c r="J30" s="69" t="s">
        <v>139</v>
      </c>
      <c r="K30" s="70" t="s">
        <v>140</v>
      </c>
      <c r="L30" s="677"/>
      <c r="M30" s="677"/>
      <c r="N30" s="75"/>
      <c r="P30" s="12"/>
      <c r="R30" s="48"/>
      <c r="S30" s="48"/>
      <c r="T30" s="226" t="s">
        <v>431</v>
      </c>
      <c r="U30" s="523">
        <f>[0]!p_can</f>
        <v>160</v>
      </c>
    </row>
    <row r="31" spans="2:21" ht="13.5" thickBot="1" x14ac:dyDescent="0.25">
      <c r="B31" s="74"/>
      <c r="C31" s="83">
        <f>Beta_rampe</f>
        <v>75.473742154207713</v>
      </c>
      <c r="D31" s="84">
        <f ca="1">Portee_balistique</f>
        <v>678.53524446899166</v>
      </c>
      <c r="E31" s="676">
        <f ca="1">T_para+Dt_para</f>
        <v>109.73285922171284</v>
      </c>
      <c r="F31" s="676"/>
      <c r="G31" s="676"/>
      <c r="H31" s="679">
        <f ca="1">Altitude_culmi</f>
        <v>1190.5018925981813</v>
      </c>
      <c r="I31" s="679"/>
      <c r="J31" s="85">
        <f ca="1">Temps_culmi</f>
        <v>10.099999999999982</v>
      </c>
      <c r="K31" s="86">
        <f ca="1">Vit_culmi</f>
        <v>21.585604693456549</v>
      </c>
      <c r="L31" s="84">
        <f ca="1">Acc_max</f>
        <v>30.311316779788786</v>
      </c>
      <c r="M31" s="86">
        <f ca="1">Vit_max</f>
        <v>154.77051376708334</v>
      </c>
      <c r="N31" s="75"/>
      <c r="O31" s="273" t="s">
        <v>435</v>
      </c>
      <c r="P31" s="441">
        <f>ep_ail</f>
        <v>4</v>
      </c>
      <c r="Q31" s="2"/>
      <c r="R31" s="48"/>
      <c r="S31" s="48"/>
      <c r="T31" s="226" t="s">
        <v>344</v>
      </c>
      <c r="U31" s="523">
        <f>[0]!m_can</f>
        <v>180</v>
      </c>
    </row>
    <row r="32" spans="2:21" ht="13.5" thickBot="1" x14ac:dyDescent="0.25">
      <c r="B32" s="74"/>
      <c r="C32" s="520"/>
      <c r="D32" s="242"/>
      <c r="E32" s="247"/>
      <c r="F32" s="247"/>
      <c r="G32" s="247"/>
      <c r="H32" s="283"/>
      <c r="I32" s="283"/>
      <c r="J32" s="247"/>
      <c r="K32" s="248"/>
      <c r="L32" s="242"/>
      <c r="M32" s="248"/>
      <c r="N32" s="75"/>
      <c r="O32" s="273" t="s">
        <v>434</v>
      </c>
      <c r="P32" s="522">
        <f>Q_ail</f>
        <v>4</v>
      </c>
      <c r="Q32" s="2"/>
      <c r="R32" s="48"/>
      <c r="S32" s="48"/>
      <c r="T32" s="226" t="s">
        <v>429</v>
      </c>
      <c r="U32" s="523">
        <f>[0]!n_can</f>
        <v>80</v>
      </c>
    </row>
    <row r="33" spans="2:21" ht="13.5" thickBot="1" x14ac:dyDescent="0.25">
      <c r="B33" s="74"/>
      <c r="D33" s="80"/>
      <c r="E33" s="81"/>
      <c r="F33" s="81"/>
      <c r="G33" s="81"/>
      <c r="H33" s="82"/>
      <c r="I33" s="82"/>
      <c r="J33" s="81"/>
      <c r="K33" s="76"/>
      <c r="L33" s="80"/>
      <c r="M33" s="76"/>
      <c r="N33" s="75"/>
      <c r="O33" s="2"/>
      <c r="Q33" s="2"/>
      <c r="R33" s="48"/>
      <c r="S33" s="48"/>
      <c r="T33" s="226" t="s">
        <v>430</v>
      </c>
      <c r="U33" s="523">
        <f>[0]!E_can</f>
        <v>110</v>
      </c>
    </row>
    <row r="34" spans="2:21" ht="13.5" thickBot="1" x14ac:dyDescent="0.25">
      <c r="B34" s="77"/>
      <c r="C34" s="78"/>
      <c r="D34" s="78"/>
      <c r="E34" s="78"/>
      <c r="F34" s="78"/>
      <c r="G34" s="78"/>
      <c r="H34" s="78"/>
      <c r="I34" s="78"/>
      <c r="J34" s="78"/>
      <c r="K34" s="78"/>
      <c r="L34" s="78"/>
      <c r="M34" s="78"/>
      <c r="N34" s="79"/>
      <c r="O34" s="2"/>
      <c r="P34" s="273" t="s">
        <v>430</v>
      </c>
      <c r="Q34" s="441">
        <f>E_ail</f>
        <v>145</v>
      </c>
      <c r="T34" s="226" t="s">
        <v>435</v>
      </c>
      <c r="U34" s="523">
        <f>[0]!ep_can</f>
        <v>4</v>
      </c>
    </row>
    <row r="35" spans="2:21" x14ac:dyDescent="0.2">
      <c r="O35" s="2"/>
      <c r="P35" s="6"/>
      <c r="Q35" s="6"/>
      <c r="T35" s="226" t="s">
        <v>434</v>
      </c>
      <c r="U35" s="523">
        <f>[0]!Q_can</f>
        <v>4</v>
      </c>
    </row>
    <row r="36" spans="2:21" ht="13.5" thickBot="1" x14ac:dyDescent="0.25">
      <c r="T36" s="2"/>
      <c r="U36" s="12"/>
    </row>
    <row r="37" spans="2:21" x14ac:dyDescent="0.2">
      <c r="B37" s="71"/>
      <c r="C37" s="72"/>
      <c r="D37" s="72"/>
      <c r="E37" s="72"/>
      <c r="F37" s="72"/>
      <c r="G37" s="72"/>
      <c r="H37" s="72"/>
      <c r="I37" s="72"/>
      <c r="J37" s="72"/>
      <c r="K37" s="72"/>
      <c r="L37" s="72"/>
      <c r="M37" s="72"/>
      <c r="N37" s="73"/>
      <c r="T37" s="2"/>
    </row>
    <row r="38" spans="2:21" x14ac:dyDescent="0.2">
      <c r="B38" s="74"/>
      <c r="D38" s="2" t="s">
        <v>195</v>
      </c>
      <c r="H38" s="273" t="s">
        <v>562</v>
      </c>
      <c r="I38" t="str">
        <f>Matricule</f>
        <v>FX0</v>
      </c>
      <c r="N38" s="75"/>
    </row>
    <row r="39" spans="2:21" x14ac:dyDescent="0.2">
      <c r="B39" s="74"/>
      <c r="D39" s="2"/>
      <c r="N39" s="75"/>
    </row>
    <row r="40" spans="2:21" x14ac:dyDescent="0.2">
      <c r="B40" s="74"/>
      <c r="D40" s="275" t="s">
        <v>149</v>
      </c>
      <c r="E40" s="246">
        <f>D_ref</f>
        <v>104</v>
      </c>
      <c r="F40" s="265"/>
      <c r="G40" s="265"/>
      <c r="H40" s="261" t="s">
        <v>198</v>
      </c>
      <c r="I40" s="261" t="s">
        <v>199</v>
      </c>
      <c r="J40" s="262" t="s">
        <v>200</v>
      </c>
      <c r="N40" s="75"/>
    </row>
    <row r="41" spans="2:21" x14ac:dyDescent="0.2">
      <c r="B41" s="74"/>
      <c r="D41" s="276" t="s">
        <v>147</v>
      </c>
      <c r="E41" s="6">
        <f>Long_ogive</f>
        <v>1</v>
      </c>
      <c r="F41" s="2"/>
      <c r="G41" s="2" t="s">
        <v>201</v>
      </c>
      <c r="H41" s="6">
        <f>MasseSans</f>
        <v>4.3410000000000002</v>
      </c>
      <c r="I41" s="6">
        <f ca="1">MasseVide</f>
        <v>4.3410000000000002</v>
      </c>
      <c r="J41" s="244">
        <f ca="1">MassePlein</f>
        <v>4.3411</v>
      </c>
      <c r="N41" s="75"/>
    </row>
    <row r="42" spans="2:21" x14ac:dyDescent="0.2">
      <c r="B42" s="74"/>
      <c r="D42" s="276" t="s">
        <v>150</v>
      </c>
      <c r="E42" s="6">
        <f>X_ail-m_ail</f>
        <v>860</v>
      </c>
      <c r="F42" s="255"/>
      <c r="G42" s="255" t="s">
        <v>218</v>
      </c>
      <c r="H42" s="263">
        <f>XcgSans</f>
        <v>493</v>
      </c>
      <c r="I42" s="263">
        <f ca="1">XcgVide</f>
        <v>493.00000000000006</v>
      </c>
      <c r="J42" s="245">
        <f ca="1">XcgPlein</f>
        <v>493.0142129874917</v>
      </c>
      <c r="N42" s="75"/>
    </row>
    <row r="43" spans="2:21" x14ac:dyDescent="0.2">
      <c r="B43" s="74"/>
      <c r="D43" s="276" t="str">
        <f>IF(Lang="Français","Emplanture 'm'",IF(Lang="English","Root edge  'm'",""))</f>
        <v>Emplanture 'm'</v>
      </c>
      <c r="E43" s="244">
        <f>m_ail</f>
        <v>210</v>
      </c>
      <c r="N43" s="75"/>
    </row>
    <row r="44" spans="2:21" x14ac:dyDescent="0.2">
      <c r="B44" s="74"/>
      <c r="D44" s="276" t="str">
        <f>IF(Lang="Français","Saumon      'n'",IF(Lang="English","Tip edge    'n'",""))</f>
        <v>Saumon      'n'</v>
      </c>
      <c r="E44" s="244">
        <f>n_ail</f>
        <v>80</v>
      </c>
      <c r="F44" s="246" t="s">
        <v>202</v>
      </c>
      <c r="G44" s="246" t="s">
        <v>207</v>
      </c>
      <c r="H44" s="672" t="e">
        <f ca="1">Vsortie_de_rampe</f>
        <v>#N/A</v>
      </c>
      <c r="I44" s="673"/>
      <c r="N44" s="75"/>
    </row>
    <row r="45" spans="2:21" x14ac:dyDescent="0.2">
      <c r="B45" s="74"/>
      <c r="D45" s="276" t="str">
        <f>IF(Lang="Français","Flèche        'p'",IF(Lang="English","Offset         'p'",""))</f>
        <v>Flèche        'p'</v>
      </c>
      <c r="E45" s="244">
        <f>p_ail</f>
        <v>185</v>
      </c>
      <c r="F45" s="6" t="s">
        <v>203</v>
      </c>
      <c r="G45" s="6" t="s">
        <v>208</v>
      </c>
      <c r="H45" s="674">
        <f>Finesse</f>
        <v>10.76923076923077</v>
      </c>
      <c r="I45" s="675"/>
      <c r="N45" s="75"/>
    </row>
    <row r="46" spans="2:21" x14ac:dyDescent="0.2">
      <c r="B46" s="74"/>
      <c r="D46" s="276" t="str">
        <f>IF(Lang="Français","Envergure   'E'",IF(Lang="English","Span          'E'",""))</f>
        <v>Envergure   'E'</v>
      </c>
      <c r="E46" s="244">
        <f>E_ail</f>
        <v>145</v>
      </c>
      <c r="F46" s="6" t="s">
        <v>204</v>
      </c>
      <c r="G46" s="6" t="s">
        <v>209</v>
      </c>
      <c r="H46" s="674">
        <f>Cn</f>
        <v>16.203642049332345</v>
      </c>
      <c r="I46" s="675"/>
      <c r="N46" s="75"/>
    </row>
    <row r="47" spans="2:21" x14ac:dyDescent="0.2">
      <c r="B47" s="74"/>
      <c r="D47" s="276" t="s">
        <v>144</v>
      </c>
      <c r="E47" s="244">
        <f>ep_ail</f>
        <v>4</v>
      </c>
      <c r="F47" s="6" t="s">
        <v>205</v>
      </c>
      <c r="G47" s="6" t="s">
        <v>210</v>
      </c>
      <c r="H47" s="247">
        <f ca="1">MS_min</f>
        <v>3.4627655069924241</v>
      </c>
      <c r="I47" s="254">
        <f ca="1">MS_max</f>
        <v>3.46290217033369</v>
      </c>
      <c r="N47" s="75"/>
    </row>
    <row r="48" spans="2:21" x14ac:dyDescent="0.2">
      <c r="B48" s="74"/>
      <c r="D48" s="276" t="s">
        <v>145</v>
      </c>
      <c r="E48" s="244">
        <f>Q_ail</f>
        <v>4</v>
      </c>
      <c r="F48" s="274" t="s">
        <v>206</v>
      </c>
      <c r="G48" s="274" t="s">
        <v>211</v>
      </c>
      <c r="H48" s="256">
        <f ca="1">MS_Cn_min</f>
        <v>56.109412776080077</v>
      </c>
      <c r="I48" s="264">
        <f ca="1">MS_Cn_max</f>
        <v>56.111627219943216</v>
      </c>
      <c r="N48" s="75"/>
    </row>
    <row r="49" spans="2:14" x14ac:dyDescent="0.2">
      <c r="B49" s="74"/>
      <c r="D49" s="276" t="s">
        <v>148</v>
      </c>
      <c r="E49" s="244">
        <f ca="1">XpropuRef-Long_propu</f>
        <v>1110</v>
      </c>
      <c r="N49" s="75"/>
    </row>
    <row r="50" spans="2:14" x14ac:dyDescent="0.2">
      <c r="B50" s="74"/>
      <c r="D50" s="276" t="s">
        <v>146</v>
      </c>
      <c r="E50" s="272" t="str">
        <f>Forme_ogive</f>
        <v>Conique (droite)</v>
      </c>
      <c r="F50" s="273" t="s">
        <v>183</v>
      </c>
      <c r="G50" s="275" t="s">
        <v>5</v>
      </c>
      <c r="H50" s="246">
        <f>Cx</f>
        <v>0.6</v>
      </c>
      <c r="I50" s="265"/>
      <c r="J50" s="266"/>
      <c r="N50" s="75"/>
    </row>
    <row r="51" spans="2:14" x14ac:dyDescent="0.2">
      <c r="B51" s="74"/>
      <c r="D51" s="276" t="s">
        <v>142</v>
      </c>
      <c r="E51" s="244">
        <f>Long_tot</f>
        <v>1120</v>
      </c>
      <c r="G51" s="276" t="s">
        <v>212</v>
      </c>
      <c r="H51" s="6">
        <f>Sref</f>
        <v>1.0814866535306802E-2</v>
      </c>
      <c r="J51" s="267"/>
      <c r="N51" s="75"/>
    </row>
    <row r="52" spans="2:14" x14ac:dyDescent="0.2">
      <c r="B52" s="74"/>
      <c r="D52" s="276" t="s">
        <v>196</v>
      </c>
      <c r="E52" s="244">
        <f>MAX(D_ref,D_ail,D_og,(RIGHT(Nb_diam,1)=",")*MAX(D1j,D1r,D2j,D2r))</f>
        <v>104</v>
      </c>
      <c r="G52" s="276" t="s">
        <v>213</v>
      </c>
      <c r="H52" s="6">
        <f>Beta_rampe</f>
        <v>75.473742154207713</v>
      </c>
      <c r="I52" s="6">
        <v>80</v>
      </c>
      <c r="J52" s="244">
        <v>90</v>
      </c>
      <c r="N52" s="75"/>
    </row>
    <row r="53" spans="2:14" x14ac:dyDescent="0.2">
      <c r="B53" s="74"/>
      <c r="D53" s="277" t="s">
        <v>197</v>
      </c>
      <c r="E53" s="260">
        <f>E_ail*2+D_ail</f>
        <v>394</v>
      </c>
      <c r="G53" s="278" t="s">
        <v>215</v>
      </c>
      <c r="H53" s="247">
        <f ca="1">Temps_culmi</f>
        <v>10.099999999999982</v>
      </c>
      <c r="I53" s="259"/>
      <c r="J53" s="268"/>
      <c r="N53" s="75"/>
    </row>
    <row r="54" spans="2:14" x14ac:dyDescent="0.2">
      <c r="B54" s="74"/>
      <c r="G54" s="278" t="s">
        <v>216</v>
      </c>
      <c r="H54" s="242">
        <f ca="1">Altitude_culmi</f>
        <v>1190.5018925981813</v>
      </c>
      <c r="I54" s="259"/>
      <c r="J54" s="268"/>
      <c r="N54" s="75"/>
    </row>
    <row r="55" spans="2:14" x14ac:dyDescent="0.2">
      <c r="B55" s="74"/>
      <c r="C55" s="275" t="s">
        <v>233</v>
      </c>
      <c r="D55" s="249" t="s">
        <v>60</v>
      </c>
      <c r="E55" s="243">
        <f>Long_tot</f>
        <v>1120</v>
      </c>
      <c r="G55" s="278" t="s">
        <v>217</v>
      </c>
      <c r="H55" s="248">
        <f ca="1">Vit_culmi</f>
        <v>21.585604693456549</v>
      </c>
      <c r="I55" s="259"/>
      <c r="J55" s="268"/>
      <c r="N55" s="75"/>
    </row>
    <row r="56" spans="2:14" x14ac:dyDescent="0.2">
      <c r="B56" s="74"/>
      <c r="C56" s="276"/>
      <c r="D56" s="2" t="s">
        <v>219</v>
      </c>
      <c r="E56" s="244">
        <f>MAX(D_ref,D_ail,D_og,(RIGHT(Nb_diam,1)=",")*MAX(D1j,D1r,D2j,D2r))</f>
        <v>104</v>
      </c>
      <c r="G56" s="278" t="s">
        <v>133</v>
      </c>
      <c r="H56" s="242">
        <f ca="1">Portee_balistique</f>
        <v>678.53524446899166</v>
      </c>
      <c r="I56" s="259"/>
      <c r="J56" s="268"/>
      <c r="N56" s="75"/>
    </row>
    <row r="57" spans="2:14" x14ac:dyDescent="0.2">
      <c r="B57" s="74"/>
      <c r="C57" s="276"/>
      <c r="D57" s="2" t="s">
        <v>220</v>
      </c>
      <c r="E57" s="244">
        <f>E_ail*2+D_ail</f>
        <v>394</v>
      </c>
      <c r="G57" s="278" t="s">
        <v>214</v>
      </c>
      <c r="H57" s="242">
        <f ca="1">T_balistique</f>
        <v>28.60000000000014</v>
      </c>
      <c r="I57" s="259"/>
      <c r="J57" s="268"/>
      <c r="N57" s="75"/>
    </row>
    <row r="58" spans="2:14" x14ac:dyDescent="0.2">
      <c r="B58" s="74"/>
      <c r="C58" s="276"/>
      <c r="D58" s="2" t="s">
        <v>221</v>
      </c>
      <c r="E58" s="244">
        <f ca="1">MassePlein</f>
        <v>4.3411</v>
      </c>
      <c r="G58" s="278" t="s">
        <v>137</v>
      </c>
      <c r="H58" s="248">
        <f ca="1">Vit_max</f>
        <v>154.77051376708334</v>
      </c>
      <c r="I58" s="259"/>
      <c r="J58" s="268"/>
      <c r="N58" s="75"/>
    </row>
    <row r="59" spans="2:14" x14ac:dyDescent="0.2">
      <c r="B59" s="74"/>
      <c r="C59" s="277" t="s">
        <v>234</v>
      </c>
      <c r="D59" s="255" t="s">
        <v>145</v>
      </c>
      <c r="E59" s="260">
        <f>Q_ail</f>
        <v>4</v>
      </c>
      <c r="G59" s="278" t="s">
        <v>136</v>
      </c>
      <c r="H59" s="242">
        <f ca="1">Acc_max</f>
        <v>30.311316779788786</v>
      </c>
      <c r="I59" s="259"/>
      <c r="J59" s="268"/>
      <c r="N59" s="75"/>
    </row>
    <row r="60" spans="2:14" x14ac:dyDescent="0.2">
      <c r="B60" s="74"/>
      <c r="C60" s="12"/>
      <c r="G60" s="269" t="s">
        <v>222</v>
      </c>
      <c r="H60" s="270"/>
      <c r="I60" s="270"/>
      <c r="J60" s="271"/>
      <c r="N60" s="75"/>
    </row>
    <row r="61" spans="2:14" x14ac:dyDescent="0.2">
      <c r="B61" s="74"/>
      <c r="C61" s="275"/>
      <c r="D61" s="249"/>
      <c r="E61" s="246" t="s">
        <v>226</v>
      </c>
      <c r="F61" s="243" t="s">
        <v>227</v>
      </c>
      <c r="G61" s="2"/>
      <c r="H61" s="2"/>
      <c r="I61" s="2"/>
      <c r="J61" s="2"/>
      <c r="K61" s="2"/>
      <c r="N61" s="75"/>
    </row>
    <row r="62" spans="2:14" x14ac:dyDescent="0.2">
      <c r="B62" s="74"/>
      <c r="C62" s="276" t="s">
        <v>235</v>
      </c>
      <c r="D62" s="2" t="s">
        <v>225</v>
      </c>
      <c r="E62" s="242">
        <f ca="1">2*Acc_max*MassePlein</f>
        <v>263.16891454548221</v>
      </c>
      <c r="F62" s="280">
        <f ca="1">E62/9.81</f>
        <v>26.826596793627136</v>
      </c>
      <c r="H62" s="2"/>
      <c r="I62" s="2"/>
      <c r="J62" s="2"/>
      <c r="K62" s="2"/>
      <c r="N62" s="75"/>
    </row>
    <row r="63" spans="2:14" x14ac:dyDescent="0.2">
      <c r="B63" s="74"/>
      <c r="C63" s="276"/>
      <c r="D63" s="2" t="s">
        <v>223</v>
      </c>
      <c r="E63" s="242">
        <f ca="1">2*Acc_max*Masse_ail</f>
        <v>10.196726964720947</v>
      </c>
      <c r="F63" s="248">
        <f ca="1">E63/9.81</f>
        <v>1.0394217089419924</v>
      </c>
      <c r="G63" s="246" t="s">
        <v>229</v>
      </c>
      <c r="H63" s="288">
        <f>S_ail*(ep_ail/1000)*2000</f>
        <v>0.16819999999999999</v>
      </c>
      <c r="I63" s="2"/>
      <c r="J63" s="2"/>
      <c r="K63" s="2"/>
      <c r="N63" s="75"/>
    </row>
    <row r="64" spans="2:14" x14ac:dyDescent="0.2">
      <c r="B64" s="74"/>
      <c r="C64" s="277"/>
      <c r="D64" s="255" t="s">
        <v>224</v>
      </c>
      <c r="E64" s="263">
        <f ca="1">0.104*S_ail*Vit_max^2</f>
        <v>52.377623829914114</v>
      </c>
      <c r="F64" s="281">
        <f ca="1">E64/9.81</f>
        <v>5.3392073221115304</v>
      </c>
      <c r="G64" s="274" t="s">
        <v>228</v>
      </c>
      <c r="H64" s="289">
        <f>(E_ail*(m_ail+n_ail)/2)/10^6</f>
        <v>2.1024999999999999E-2</v>
      </c>
      <c r="I64" s="2"/>
      <c r="J64" s="2"/>
      <c r="K64" s="2"/>
      <c r="N64" s="75"/>
    </row>
    <row r="65" spans="2:14" x14ac:dyDescent="0.2">
      <c r="B65" s="74"/>
      <c r="C65" s="282" t="s">
        <v>242</v>
      </c>
      <c r="D65" s="285" t="s">
        <v>240</v>
      </c>
      <c r="E65" s="286">
        <f ca="1">2*Acc_max*H65</f>
        <v>131.5844572727411</v>
      </c>
      <c r="F65" s="286">
        <f ca="1">E65/9.81</f>
        <v>13.413298396813568</v>
      </c>
      <c r="G65" s="287" t="s">
        <v>241</v>
      </c>
      <c r="H65" s="279">
        <f ca="1">E58/2</f>
        <v>2.17055</v>
      </c>
      <c r="I65" s="2"/>
      <c r="J65" s="2"/>
      <c r="K65" s="2"/>
      <c r="N65" s="75"/>
    </row>
    <row r="66" spans="2:14" x14ac:dyDescent="0.2">
      <c r="B66" s="74"/>
      <c r="C66" s="6"/>
      <c r="D66" s="2"/>
      <c r="E66" s="2"/>
      <c r="F66" s="2"/>
      <c r="G66" s="2"/>
      <c r="H66" s="2"/>
      <c r="I66" s="2"/>
      <c r="J66" s="2"/>
      <c r="K66" s="2"/>
      <c r="N66" s="75"/>
    </row>
    <row r="67" spans="2:14" x14ac:dyDescent="0.2">
      <c r="B67" s="74"/>
      <c r="F67" s="275" t="s">
        <v>232</v>
      </c>
      <c r="G67" s="249" t="s">
        <v>230</v>
      </c>
      <c r="H67" s="250">
        <f>T_para</f>
        <v>11.1</v>
      </c>
      <c r="I67" s="251">
        <f ca="1">Temps_culmi</f>
        <v>10.099999999999982</v>
      </c>
      <c r="J67" s="2"/>
      <c r="K67" s="2"/>
      <c r="N67" s="75"/>
    </row>
    <row r="68" spans="2:14" x14ac:dyDescent="0.2">
      <c r="B68" s="74"/>
      <c r="C68" s="6"/>
      <c r="D68" s="2"/>
      <c r="E68" s="2"/>
      <c r="F68" s="275" t="s">
        <v>231</v>
      </c>
      <c r="G68" s="249" t="s">
        <v>129</v>
      </c>
      <c r="H68" s="250">
        <f ca="1">V_para</f>
        <v>12.029003578663529</v>
      </c>
      <c r="I68" s="251">
        <f>V_satellite</f>
        <v>12.655562623057198</v>
      </c>
      <c r="J68" s="2"/>
      <c r="K68" s="2"/>
      <c r="N68" s="75"/>
    </row>
    <row r="69" spans="2:14" x14ac:dyDescent="0.2">
      <c r="B69" s="74"/>
      <c r="C69" s="6"/>
      <c r="D69" s="2"/>
      <c r="E69" s="2"/>
      <c r="F69" s="276"/>
      <c r="G69" s="2" t="s">
        <v>237</v>
      </c>
      <c r="H69" s="247">
        <f>S_para</f>
        <v>0.48049999999999998</v>
      </c>
      <c r="I69" s="253">
        <f>S_satellite</f>
        <v>0.1</v>
      </c>
      <c r="J69" s="2"/>
      <c r="K69" s="2"/>
      <c r="N69" s="75"/>
    </row>
    <row r="70" spans="2:14" x14ac:dyDescent="0.2">
      <c r="B70" s="74"/>
      <c r="C70" s="226"/>
      <c r="D70" s="2"/>
      <c r="F70" s="276"/>
      <c r="G70" s="2" t="s">
        <v>236</v>
      </c>
      <c r="H70" s="247">
        <f ca="1">V_ouverture</f>
        <v>22.984123087201485</v>
      </c>
      <c r="I70" s="253">
        <f ca="1">V_ouv_sat</f>
        <v>65.159625182603349</v>
      </c>
      <c r="N70" s="75"/>
    </row>
    <row r="71" spans="2:14" x14ac:dyDescent="0.2">
      <c r="B71" s="74"/>
      <c r="C71" s="226"/>
      <c r="F71" s="276"/>
      <c r="G71" s="2" t="s">
        <v>201</v>
      </c>
      <c r="H71" s="247">
        <f ca="1">m_vide</f>
        <v>4.3410000000000002</v>
      </c>
      <c r="I71" s="253">
        <f>m_satellite</f>
        <v>1</v>
      </c>
      <c r="N71" s="75"/>
    </row>
    <row r="72" spans="2:14" x14ac:dyDescent="0.2">
      <c r="B72" s="74"/>
      <c r="C72" s="226"/>
      <c r="F72" s="276"/>
      <c r="G72" s="2" t="s">
        <v>238</v>
      </c>
      <c r="H72" s="283">
        <f ca="1">1/2*Rho_moyen*S_para*V_ouverture^2</f>
        <v>155.47313740295206</v>
      </c>
      <c r="I72" s="284">
        <f ca="1">1/2*Rho_moyen*S_satellite*V_ouv_sat^2</f>
        <v>260.05382617866309</v>
      </c>
      <c r="N72" s="75"/>
    </row>
    <row r="73" spans="2:14" x14ac:dyDescent="0.2">
      <c r="B73" s="74"/>
      <c r="D73" s="2"/>
      <c r="F73" s="277"/>
      <c r="G73" s="255" t="s">
        <v>239</v>
      </c>
      <c r="H73" s="256">
        <f ca="1">H72/9.81</f>
        <v>15.848433986029772</v>
      </c>
      <c r="I73" s="257">
        <f ca="1">I72/9.81</f>
        <v>26.509054656336705</v>
      </c>
      <c r="N73" s="75"/>
    </row>
    <row r="74" spans="2:14" ht="13.5" thickBot="1" x14ac:dyDescent="0.25">
      <c r="B74" s="77"/>
      <c r="C74" s="78"/>
      <c r="D74" s="78"/>
      <c r="E74" s="78"/>
      <c r="F74" s="78"/>
      <c r="G74" s="78"/>
      <c r="H74" s="78"/>
      <c r="I74" s="78"/>
      <c r="J74" s="78"/>
      <c r="K74" s="78"/>
      <c r="L74" s="78"/>
      <c r="M74" s="78"/>
      <c r="N74" s="79"/>
    </row>
    <row r="76" spans="2:14" ht="13.5" thickBot="1" x14ac:dyDescent="0.25"/>
    <row r="77" spans="2:14" x14ac:dyDescent="0.2">
      <c r="B77" s="71"/>
      <c r="C77" s="72"/>
      <c r="D77" s="72"/>
      <c r="E77" s="72"/>
      <c r="F77" s="72"/>
      <c r="G77" s="72"/>
      <c r="H77" s="72"/>
      <c r="I77" s="72"/>
      <c r="J77" s="72"/>
      <c r="K77" s="72"/>
      <c r="L77" s="72"/>
      <c r="M77" s="72"/>
      <c r="N77" s="73"/>
    </row>
    <row r="78" spans="2:14" x14ac:dyDescent="0.2">
      <c r="B78" s="74"/>
      <c r="D78" s="2" t="s">
        <v>333</v>
      </c>
      <c r="N78" s="75"/>
    </row>
    <row r="79" spans="2:14" ht="12.75" customHeight="1" x14ac:dyDescent="0.25">
      <c r="B79" s="74"/>
      <c r="E79" s="48"/>
      <c r="F79" s="48"/>
      <c r="G79" s="435" t="s">
        <v>339</v>
      </c>
      <c r="I79" s="448"/>
      <c r="J79" s="48"/>
      <c r="K79" s="48"/>
      <c r="N79" s="75"/>
    </row>
    <row r="80" spans="2:14" x14ac:dyDescent="0.2">
      <c r="B80" s="74"/>
      <c r="C80" s="275" t="s">
        <v>334</v>
      </c>
      <c r="D80" s="243" t="str">
        <f>Nom</f>
        <v>SP02</v>
      </c>
      <c r="E80" s="48"/>
      <c r="F80" s="48"/>
      <c r="G80" s="48"/>
      <c r="H80" s="48"/>
      <c r="I80" s="48"/>
      <c r="J80" s="48"/>
      <c r="K80" s="48"/>
      <c r="N80" s="75"/>
    </row>
    <row r="81" spans="2:14" ht="13.5" thickBot="1" x14ac:dyDescent="0.25">
      <c r="B81" s="74"/>
      <c r="C81" s="276" t="s">
        <v>4</v>
      </c>
      <c r="D81" s="244" t="str">
        <f>Club</f>
        <v>L'AéroIPSA</v>
      </c>
      <c r="E81" s="48"/>
      <c r="F81" s="48"/>
      <c r="G81" s="48"/>
      <c r="H81" s="48"/>
      <c r="I81" s="48"/>
      <c r="J81" s="48"/>
      <c r="K81" s="48"/>
      <c r="N81" s="75"/>
    </row>
    <row r="82" spans="2:14" ht="13.5" thickBot="1" x14ac:dyDescent="0.25">
      <c r="B82" s="74"/>
      <c r="C82" s="432" t="s">
        <v>335</v>
      </c>
      <c r="D82" s="244" t="s">
        <v>14</v>
      </c>
      <c r="E82" s="273" t="s">
        <v>340</v>
      </c>
      <c r="F82" s="441">
        <f>Long_ogive</f>
        <v>1</v>
      </c>
      <c r="G82" s="48"/>
      <c r="H82" s="48"/>
      <c r="I82" s="48"/>
      <c r="J82" s="48"/>
      <c r="K82" s="48"/>
      <c r="N82" s="75"/>
    </row>
    <row r="83" spans="2:14" x14ac:dyDescent="0.2">
      <c r="B83" s="74"/>
      <c r="C83" s="277" t="s">
        <v>336</v>
      </c>
      <c r="D83" s="433">
        <f ca="1">TODAY()</f>
        <v>46139</v>
      </c>
      <c r="E83" s="48"/>
      <c r="F83" s="436"/>
      <c r="G83" s="48"/>
      <c r="H83" s="48"/>
      <c r="I83" s="48"/>
      <c r="J83" s="48"/>
      <c r="K83" s="48"/>
      <c r="N83" s="75"/>
    </row>
    <row r="84" spans="2:14" ht="13.5" thickBot="1" x14ac:dyDescent="0.25">
      <c r="B84" s="74"/>
      <c r="E84" s="48"/>
      <c r="F84" s="436"/>
      <c r="G84" s="48"/>
      <c r="H84" s="48"/>
      <c r="I84" s="48"/>
      <c r="J84" s="440">
        <f>IF(RIGHT(Nb_diam,1)=",", "", X_j)</f>
        <v>1</v>
      </c>
      <c r="K84" s="48"/>
      <c r="N84" s="75"/>
    </row>
    <row r="85" spans="2:14" ht="13.5" thickBot="1" x14ac:dyDescent="0.25">
      <c r="B85" s="74"/>
      <c r="C85" s="275" t="s">
        <v>337</v>
      </c>
      <c r="D85" s="243" t="str">
        <f>Propu</f>
        <v>Aucun (2e ét. inerte)</v>
      </c>
      <c r="E85" s="273" t="s">
        <v>341</v>
      </c>
      <c r="F85" s="441">
        <f>D_og</f>
        <v>84</v>
      </c>
      <c r="G85" s="48"/>
      <c r="H85" s="48"/>
      <c r="I85" s="48"/>
      <c r="J85" s="436"/>
      <c r="K85" s="48"/>
      <c r="N85" s="75"/>
    </row>
    <row r="86" spans="2:14" x14ac:dyDescent="0.2">
      <c r="B86" s="74"/>
      <c r="C86" s="277" t="s">
        <v>338</v>
      </c>
      <c r="D86" s="260" t="s">
        <v>14</v>
      </c>
      <c r="E86" s="48"/>
      <c r="F86" s="436"/>
      <c r="G86" s="48"/>
      <c r="H86" s="48"/>
      <c r="I86" s="48"/>
      <c r="J86" s="440">
        <f>IF(RIGHT(Nb_diam,1)=",", "", X_r)</f>
        <v>1070</v>
      </c>
      <c r="K86" s="48"/>
      <c r="N86" s="75"/>
    </row>
    <row r="87" spans="2:14" x14ac:dyDescent="0.2">
      <c r="B87" s="74"/>
      <c r="E87" s="48"/>
      <c r="F87" s="436"/>
      <c r="G87" s="48"/>
      <c r="H87" s="48"/>
      <c r="I87" s="48"/>
      <c r="J87" s="436"/>
      <c r="K87" s="48"/>
      <c r="N87" s="75"/>
    </row>
    <row r="88" spans="2:14" x14ac:dyDescent="0.2">
      <c r="B88" s="74"/>
      <c r="E88" s="48"/>
      <c r="F88" s="436"/>
      <c r="G88" s="48"/>
      <c r="H88" s="48"/>
      <c r="I88" s="48"/>
      <c r="J88" s="440">
        <f>IF(RIGHT(Nb_diam,1)=",", "", l_j)</f>
        <v>60</v>
      </c>
      <c r="K88" s="48"/>
      <c r="N88" s="75"/>
    </row>
    <row r="89" spans="2:14" ht="13.5" thickBot="1" x14ac:dyDescent="0.25">
      <c r="B89" s="74"/>
      <c r="E89" s="48"/>
      <c r="F89" s="436"/>
      <c r="G89" s="48"/>
      <c r="H89" s="48"/>
      <c r="I89" s="48"/>
      <c r="J89" s="436"/>
      <c r="K89" s="48"/>
      <c r="N89" s="75"/>
    </row>
    <row r="90" spans="2:14" ht="13.5" thickBot="1" x14ac:dyDescent="0.25">
      <c r="B90" s="74"/>
      <c r="E90" s="434" t="s">
        <v>342</v>
      </c>
      <c r="F90" s="440">
        <f>IF(RIGHT(Nb_diam,1)=",", "", D2j)</f>
        <v>104</v>
      </c>
      <c r="G90" s="48"/>
      <c r="H90" s="48"/>
      <c r="I90" s="48"/>
      <c r="J90" s="441">
        <f>X_ail-m_ail</f>
        <v>860</v>
      </c>
      <c r="K90" s="2"/>
      <c r="N90" s="75"/>
    </row>
    <row r="91" spans="2:14" x14ac:dyDescent="0.2">
      <c r="B91" s="74"/>
      <c r="E91" s="48"/>
      <c r="F91" s="436"/>
      <c r="G91" s="48"/>
      <c r="H91" s="48"/>
      <c r="I91" s="48"/>
      <c r="J91" s="436"/>
      <c r="K91" s="48"/>
      <c r="N91" s="75"/>
    </row>
    <row r="92" spans="2:14" x14ac:dyDescent="0.2">
      <c r="B92" s="74"/>
      <c r="E92" s="48"/>
      <c r="F92" s="436"/>
      <c r="G92" s="48"/>
      <c r="H92" s="48"/>
      <c r="I92" s="48"/>
      <c r="J92" s="440">
        <f>IF(RIGHT(Nb_diam,1)=",", "", l_r)</f>
        <v>50</v>
      </c>
      <c r="K92" s="48"/>
      <c r="N92" s="75"/>
    </row>
    <row r="93" spans="2:14" x14ac:dyDescent="0.2">
      <c r="B93" s="74"/>
      <c r="E93" s="48"/>
      <c r="F93" s="436"/>
      <c r="G93" s="48"/>
      <c r="H93" s="48"/>
      <c r="I93" s="48"/>
      <c r="J93" s="436"/>
      <c r="K93" s="48"/>
      <c r="N93" s="75"/>
    </row>
    <row r="94" spans="2:14" x14ac:dyDescent="0.2">
      <c r="B94" s="74"/>
      <c r="E94" s="434" t="s">
        <v>343</v>
      </c>
      <c r="F94" s="440">
        <f>IF(RIGHT(Nb_diam,1)=",", "", D2r)</f>
        <v>84</v>
      </c>
      <c r="G94" s="48"/>
      <c r="H94" s="48"/>
      <c r="I94" s="48"/>
      <c r="J94" s="436"/>
      <c r="K94" s="48"/>
      <c r="N94" s="75"/>
    </row>
    <row r="95" spans="2:14" x14ac:dyDescent="0.2">
      <c r="B95" s="74"/>
      <c r="E95" s="48"/>
      <c r="F95" s="436"/>
      <c r="G95" s="48"/>
      <c r="H95" s="48"/>
      <c r="I95" s="48"/>
      <c r="J95" s="436"/>
      <c r="K95" s="48"/>
      <c r="N95" s="75"/>
    </row>
    <row r="96" spans="2:14" ht="13.5" thickBot="1" x14ac:dyDescent="0.25">
      <c r="B96" s="74"/>
      <c r="E96" s="48"/>
      <c r="F96" s="436"/>
      <c r="G96" s="48"/>
      <c r="H96" s="48"/>
      <c r="I96" s="48"/>
      <c r="J96" s="436"/>
      <c r="K96" s="48"/>
      <c r="N96" s="75"/>
    </row>
    <row r="97" spans="2:14" ht="13.5" thickBot="1" x14ac:dyDescent="0.25">
      <c r="B97" s="74"/>
      <c r="E97" s="273" t="s">
        <v>344</v>
      </c>
      <c r="F97" s="441">
        <f>m_ail</f>
        <v>210</v>
      </c>
      <c r="G97" s="48"/>
      <c r="H97" s="48"/>
      <c r="I97" s="48"/>
      <c r="J97" s="441">
        <f>p_ail</f>
        <v>185</v>
      </c>
      <c r="K97" s="2"/>
      <c r="N97" s="75"/>
    </row>
    <row r="98" spans="2:14" x14ac:dyDescent="0.2">
      <c r="B98" s="74"/>
      <c r="E98" s="48"/>
      <c r="F98" s="48"/>
      <c r="G98" s="48"/>
      <c r="H98" s="48"/>
      <c r="I98" s="48"/>
      <c r="J98" s="436"/>
      <c r="K98" s="48"/>
      <c r="N98" s="75"/>
    </row>
    <row r="99" spans="2:14" x14ac:dyDescent="0.2">
      <c r="B99" s="74"/>
      <c r="E99" s="48"/>
      <c r="F99" s="48"/>
      <c r="G99" s="48"/>
      <c r="H99" s="48"/>
      <c r="I99" s="48"/>
      <c r="J99" s="436"/>
      <c r="K99" s="48"/>
      <c r="N99" s="75"/>
    </row>
    <row r="100" spans="2:14" ht="13.5" thickBot="1" x14ac:dyDescent="0.25">
      <c r="B100" s="74"/>
      <c r="D100" s="429" t="s">
        <v>346</v>
      </c>
      <c r="E100" s="246">
        <f>Q_ail</f>
        <v>4</v>
      </c>
      <c r="F100" s="430"/>
      <c r="G100" s="48"/>
      <c r="H100" s="48"/>
      <c r="I100" s="48"/>
      <c r="J100" s="436"/>
      <c r="K100" s="48"/>
      <c r="N100" s="75"/>
    </row>
    <row r="101" spans="2:14" ht="13.5" thickBot="1" x14ac:dyDescent="0.25">
      <c r="B101" s="74"/>
      <c r="D101" s="437" t="s">
        <v>350</v>
      </c>
      <c r="E101" s="6">
        <f ca="1">XpropuRef-Long_propu</f>
        <v>1110</v>
      </c>
      <c r="F101" s="252"/>
      <c r="G101" s="48"/>
      <c r="H101" s="48"/>
      <c r="I101" s="48"/>
      <c r="J101" s="441">
        <f>n_ail</f>
        <v>80</v>
      </c>
      <c r="K101" s="2"/>
      <c r="N101" s="75"/>
    </row>
    <row r="102" spans="2:14" x14ac:dyDescent="0.2">
      <c r="B102" s="74"/>
      <c r="D102" s="437" t="s">
        <v>347</v>
      </c>
      <c r="E102" s="6">
        <f>IF(LEFT(Forme_ogive,4)="Ogiv",1,0)</f>
        <v>0</v>
      </c>
      <c r="F102" s="252" t="s">
        <v>348</v>
      </c>
      <c r="G102" s="48"/>
      <c r="H102" s="48"/>
      <c r="I102" s="48"/>
      <c r="J102" s="436"/>
      <c r="K102" s="48"/>
      <c r="N102" s="75"/>
    </row>
    <row r="103" spans="2:14" x14ac:dyDescent="0.2">
      <c r="B103" s="74"/>
      <c r="D103" s="437"/>
      <c r="E103" s="6">
        <f>IF(LEFT(Forme_ogive,3)="Con",1,0)</f>
        <v>1</v>
      </c>
      <c r="F103" s="252" t="s">
        <v>159</v>
      </c>
      <c r="G103" s="48"/>
      <c r="H103" s="48"/>
      <c r="I103" s="48"/>
      <c r="J103" s="436"/>
      <c r="K103" s="48"/>
      <c r="N103" s="75"/>
    </row>
    <row r="104" spans="2:14" ht="13.5" thickBot="1" x14ac:dyDescent="0.25">
      <c r="B104" s="74"/>
      <c r="D104" s="431"/>
      <c r="E104" s="274">
        <f>IF(LEFT(Forme_ogive,5)="Parab",1,0)</f>
        <v>0</v>
      </c>
      <c r="F104" s="289" t="s">
        <v>349</v>
      </c>
      <c r="G104" s="48"/>
      <c r="H104" s="48"/>
      <c r="I104" s="48"/>
      <c r="J104" s="12" t="s">
        <v>345</v>
      </c>
      <c r="K104" s="48"/>
      <c r="N104" s="75"/>
    </row>
    <row r="105" spans="2:14" ht="13.5" thickBot="1" x14ac:dyDescent="0.25">
      <c r="B105" s="74"/>
      <c r="D105" s="2"/>
      <c r="E105" s="2"/>
      <c r="F105" s="2"/>
      <c r="G105" s="273"/>
      <c r="H105" s="441">
        <f>E_ail</f>
        <v>145</v>
      </c>
      <c r="I105" s="273"/>
      <c r="J105" s="441">
        <f>ep_ail</f>
        <v>4</v>
      </c>
      <c r="K105" s="48"/>
      <c r="N105" s="75"/>
    </row>
    <row r="106" spans="2:14" x14ac:dyDescent="0.2">
      <c r="B106" s="74"/>
      <c r="D106" s="429"/>
      <c r="E106" s="246" t="s">
        <v>354</v>
      </c>
      <c r="F106" s="243" t="s">
        <v>353</v>
      </c>
      <c r="N106" s="75"/>
    </row>
    <row r="107" spans="2:14" x14ac:dyDescent="0.2">
      <c r="B107" s="74"/>
      <c r="D107" s="437" t="s">
        <v>351</v>
      </c>
      <c r="E107" s="6">
        <f>MasseSans</f>
        <v>4.3410000000000002</v>
      </c>
      <c r="F107" s="244">
        <f ca="1">MassePlein</f>
        <v>4.3411</v>
      </c>
      <c r="N107" s="75"/>
    </row>
    <row r="108" spans="2:14" x14ac:dyDescent="0.2">
      <c r="B108" s="74"/>
      <c r="D108" s="431" t="s">
        <v>352</v>
      </c>
      <c r="E108" s="274">
        <f>XcgSans</f>
        <v>493</v>
      </c>
      <c r="F108" s="260">
        <f ca="1">XcgPlein</f>
        <v>493.0142129874917</v>
      </c>
      <c r="N108" s="75"/>
    </row>
    <row r="109" spans="2:14" x14ac:dyDescent="0.2">
      <c r="B109" s="74"/>
      <c r="N109" s="75"/>
    </row>
    <row r="110" spans="2:14" x14ac:dyDescent="0.2">
      <c r="B110" s="74"/>
      <c r="D110" s="438" t="s">
        <v>355</v>
      </c>
      <c r="E110" s="439">
        <f ca="1">MasseVide</f>
        <v>4.3410000000000002</v>
      </c>
      <c r="G110" s="429" t="s">
        <v>356</v>
      </c>
      <c r="H110" s="265"/>
      <c r="I110" s="265"/>
      <c r="J110" s="266"/>
      <c r="N110" s="75"/>
    </row>
    <row r="111" spans="2:14" x14ac:dyDescent="0.2">
      <c r="B111" s="74"/>
      <c r="G111" s="276" t="s">
        <v>213</v>
      </c>
      <c r="H111" s="6">
        <f>Beta_rampe</f>
        <v>75.473742154207713</v>
      </c>
      <c r="I111" s="6">
        <v>80</v>
      </c>
      <c r="J111" s="244">
        <v>90</v>
      </c>
      <c r="N111" s="75"/>
    </row>
    <row r="112" spans="2:14" x14ac:dyDescent="0.2">
      <c r="B112" s="74"/>
      <c r="G112" s="278" t="s">
        <v>215</v>
      </c>
      <c r="H112" s="247">
        <f ca="1">Temps_culmi</f>
        <v>10.099999999999982</v>
      </c>
      <c r="I112" s="259"/>
      <c r="J112" s="268"/>
      <c r="N112" s="75"/>
    </row>
    <row r="113" spans="2:14" ht="12.75" customHeight="1" x14ac:dyDescent="0.25">
      <c r="B113" s="74"/>
      <c r="D113" s="435" t="s">
        <v>357</v>
      </c>
      <c r="E113" s="48"/>
      <c r="G113" s="278" t="s">
        <v>216</v>
      </c>
      <c r="H113" s="242">
        <f ca="1">Altitude_culmi</f>
        <v>1190.5018925981813</v>
      </c>
      <c r="I113" s="259"/>
      <c r="J113" s="268"/>
      <c r="N113" s="75"/>
    </row>
    <row r="114" spans="2:14" ht="12.75" customHeight="1" x14ac:dyDescent="0.25">
      <c r="B114" s="74"/>
      <c r="D114" s="48"/>
      <c r="E114" s="48"/>
      <c r="F114" s="435"/>
      <c r="G114" s="278" t="s">
        <v>217</v>
      </c>
      <c r="H114" s="248">
        <f ca="1">Vit_culmi</f>
        <v>21.585604693456549</v>
      </c>
      <c r="I114" s="259"/>
      <c r="J114" s="268"/>
      <c r="N114" s="75"/>
    </row>
    <row r="115" spans="2:14" x14ac:dyDescent="0.2">
      <c r="B115" s="74"/>
      <c r="C115" s="429" t="s">
        <v>358</v>
      </c>
      <c r="D115" s="249"/>
      <c r="E115" s="446">
        <v>0.1</v>
      </c>
      <c r="G115" s="278" t="s">
        <v>133</v>
      </c>
      <c r="H115" s="242">
        <f ca="1">Portee_balistique</f>
        <v>678.53524446899166</v>
      </c>
      <c r="I115" s="259"/>
      <c r="J115" s="268"/>
      <c r="N115" s="75"/>
    </row>
    <row r="116" spans="2:14" ht="12.75" customHeight="1" x14ac:dyDescent="0.2">
      <c r="B116" s="74"/>
      <c r="C116" s="431" t="s">
        <v>359</v>
      </c>
      <c r="D116" s="255"/>
      <c r="E116" s="447">
        <f>E_ail*(m_ail+n_ail)/2</f>
        <v>21025</v>
      </c>
      <c r="G116" s="278" t="s">
        <v>137</v>
      </c>
      <c r="H116" s="248">
        <f ca="1">Vit_max</f>
        <v>154.77051376708334</v>
      </c>
      <c r="I116" s="259"/>
      <c r="J116" s="268"/>
      <c r="N116" s="75"/>
    </row>
    <row r="117" spans="2:14" ht="12.75" customHeight="1" x14ac:dyDescent="0.2">
      <c r="B117" s="74"/>
      <c r="D117" s="48"/>
      <c r="E117" s="48"/>
      <c r="F117" s="48"/>
      <c r="G117" s="278" t="s">
        <v>136</v>
      </c>
      <c r="H117" s="242">
        <f ca="1">Acc_max</f>
        <v>30.311316779788786</v>
      </c>
      <c r="I117" s="259"/>
      <c r="J117" s="268"/>
      <c r="N117" s="75"/>
    </row>
    <row r="118" spans="2:14" x14ac:dyDescent="0.2">
      <c r="B118" s="74"/>
      <c r="C118" s="429" t="s">
        <v>360</v>
      </c>
      <c r="D118" s="249"/>
      <c r="E118" s="457"/>
      <c r="F118" s="458">
        <f>J90/100</f>
        <v>8.6</v>
      </c>
      <c r="G118" s="276" t="s">
        <v>5</v>
      </c>
      <c r="H118" s="6">
        <f>Cx</f>
        <v>0.6</v>
      </c>
      <c r="I118" s="259"/>
      <c r="J118" s="268"/>
      <c r="N118" s="75"/>
    </row>
    <row r="119" spans="2:14" x14ac:dyDescent="0.2">
      <c r="B119" s="74"/>
      <c r="C119" s="437" t="s">
        <v>361</v>
      </c>
      <c r="D119" s="2"/>
      <c r="E119" s="459">
        <f ca="1">2*Acc_max*MasseSans</f>
        <v>263.16285228212627</v>
      </c>
      <c r="F119" s="460">
        <f ca="1">E119/g</f>
        <v>26.825978825904816</v>
      </c>
      <c r="G119" s="269" t="s">
        <v>222</v>
      </c>
      <c r="H119" s="270"/>
      <c r="I119" s="270"/>
      <c r="J119" s="271"/>
      <c r="N119" s="75"/>
    </row>
    <row r="120" spans="2:14" x14ac:dyDescent="0.2">
      <c r="B120" s="74"/>
      <c r="C120" s="437" t="s">
        <v>362</v>
      </c>
      <c r="D120" s="2"/>
      <c r="E120" s="459">
        <f ca="1">2*Acc_max*E115</f>
        <v>6.0622633559577572</v>
      </c>
      <c r="F120" s="460">
        <f ca="1">E120/g</f>
        <v>0.61796772231985286</v>
      </c>
      <c r="N120" s="75"/>
    </row>
    <row r="121" spans="2:14" x14ac:dyDescent="0.2">
      <c r="B121" s="74"/>
      <c r="C121" s="431" t="s">
        <v>363</v>
      </c>
      <c r="D121" s="255"/>
      <c r="E121" s="452">
        <f ca="1">0.104*E116/1000000*Vit_max^2</f>
        <v>52.377623829914114</v>
      </c>
      <c r="F121" s="453">
        <f ca="1">E121/g</f>
        <v>5.3392073221115304</v>
      </c>
      <c r="G121" s="48"/>
      <c r="H121" s="48"/>
      <c r="I121" s="48"/>
      <c r="J121" s="48"/>
      <c r="N121" s="75"/>
    </row>
    <row r="122" spans="2:14" ht="12.75" customHeight="1" x14ac:dyDescent="0.2">
      <c r="B122" s="74"/>
      <c r="H122" s="48"/>
      <c r="I122" s="48"/>
      <c r="J122" s="48"/>
      <c r="N122" s="75"/>
    </row>
    <row r="123" spans="2:14" ht="12.75" customHeight="1" x14ac:dyDescent="0.25">
      <c r="B123" s="74"/>
      <c r="G123" s="435"/>
      <c r="H123" s="435"/>
      <c r="I123" s="435"/>
      <c r="J123" s="48"/>
      <c r="N123" s="75"/>
    </row>
    <row r="124" spans="2:14" ht="12.75" customHeight="1" x14ac:dyDescent="0.25">
      <c r="B124" s="74"/>
      <c r="C124" s="48"/>
      <c r="D124" s="435" t="s">
        <v>364</v>
      </c>
      <c r="E124" s="448"/>
      <c r="J124" s="48"/>
      <c r="K124" s="48"/>
      <c r="N124" s="75"/>
    </row>
    <row r="125" spans="2:14" x14ac:dyDescent="0.2">
      <c r="B125" s="74"/>
      <c r="C125" s="445" t="s">
        <v>365</v>
      </c>
      <c r="J125" s="48"/>
      <c r="K125" s="48"/>
      <c r="N125" s="75"/>
    </row>
    <row r="126" spans="2:14" x14ac:dyDescent="0.2">
      <c r="B126" s="74"/>
      <c r="C126" s="429" t="s">
        <v>366</v>
      </c>
      <c r="D126" s="249"/>
      <c r="E126" s="449">
        <v>4</v>
      </c>
      <c r="G126" s="48"/>
      <c r="J126" s="48"/>
      <c r="N126" s="75"/>
    </row>
    <row r="127" spans="2:14" x14ac:dyDescent="0.2">
      <c r="B127" s="74"/>
      <c r="C127" s="431" t="s">
        <v>367</v>
      </c>
      <c r="D127" s="255"/>
      <c r="E127" s="456">
        <f>S_para</f>
        <v>0.48049999999999998</v>
      </c>
      <c r="G127" s="48"/>
      <c r="J127" s="48"/>
      <c r="N127" s="75"/>
    </row>
    <row r="128" spans="2:14" x14ac:dyDescent="0.2">
      <c r="B128" s="74"/>
      <c r="C128" s="670" t="s">
        <v>368</v>
      </c>
      <c r="D128" s="671"/>
      <c r="E128" s="450">
        <f ca="1">0.5*Rho_moyen*S_para*Vit_culmi^2</f>
        <v>137.12856262831602</v>
      </c>
      <c r="F128" s="451">
        <f ca="1">E128/g</f>
        <v>13.978446751102549</v>
      </c>
      <c r="H128" s="48"/>
      <c r="I128" s="48"/>
      <c r="J128" s="48"/>
      <c r="K128" s="48"/>
      <c r="N128" s="75"/>
    </row>
    <row r="129" spans="2:14" x14ac:dyDescent="0.2">
      <c r="B129" s="74"/>
      <c r="C129" s="668" t="s">
        <v>369</v>
      </c>
      <c r="D129" s="669"/>
      <c r="E129" s="452">
        <f ca="1">E128/E126*2</f>
        <v>68.564281314158009</v>
      </c>
      <c r="F129" s="453">
        <f ca="1">E129/g</f>
        <v>6.9892233755512745</v>
      </c>
      <c r="H129" s="48"/>
      <c r="I129" s="48"/>
      <c r="J129" s="48"/>
      <c r="K129" s="48"/>
      <c r="N129" s="75"/>
    </row>
    <row r="130" spans="2:14" x14ac:dyDescent="0.2">
      <c r="B130" s="74"/>
      <c r="C130" s="47"/>
      <c r="D130" s="47"/>
      <c r="E130" s="443"/>
      <c r="F130" s="444"/>
      <c r="H130" s="48"/>
      <c r="I130" s="48"/>
      <c r="J130" s="48"/>
      <c r="K130" s="48"/>
      <c r="N130" s="75"/>
    </row>
    <row r="131" spans="2:14" x14ac:dyDescent="0.2">
      <c r="B131" s="74"/>
      <c r="C131" s="445" t="s">
        <v>370</v>
      </c>
      <c r="D131" s="48"/>
      <c r="E131" s="48"/>
      <c r="F131" s="48"/>
      <c r="G131" s="48"/>
      <c r="H131" s="48"/>
      <c r="I131" s="48"/>
      <c r="J131" s="48"/>
      <c r="K131" s="48"/>
      <c r="N131" s="75"/>
    </row>
    <row r="132" spans="2:14" x14ac:dyDescent="0.2">
      <c r="B132" s="74"/>
      <c r="C132" s="670" t="s">
        <v>371</v>
      </c>
      <c r="D132" s="671"/>
      <c r="E132" s="454">
        <v>1</v>
      </c>
      <c r="F132" s="48"/>
      <c r="G132" s="48"/>
      <c r="H132" s="48"/>
      <c r="I132" s="48"/>
      <c r="J132" s="442"/>
      <c r="K132" s="48"/>
      <c r="N132" s="75"/>
    </row>
    <row r="133" spans="2:14" x14ac:dyDescent="0.2">
      <c r="B133" s="74"/>
      <c r="C133" s="668" t="s">
        <v>372</v>
      </c>
      <c r="D133" s="669"/>
      <c r="E133" s="455">
        <f ca="1">2*E132*Acc_max/g</f>
        <v>6.1796772231985289</v>
      </c>
      <c r="F133" s="48"/>
      <c r="G133" s="48"/>
      <c r="H133" s="48"/>
      <c r="I133" s="48"/>
      <c r="J133" s="48"/>
      <c r="K133" s="48"/>
      <c r="N133" s="75"/>
    </row>
    <row r="134" spans="2:14" ht="13.5" thickBot="1" x14ac:dyDescent="0.25">
      <c r="B134" s="77"/>
      <c r="C134" s="461"/>
      <c r="D134" s="461"/>
      <c r="E134" s="461"/>
      <c r="F134" s="461"/>
      <c r="G134" s="461"/>
      <c r="H134" s="461"/>
      <c r="I134" s="461"/>
      <c r="J134" s="461"/>
      <c r="K134" s="461"/>
      <c r="L134" s="78"/>
      <c r="M134" s="78"/>
      <c r="N134" s="79"/>
    </row>
  </sheetData>
  <sheetProtection algorithmName="SHA-512" hashValue="hPW55fXgN2sF0rdmrUjeSRNNiQdOIANll77I7z4pOMGhgAMnv3SeC70tlG1ZvqBw5PTm8+/9RK5zYBPb8YMDZQ==" saltValue="649bwDB7J1RR5Eo9ArOefA==" spinCount="100000" sheet="1" objects="1" scenarios="1"/>
  <mergeCells count="22">
    <mergeCell ref="H11:I11"/>
    <mergeCell ref="H12:I12"/>
    <mergeCell ref="H13:I13"/>
    <mergeCell ref="H29:K29"/>
    <mergeCell ref="C29:C30"/>
    <mergeCell ref="D29:D30"/>
    <mergeCell ref="H17:I17"/>
    <mergeCell ref="H18:I18"/>
    <mergeCell ref="H19:I19"/>
    <mergeCell ref="E29:G30"/>
    <mergeCell ref="E31:G31"/>
    <mergeCell ref="M29:M30"/>
    <mergeCell ref="H30:I30"/>
    <mergeCell ref="L29:L30"/>
    <mergeCell ref="H31:I31"/>
    <mergeCell ref="C133:D133"/>
    <mergeCell ref="C128:D128"/>
    <mergeCell ref="C129:D129"/>
    <mergeCell ref="C132:D132"/>
    <mergeCell ref="H44:I44"/>
    <mergeCell ref="H45:I45"/>
    <mergeCell ref="H46:I46"/>
  </mergeCells>
  <phoneticPr fontId="8" type="noConversion"/>
  <conditionalFormatting sqref="D18:E18">
    <cfRule type="expression" dxfId="2" priority="2" stopIfTrue="1">
      <formula>IF(Propu="Cariacou",0,1)</formula>
    </cfRule>
  </conditionalFormatting>
  <conditionalFormatting sqref="F18:I19">
    <cfRule type="expression" dxfId="1" priority="1" stopIfTrue="1">
      <formula>IF(Propu="Cariacou",1,0)</formula>
    </cfRule>
  </conditionalFormatting>
  <conditionalFormatting sqref="I16 I68:I73">
    <cfRule type="expression" dxfId="0" priority="6" stopIfTrue="1">
      <formula>Nb_sat="0 satellite"</formula>
    </cfRule>
  </conditionalFormatting>
  <pageMargins left="0.39370078740157483" right="0.39370078740157483" top="0.39370078740157483" bottom="0.39370078740157483" header="0" footer="0"/>
  <pageSetup paperSize="9" scale="61" orientation="portrait" r:id="rId1"/>
  <ignoredErrors>
    <ignoredError sqref="H65 H63" unlockedFormula="1"/>
  </ignoredErrors>
  <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Feuilles de calcul</vt:lpstr>
      </vt:variant>
      <vt:variant>
        <vt:i4>8</vt:i4>
      </vt:variant>
      <vt:variant>
        <vt:lpstr>Plages nommées</vt:lpstr>
      </vt:variant>
      <vt:variant>
        <vt:i4>216</vt:i4>
      </vt:variant>
    </vt:vector>
  </HeadingPairs>
  <TitlesOfParts>
    <vt:vector size="224" baseType="lpstr">
      <vt:lpstr>Stabilito</vt:lpstr>
      <vt:lpstr>Trajecto</vt:lpstr>
      <vt:lpstr>Courbes</vt:lpstr>
      <vt:lpstr>Propu</vt:lpstr>
      <vt:lpstr>Calculs</vt:lpstr>
      <vt:lpstr>Abaco</vt:lpstr>
      <vt:lpstr>Info</vt:lpstr>
      <vt:lpstr>Controle</vt:lpstr>
      <vt:lpstr>a_prop</vt:lpstr>
      <vt:lpstr>Acc_max</vt:lpstr>
      <vt:lpstr>acc_x</vt:lpstr>
      <vt:lpstr>acc_xz</vt:lpstr>
      <vt:lpstr>acc_z</vt:lpstr>
      <vt:lpstr>Alt_para</vt:lpstr>
      <vt:lpstr>alt_prop</vt:lpstr>
      <vt:lpstr>Alt_rampe</vt:lpstr>
      <vt:lpstr>Alt_sat</vt:lpstr>
      <vt:lpstr>Altitude_culmi</vt:lpstr>
      <vt:lpstr>b_bal</vt:lpstr>
      <vt:lpstr>b_prop</vt:lpstr>
      <vt:lpstr>Beta</vt:lpstr>
      <vt:lpstr>Beta_rampe</vt:lpstr>
      <vt:lpstr>BetaD</vt:lpstr>
      <vt:lpstr>CdP</vt:lpstr>
      <vt:lpstr>CdP_P</vt:lpstr>
      <vt:lpstr>CdP_t</vt:lpstr>
      <vt:lpstr>Club</vt:lpstr>
      <vt:lpstr>Cn</vt:lpstr>
      <vt:lpstr>Cn0</vt:lpstr>
      <vt:lpstr>Stabilito!Cnai</vt:lpstr>
      <vt:lpstr>Cnai0</vt:lpstr>
      <vt:lpstr>Stabilito!Cnail</vt:lpstr>
      <vt:lpstr>Stabilito!Cnc</vt:lpstr>
      <vt:lpstr>Stabilito!Cni</vt:lpstr>
      <vt:lpstr>Cni0</vt:lpstr>
      <vt:lpstr>Stabilito!Cnj</vt:lpstr>
      <vt:lpstr>Stabilito!Cno</vt:lpstr>
      <vt:lpstr>Stabilito!Cnr</vt:lpstr>
      <vt:lpstr>Combustion</vt:lpstr>
      <vt:lpstr>Stabilito!CritCnmax</vt:lpstr>
      <vt:lpstr>Stabilito!CritCnmin</vt:lpstr>
      <vt:lpstr>Stabilito!CritFinessemax</vt:lpstr>
      <vt:lpstr>Stabilito!CritFinessemin</vt:lpstr>
      <vt:lpstr>Stabilito!CritMsCnmax</vt:lpstr>
      <vt:lpstr>Stabilito!CritMsCnmin</vt:lpstr>
      <vt:lpstr>Stabilito!CritMsmax</vt:lpstr>
      <vt:lpstr>Stabilito!CritMsmin</vt:lpstr>
      <vt:lpstr>Cx</vt:lpstr>
      <vt:lpstr>Cx_para</vt:lpstr>
      <vt:lpstr>Cx_satellite</vt:lpstr>
      <vt:lpstr>D_ail</vt:lpstr>
      <vt:lpstr>Stabilito!D_can</vt:lpstr>
      <vt:lpstr>Stabilito!D_int</vt:lpstr>
      <vt:lpstr>D_og</vt:lpstr>
      <vt:lpstr>D_ref</vt:lpstr>
      <vt:lpstr>D_var</vt:lpstr>
      <vt:lpstr>D1j</vt:lpstr>
      <vt:lpstr>D1r</vt:lpstr>
      <vt:lpstr>D2j</vt:lpstr>
      <vt:lpstr>D2r</vt:lpstr>
      <vt:lpstr>Débit</vt:lpstr>
      <vt:lpstr>Depotage</vt:lpstr>
      <vt:lpstr>Diam_propu</vt:lpstr>
      <vt:lpstr>Dt_para</vt:lpstr>
      <vt:lpstr>Dt_satellite</vt:lpstr>
      <vt:lpstr>Dx_para</vt:lpstr>
      <vt:lpstr>Dx_sat</vt:lpstr>
      <vt:lpstr>E_ail</vt:lpstr>
      <vt:lpstr>E_can</vt:lpstr>
      <vt:lpstr>Stabilito!E_int</vt:lpstr>
      <vt:lpstr>ep_ail</vt:lpstr>
      <vt:lpstr>ep_can</vt:lpstr>
      <vt:lpstr>Stabilito!ep_int</vt:lpstr>
      <vt:lpstr>Event</vt:lpstr>
      <vt:lpstr>Event_para</vt:lpstr>
      <vt:lpstr>Event_sat</vt:lpstr>
      <vt:lpstr>Stabilito!f_ail</vt:lpstr>
      <vt:lpstr>Stabilito!f_can</vt:lpstr>
      <vt:lpstr>Stabilito!f_int</vt:lpstr>
      <vt:lpstr>Finesse</vt:lpstr>
      <vt:lpstr>Forme_ogive</vt:lpstr>
      <vt:lpstr>g</vt:lpstr>
      <vt:lpstr>i_P</vt:lpstr>
      <vt:lpstr>I_total</vt:lpstr>
      <vt:lpstr>ISP</vt:lpstr>
      <vt:lpstr>l_j</vt:lpstr>
      <vt:lpstr>l_r</vt:lpstr>
      <vt:lpstr>L_rampe</vt:lpstr>
      <vt:lpstr>Lang</vt:lpstr>
      <vt:lpstr>Liste_µfu</vt:lpstr>
      <vt:lpstr>Liste_fusex</vt:lpstr>
      <vt:lpstr>Liste_H2O</vt:lpstr>
      <vt:lpstr>Liste_minif</vt:lpstr>
      <vt:lpstr>Liste_minifT</vt:lpstr>
      <vt:lpstr>Liste_propu</vt:lpstr>
      <vt:lpstr>Liste_RC</vt:lpstr>
      <vt:lpstr>Liste_Type_para</vt:lpstr>
      <vt:lpstr>Long_ogive</vt:lpstr>
      <vt:lpstr>Long_propu</vt:lpstr>
      <vt:lpstr>Long_tot</vt:lpstr>
      <vt:lpstr>m</vt:lpstr>
      <vt:lpstr>m_ail</vt:lpstr>
      <vt:lpstr>m_bal</vt:lpstr>
      <vt:lpstr>m_can</vt:lpstr>
      <vt:lpstr>Stabilito!m_int</vt:lpstr>
      <vt:lpstr>m_poudre</vt:lpstr>
      <vt:lpstr>m_prop</vt:lpstr>
      <vt:lpstr>m_satellite</vt:lpstr>
      <vt:lpstr>m_tot</vt:lpstr>
      <vt:lpstr>m_var</vt:lpstr>
      <vt:lpstr>m_vide</vt:lpstr>
      <vt:lpstr>Masse_ail</vt:lpstr>
      <vt:lpstr>MassePlein</vt:lpstr>
      <vt:lpstr>MasseSans</vt:lpstr>
      <vt:lpstr>MasseVide</vt:lpstr>
      <vt:lpstr>Matricule</vt:lpstr>
      <vt:lpstr>Menu_Empennage</vt:lpstr>
      <vt:lpstr>Menu_Lang</vt:lpstr>
      <vt:lpstr>Menu_Ogive</vt:lpstr>
      <vt:lpstr>Menu_sat</vt:lpstr>
      <vt:lpstr>Menu_Transitions</vt:lpstr>
      <vt:lpstr>Menu_Type</vt:lpstr>
      <vt:lpstr>Menu_with_motor</vt:lpstr>
      <vt:lpstr>MpropuPlein</vt:lpstr>
      <vt:lpstr>MpropuVide</vt:lpstr>
      <vt:lpstr>MS_Cn_max</vt:lpstr>
      <vt:lpstr>MS_Cn_min</vt:lpstr>
      <vt:lpstr>MS_max</vt:lpstr>
      <vt:lpstr>MS_min</vt:lpstr>
      <vt:lpstr>n_ail</vt:lpstr>
      <vt:lpstr>n_can</vt:lpstr>
      <vt:lpstr>Stabilito!n_int</vt:lpstr>
      <vt:lpstr>Nb_diam</vt:lpstr>
      <vt:lpstr>Nb_sat</vt:lpstr>
      <vt:lpstr>Nom</vt:lpstr>
      <vt:lpstr>p_ail</vt:lpstr>
      <vt:lpstr>p_can</vt:lpstr>
      <vt:lpstr>Stabilito!p_int</vt:lpstr>
      <vt:lpstr>pas</vt:lpstr>
      <vt:lpstr>Poids</vt:lpstr>
      <vt:lpstr>Portee_balistique</vt:lpstr>
      <vt:lpstr>pos_x</vt:lpstr>
      <vt:lpstr>pos_xz</vt:lpstr>
      <vt:lpstr>pos_z</vt:lpstr>
      <vt:lpstr>pos_z_montant</vt:lpstr>
      <vt:lpstr>Poussee</vt:lpstr>
      <vt:lpstr>Propu</vt:lpstr>
      <vt:lpstr>Q_ail</vt:lpstr>
      <vt:lpstr>Q_can</vt:lpstr>
      <vt:lpstr>Stabilito!Q_int</vt:lpstr>
      <vt:lpstr>Q_var</vt:lpstr>
      <vt:lpstr>R_rampe</vt:lpstr>
      <vt:lpstr>Rho</vt:lpstr>
      <vt:lpstr>Rho_moyen</vt:lpstr>
      <vt:lpstr>S_ail</vt:lpstr>
      <vt:lpstr>S_para</vt:lpstr>
      <vt:lpstr>S_para_croix</vt:lpstr>
      <vt:lpstr>S_para_rond</vt:lpstr>
      <vt:lpstr>S_satellite</vt:lpstr>
      <vt:lpstr>Sref</vt:lpstr>
      <vt:lpstr>sS</vt:lpstr>
      <vt:lpstr>t</vt:lpstr>
      <vt:lpstr>T_balistique</vt:lpstr>
      <vt:lpstr>T_ini</vt:lpstr>
      <vt:lpstr>T_para</vt:lpstr>
      <vt:lpstr>T_satellite</vt:lpstr>
      <vt:lpstr>Temps_culmi</vt:lpstr>
      <vt:lpstr>Temps_fin_propu</vt:lpstr>
      <vt:lpstr>Trainee</vt:lpstr>
      <vt:lpstr>tT_fus</vt:lpstr>
      <vt:lpstr>tT_sat</vt:lpstr>
      <vt:lpstr>Type_fusee</vt:lpstr>
      <vt:lpstr>Abaco!Type_masquage</vt:lpstr>
      <vt:lpstr>Stabilito!Type_masquage</vt:lpstr>
      <vt:lpstr>Type_propu</vt:lpstr>
      <vt:lpstr>V_ini</vt:lpstr>
      <vt:lpstr>V_ouv_sat</vt:lpstr>
      <vt:lpstr>V_ouverture</vt:lpstr>
      <vt:lpstr>V_para</vt:lpstr>
      <vt:lpstr>V_prop</vt:lpstr>
      <vt:lpstr>V_satellite</vt:lpstr>
      <vt:lpstr>V_vent</vt:lpstr>
      <vt:lpstr>V_vent_sat</vt:lpstr>
      <vt:lpstr>Stabilito!Version</vt:lpstr>
      <vt:lpstr>Trajecto!Version</vt:lpstr>
      <vt:lpstr>Vit_culmi</vt:lpstr>
      <vt:lpstr>Vit_max</vt:lpstr>
      <vt:lpstr>vit_x</vt:lpstr>
      <vt:lpstr>vit_xz</vt:lpstr>
      <vt:lpstr>vit_z</vt:lpstr>
      <vt:lpstr>Vsortie_de_rampe</vt:lpstr>
      <vt:lpstr>X_ail</vt:lpstr>
      <vt:lpstr>X_can</vt:lpstr>
      <vt:lpstr>X_culmi</vt:lpstr>
      <vt:lpstr>X_ini</vt:lpstr>
      <vt:lpstr>Stabilito!X_int</vt:lpstr>
      <vt:lpstr>X_j</vt:lpstr>
      <vt:lpstr>X_para</vt:lpstr>
      <vt:lpstr>X_r</vt:lpstr>
      <vt:lpstr>X_satellite</vt:lpstr>
      <vt:lpstr>XcgPlein</vt:lpstr>
      <vt:lpstr>XcgSans</vt:lpstr>
      <vt:lpstr>XcgVide</vt:lpstr>
      <vt:lpstr>Stabilito!XCp</vt:lpstr>
      <vt:lpstr>XCp0</vt:lpstr>
      <vt:lpstr>Stabilito!XCpa</vt:lpstr>
      <vt:lpstr>Stabilito!XCpai</vt:lpstr>
      <vt:lpstr>XCpai0</vt:lpstr>
      <vt:lpstr>Stabilito!XCpc</vt:lpstr>
      <vt:lpstr>Stabilito!XCpi</vt:lpstr>
      <vt:lpstr>XCpi0</vt:lpstr>
      <vt:lpstr>Stabilito!XCpj</vt:lpstr>
      <vt:lpstr>Stabilito!XCpo</vt:lpstr>
      <vt:lpstr>Stabilito!XCpr</vt:lpstr>
      <vt:lpstr>XpropuPlein</vt:lpstr>
      <vt:lpstr>XpropuRef</vt:lpstr>
      <vt:lpstr>XpropuVide</vt:lpstr>
      <vt:lpstr>Z_ini</vt:lpstr>
      <vt:lpstr>Abaco!Zone_d_impression</vt:lpstr>
      <vt:lpstr>Courbes!Zone_d_impression</vt:lpstr>
      <vt:lpstr>Stabilito!Zone_d_impression</vt:lpstr>
      <vt:lpstr>Trajecto!Zone_d_impression</vt:lpstr>
      <vt:lpstr>zZ_fus</vt:lpstr>
      <vt:lpstr>zZ_sat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StabTraj</dc:title>
  <dc:creator>Léo Côme;Sylvain Besson</dc:creator>
  <cp:lastModifiedBy>Alexis Paillard</cp:lastModifiedBy>
  <cp:lastPrinted>2011-11-08T21:12:34Z</cp:lastPrinted>
  <dcterms:created xsi:type="dcterms:W3CDTF">2008-11-03T20:48:06Z</dcterms:created>
  <dcterms:modified xsi:type="dcterms:W3CDTF">2026-04-27T18:20:44Z</dcterms:modified>
</cp:coreProperties>
</file>