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RI\Desktop\"/>
    </mc:Choice>
  </mc:AlternateContent>
  <xr:revisionPtr revIDLastSave="0" documentId="8_{6F9D1B19-775A-48FB-A01D-F9D1AEB976A0}" xr6:coauthVersionLast="36" xr6:coauthVersionMax="36" xr10:uidLastSave="{00000000-0000-0000-0000-000000000000}"/>
  <bookViews>
    <workbookView xWindow="0" yWindow="0" windowWidth="8318" windowHeight="7755" activeTab="1" xr2:uid="{00000000-000D-0000-FFFF-FFFF00000000}"/>
  </bookViews>
  <sheets>
    <sheet name="Feuil1" sheetId="2" r:id="rId1"/>
    <sheet name="database" sheetId="1" r:id="rId2"/>
    <sheet name="2012" sheetId="4" r:id="rId3"/>
    <sheet name="Endesa" sheetId="3" r:id="rId4"/>
  </sheets>
  <externalReferences>
    <externalReference r:id="rId5"/>
  </externalReferences>
  <definedNames>
    <definedName name="_xlnm._FilterDatabase" localSheetId="1" hidden="1">database!$B$1:$B$98</definedName>
  </definedNames>
  <calcPr calcId="191029"/>
  <pivotCaches>
    <pivotCache cacheId="0" r:id="rId6"/>
  </pivotCaches>
</workbook>
</file>

<file path=xl/calcChain.xml><?xml version="1.0" encoding="utf-8"?>
<calcChain xmlns="http://schemas.openxmlformats.org/spreadsheetml/2006/main">
  <c r="AB101" i="1" l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Z111" i="1"/>
  <c r="U111" i="1"/>
  <c r="U110" i="1"/>
  <c r="Z109" i="1"/>
  <c r="X109" i="1"/>
  <c r="U109" i="1"/>
  <c r="AA108" i="1"/>
  <c r="Z108" i="1"/>
  <c r="Y108" i="1"/>
  <c r="X108" i="1"/>
  <c r="U108" i="1"/>
  <c r="U106" i="1"/>
  <c r="S106" i="1"/>
  <c r="S101" i="1"/>
  <c r="L114" i="1"/>
  <c r="K114" i="1"/>
  <c r="L113" i="1"/>
  <c r="K113" i="1"/>
  <c r="L112" i="1"/>
  <c r="K112" i="1"/>
  <c r="K109" i="1"/>
  <c r="L108" i="1"/>
  <c r="K108" i="1"/>
  <c r="K106" i="1"/>
  <c r="K104" i="1"/>
  <c r="I119" i="1"/>
  <c r="I117" i="1"/>
  <c r="I116" i="1"/>
  <c r="I107" i="1"/>
  <c r="I101" i="1"/>
  <c r="F119" i="1"/>
  <c r="F117" i="1"/>
  <c r="F116" i="1"/>
  <c r="F107" i="1"/>
  <c r="F101" i="1"/>
  <c r="D119" i="1"/>
  <c r="D117" i="1"/>
  <c r="D116" i="1"/>
  <c r="D107" i="1"/>
  <c r="D101" i="1"/>
  <c r="C119" i="1"/>
  <c r="C117" i="1"/>
  <c r="C116" i="1"/>
  <c r="C107" i="1"/>
  <c r="C101" i="1"/>
  <c r="AB100" i="1" l="1"/>
  <c r="AB83" i="1"/>
  <c r="AB99" i="1"/>
  <c r="AB2" i="4" l="1"/>
  <c r="AB3" i="3"/>
  <c r="AB2" i="3"/>
  <c r="AB89" i="1"/>
  <c r="AB69" i="1"/>
  <c r="AB75" i="1"/>
  <c r="AB64" i="1"/>
  <c r="AB20" i="1"/>
  <c r="AB10" i="1"/>
  <c r="C10" i="1"/>
  <c r="AB2" i="1" l="1"/>
  <c r="AB3" i="1"/>
  <c r="AB4" i="1"/>
  <c r="AB5" i="1"/>
  <c r="AB6" i="1"/>
  <c r="AB7" i="1"/>
  <c r="AB8" i="1"/>
  <c r="AB9" i="1"/>
  <c r="AB11" i="1"/>
  <c r="AB12" i="1"/>
  <c r="AB13" i="1"/>
  <c r="AB14" i="1"/>
  <c r="AB15" i="1"/>
  <c r="AB16" i="1"/>
  <c r="AB17" i="1"/>
  <c r="AB18" i="1"/>
  <c r="AB19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5" i="1"/>
  <c r="AB66" i="1"/>
  <c r="AB67" i="1"/>
  <c r="AB68" i="1"/>
  <c r="AB70" i="1"/>
  <c r="AB71" i="1"/>
  <c r="AB72" i="1"/>
  <c r="AB73" i="1"/>
  <c r="AB74" i="1"/>
  <c r="AB76" i="1"/>
  <c r="AB77" i="1"/>
  <c r="AB78" i="1"/>
  <c r="AB79" i="1"/>
  <c r="AB80" i="1"/>
  <c r="AB81" i="1"/>
  <c r="AB82" i="1"/>
  <c r="AB84" i="1"/>
  <c r="AB85" i="1"/>
  <c r="AB86" i="1"/>
  <c r="AB87" i="1"/>
  <c r="AB88" i="1"/>
  <c r="AB90" i="1"/>
  <c r="AB91" i="1"/>
  <c r="AB92" i="1"/>
  <c r="AB93" i="1"/>
  <c r="AB94" i="1"/>
  <c r="AB95" i="1"/>
  <c r="AB96" i="1"/>
  <c r="AB97" i="1"/>
  <c r="AB98" i="1"/>
  <c r="G6" i="2"/>
  <c r="G7" i="2"/>
  <c r="G8" i="2"/>
  <c r="G9" i="2"/>
  <c r="G10" i="2"/>
  <c r="G11" i="2"/>
  <c r="G12" i="2"/>
  <c r="G13" i="2"/>
  <c r="G15" i="2"/>
  <c r="G16" i="2"/>
  <c r="G17" i="2"/>
  <c r="G18" i="2"/>
  <c r="G19" i="2"/>
  <c r="G5" i="2"/>
</calcChain>
</file>

<file path=xl/sharedStrings.xml><?xml version="1.0" encoding="utf-8"?>
<sst xmlns="http://schemas.openxmlformats.org/spreadsheetml/2006/main" count="276" uniqueCount="58">
  <si>
    <t>Entreprise</t>
  </si>
  <si>
    <t>Année</t>
  </si>
  <si>
    <t>Chiffre d'Affaires</t>
  </si>
  <si>
    <t>Résultat net</t>
  </si>
  <si>
    <t>EBIT</t>
  </si>
  <si>
    <t>EBITDA</t>
  </si>
  <si>
    <t>Total bilan</t>
  </si>
  <si>
    <t>Fonds propres</t>
  </si>
  <si>
    <t>Dette Financière Nette (DFN)</t>
  </si>
  <si>
    <t>Part du CA Production d'électricité dans le CA total (%)</t>
  </si>
  <si>
    <t>Part du CA réalisé à l'international (%)</t>
  </si>
  <si>
    <t>Part du CA réalisé hors UE</t>
  </si>
  <si>
    <t xml:space="preserve">La ventilation du CA est-elle présentée ? </t>
  </si>
  <si>
    <t xml:space="preserve">La répartition du CA par capacité de production est-elle affichée ? </t>
  </si>
  <si>
    <t>Capitalisation (31/12/201x) (M€)</t>
  </si>
  <si>
    <t>Nombre d'employés (nb)</t>
  </si>
  <si>
    <t>Fortum</t>
  </si>
  <si>
    <t>Centrica</t>
  </si>
  <si>
    <t>SSE</t>
  </si>
  <si>
    <t>EnBW</t>
  </si>
  <si>
    <t>EDF</t>
  </si>
  <si>
    <t>CEZ Group</t>
  </si>
  <si>
    <t>Vattenfall</t>
  </si>
  <si>
    <t>Iberdrola</t>
  </si>
  <si>
    <t>RWE</t>
  </si>
  <si>
    <t>EON</t>
  </si>
  <si>
    <t>Engie</t>
  </si>
  <si>
    <t>Enel</t>
  </si>
  <si>
    <t>EDP</t>
  </si>
  <si>
    <t>Endesa</t>
  </si>
  <si>
    <t>Verbund</t>
  </si>
  <si>
    <t>Innogy</t>
  </si>
  <si>
    <t>OUI/NON</t>
  </si>
  <si>
    <t>Non</t>
  </si>
  <si>
    <t>OUI</t>
  </si>
  <si>
    <t>OUI (P62)</t>
  </si>
  <si>
    <t>Actionnariat (%) Etat et affilié</t>
  </si>
  <si>
    <t>Actionnariat (%) Privé flottant</t>
  </si>
  <si>
    <t>Actionnariat (%) Privé stable (autre)</t>
  </si>
  <si>
    <t>Capacité installée (GW)Thermique</t>
  </si>
  <si>
    <t>Capacité installée (GW) Nucléaire</t>
  </si>
  <si>
    <t>Capacité installée (GW) EnR</t>
  </si>
  <si>
    <t>Capacité installée (GW) Hydroélectrique</t>
  </si>
  <si>
    <t>Electricité produite (TWh) Thermique_1</t>
  </si>
  <si>
    <t>Electricité produite (TWh) Nucléaire_2</t>
  </si>
  <si>
    <t>Electricité produite (TWh) EnR_3</t>
  </si>
  <si>
    <t>Electricité produite (TWh) Hydroélectrique_4</t>
  </si>
  <si>
    <t>VAR EBITDA</t>
  </si>
  <si>
    <t>Étiquettes de lignes</t>
  </si>
  <si>
    <t>Total général</t>
  </si>
  <si>
    <t>Étiquettes de colonnes</t>
  </si>
  <si>
    <t>Somme de EBITDA</t>
  </si>
  <si>
    <t>Orsted</t>
  </si>
  <si>
    <t>Alpiq</t>
  </si>
  <si>
    <t>Repower</t>
  </si>
  <si>
    <t>BKW</t>
  </si>
  <si>
    <t>Axpo</t>
  </si>
  <si>
    <t>(2021) 32599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</si>
</sst>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name val="Arial"/>
    </font>
    <font>
      <sz val="11"/>
      <color theme="1"/>
      <name val="Calibri"/>
    </font>
    <font>
      <sz val="11"/>
      <color rgb="FF000000"/>
      <name val="Calibri"/>
    </font>
    <font>
      <u/>
      <sz val="11"/>
      <color rgb="FF0563C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</cellStyleXfs>
  <cellXfs count="15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42" applyFont="1"/>
    <xf numFmtId="0" fontId="20" fillId="0" borderId="0" xfId="0" applyFont="1"/>
    <xf numFmtId="0" fontId="21" fillId="0" borderId="0" xfId="0" applyFont="1" applyAlignment="1"/>
    <xf numFmtId="0" fontId="21" fillId="0" borderId="0" xfId="0" applyFont="1" applyAlignment="1">
      <alignment horizontal="right"/>
    </xf>
    <xf numFmtId="0" fontId="20" fillId="0" borderId="0" xfId="0" applyFont="1" applyAlignment="1"/>
    <xf numFmtId="0" fontId="0" fillId="0" borderId="0" xfId="0" applyFont="1" applyAlignment="1"/>
    <xf numFmtId="0" fontId="19" fillId="0" borderId="0" xfId="0" applyFont="1" applyAlignment="1"/>
    <xf numFmtId="0" fontId="21" fillId="0" borderId="0" xfId="0" applyFont="1" applyAlignment="1">
      <alignment wrapText="1"/>
    </xf>
    <xf numFmtId="0" fontId="22" fillId="0" borderId="0" xfId="0" applyFont="1" applyAlignment="1"/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4" xfId="43" xr:uid="{7D5E5C32-0A01-4570-94F2-284BCE50A342}"/>
    <cellStyle name="Note" xfId="15" builtinId="10" customBuiltin="1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sight%20Sant&#233;%20Financi&#232;re/Capitalisation%20PBI/28.09.2020_Master_Donn&#233;es%20Insight_V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du CA"/>
      <sheetName val="Conso ENTSOE"/>
      <sheetName val="CONSO ENTSOE Unpivoted"/>
      <sheetName val="TCD CONSO ENTSOE"/>
      <sheetName val="Capa installée -mix énergétique"/>
      <sheetName val="Graphique Conso-Capa"/>
      <sheetName val="Ratio progression CA-EBITDA"/>
      <sheetName val="Données Bourse 18"/>
      <sheetName val="Données Bourse 19"/>
      <sheetName val="Endetement et CAPA rembourss 19"/>
      <sheetName val="Source données bourse 20"/>
      <sheetName val="Tableau Global 20"/>
      <sheetName val="Données Bourse 20"/>
      <sheetName val="Endetement et CAPA rembours 20"/>
      <sheetName val="STRAT 18"/>
      <sheetName val="STRAT 19"/>
      <sheetName val="TOTAL Panel"/>
      <sheetName val="CA CONSO"/>
      <sheetName val="1EDF"/>
      <sheetName val="2Engie"/>
      <sheetName val="3Enel"/>
      <sheetName val="4EON"/>
      <sheetName val="5RWE"/>
      <sheetName val="6Vattenfall (€)"/>
      <sheetName val="7Iberdrola"/>
      <sheetName val="8Fortum"/>
      <sheetName val="9CEZ Group (€)"/>
      <sheetName val="10EDP"/>
      <sheetName val="11SSE (€)"/>
      <sheetName val="12Verbund"/>
      <sheetName val="13Centrica (€)"/>
      <sheetName val="14EnBW"/>
      <sheetName val="15Innogy"/>
      <sheetName val="16Endesa"/>
      <sheetName val="18Orsted (€)"/>
      <sheetName val="6d - Vattenfall (devise)"/>
      <sheetName val="9d - CEZ Group (devise)"/>
      <sheetName val="11d - SSE (devise)"/>
      <sheetName val="13d - Centrica (devise)"/>
      <sheetName val="18d - Orsted (devise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9">
          <cell r="F19">
            <v>16103.19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databas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émi SANKARI" refreshedDate="44102.707950231481" createdVersion="6" refreshedVersion="6" minRefreshableVersion="3" recordCount="93" xr:uid="{C0DE73D4-1C6F-4318-A681-CA5C8B8AB76F}">
  <cacheSource type="worksheet">
    <worksheetSource ref="A2:AB2" sheet="2012" r:id="rId2"/>
  </cacheSource>
  <cacheFields count="28">
    <cacheField name="Entreprise" numFmtId="0">
      <sharedItems count="16">
        <s v="Fortum"/>
        <s v="Centrica"/>
        <s v="SSE"/>
        <s v="EnBW"/>
        <s v="EDF"/>
        <s v="CEZ Group"/>
        <s v="Vattenfall"/>
        <s v="Iberdrola"/>
        <s v="RWE"/>
        <s v="EON"/>
        <s v="Engie"/>
        <s v="Enel"/>
        <s v="EDP"/>
        <s v="Endesa"/>
        <s v="Verbund"/>
        <s v="Innogy"/>
      </sharedItems>
    </cacheField>
    <cacheField name="Année" numFmtId="0">
      <sharedItems containsSemiMixedTypes="0" containsString="0" containsNumber="1" containsInteger="1" minValue="2012" maxValue="2019" count="8">
        <n v="2012"/>
        <n v="2013"/>
        <n v="2014"/>
        <n v="2015"/>
        <n v="2016"/>
        <n v="2017"/>
        <n v="2018"/>
        <n v="2019"/>
      </sharedItems>
    </cacheField>
    <cacheField name="Chiffre d'Affaires" numFmtId="2">
      <sharedItems containsSemiMixedTypes="0" containsString="0" containsNumber="1" minValue="2671" maxValue="122450"/>
    </cacheField>
    <cacheField name="Résultat net" numFmtId="2">
      <sharedItems containsSemiMixedTypes="0" containsString="0" containsNumber="1" minValue="-8909" maxValue="8498"/>
    </cacheField>
    <cacheField name="EBIT" numFmtId="2">
      <sharedItems containsSemiMixedTypes="0" containsString="0" containsNumber="1" minValue="-744.93506490000004" maxValue="9900"/>
    </cacheField>
    <cacheField name="EBITDA" numFmtId="2">
      <sharedItems containsSemiMixedTypes="0" containsString="0" containsNumber="1" minValue="2.1373000000000002" maxValue="17704"/>
    </cacheField>
    <cacheField name="Total bilan" numFmtId="2">
      <sharedItems containsSemiMixedTypes="0" containsString="0" containsNumber="1" minValue="7586.2222019999999" maxValue="303284"/>
    </cacheField>
    <cacheField name="Fonds propres" numFmtId="2">
      <sharedItems containsString="0" containsBlank="1" containsNumber="1" minValue="1287" maxValue="55959"/>
    </cacheField>
    <cacheField name="Dette Financière Nette (DFN)" numFmtId="2">
      <sharedItems containsString="0" containsBlank="1" containsNumber="1" minValue="-2195" maxValue="45175"/>
    </cacheField>
    <cacheField name="Part du CA Production d'électricité dans le CA total (%)" numFmtId="2">
      <sharedItems containsString="0" containsBlank="1" containsNumber="1" minValue="0" maxValue="0.95969676599999998"/>
    </cacheField>
    <cacheField name="Part du CA réalisé à l'international (%)" numFmtId="2">
      <sharedItems containsString="0" containsBlank="1" containsNumber="1" minValue="0" maxValue="0.72345656700000005"/>
    </cacheField>
    <cacheField name="Part du CA réalisé hors UE" numFmtId="2">
      <sharedItems containsString="0" containsBlank="1" containsNumber="1" minValue="-0.108987575" maxValue="0.56999999999999995"/>
    </cacheField>
    <cacheField name="La ventilation du CA est-elle présentée ? " numFmtId="0">
      <sharedItems containsBlank="1"/>
    </cacheField>
    <cacheField name="La répartition du CA par capacité de production est-elle affichée ? " numFmtId="0">
      <sharedItems containsBlank="1"/>
    </cacheField>
    <cacheField name="Capitalisation (31/12/201x) (M€)" numFmtId="2">
      <sharedItems containsString="0" containsBlank="1" containsNumber="1" containsInteger="1" minValue="0" maxValue="40811"/>
    </cacheField>
    <cacheField name="Actionnariat (%) Etat et affilié" numFmtId="2">
      <sharedItems containsString="0" containsBlank="1" containsNumber="1" minValue="0" maxValue="1"/>
    </cacheField>
    <cacheField name="Actionnariat (%) Privé flottant" numFmtId="2">
      <sharedItems containsString="0" containsBlank="1" containsNumber="1" minValue="6.6900000000000001E-2" maxValue="0.95905973300000003"/>
    </cacheField>
    <cacheField name="Actionnariat (%) Privé stable (autre)" numFmtId="2">
      <sharedItems containsString="0" containsBlank="1" containsNumber="1" minValue="0.01" maxValue="0.9"/>
    </cacheField>
    <cacheField name="Capacité installée (GW)Thermique" numFmtId="2">
      <sharedItems containsString="0" containsBlank="1" containsNumber="1" minValue="0" maxValue="85.322000000000003"/>
    </cacheField>
    <cacheField name="Capacité installée (GW) Nucléaire" numFmtId="2">
      <sharedItems containsString="0" containsBlank="1" containsNumber="1" minValue="0" maxValue="75"/>
    </cacheField>
    <cacheField name="Capacité installée (GW) EnR" numFmtId="2">
      <sharedItems containsString="0" containsBlank="1" containsNumber="1" minValue="0" maxValue="18.872"/>
    </cacheField>
    <cacheField name="Capacité installée (GW) Hydroélectrique" numFmtId="2">
      <sharedItems containsString="0" containsBlank="1" containsNumber="1" minValue="0" maxValue="29.835999999999999"/>
    </cacheField>
    <cacheField name="Nombre d'employés (nb)" numFmtId="2">
      <sharedItems containsString="0" containsBlank="1" containsNumber="1" containsInteger="1" minValue="3417" maxValue="165790"/>
    </cacheField>
    <cacheField name="Electricité produite (TWh) Thermique_1" numFmtId="2">
      <sharedItems containsSemiMixedTypes="0" containsString="0" containsNumber="1" minValue="0" maxValue="374.66199999999998"/>
    </cacheField>
    <cacheField name="Electricité produite (TWh) Nucléaire_2" numFmtId="2">
      <sharedItems containsSemiMixedTypes="0" containsString="0" containsNumber="1" minValue="0" maxValue="487.1003743"/>
    </cacheField>
    <cacheField name="Electricité produite (TWh) EnR_3" numFmtId="2">
      <sharedItems containsString="0" containsBlank="1" containsNumber="1" minValue="0" maxValue="40.741"/>
    </cacheField>
    <cacheField name="Electricité produite (TWh) Hydroélectrique_4" numFmtId="2">
      <sharedItems containsSemiMixedTypes="0" containsString="0" containsNumber="1" minValue="0" maxValue="75.504000000000005"/>
    </cacheField>
    <cacheField name="VAR EBITD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x v="0"/>
    <n v="6159"/>
    <n v="1503"/>
    <n v="1861"/>
    <n v="1416"/>
    <n v="24628"/>
    <n v="10821"/>
    <n v="7814"/>
    <m/>
    <n v="0.25"/>
    <m/>
    <m/>
    <m/>
    <n v="12570"/>
    <n v="0.50760000000000005"/>
    <m/>
    <n v="0.82622399999999996"/>
    <n v="5.0229999999999997"/>
    <n v="3.2469999999999999"/>
    <n v="1.778"/>
    <n v="4.6269999999999998"/>
    <n v="10371"/>
    <n v="23"/>
    <n v="25.2"/>
    <n v="1.4"/>
    <n v="25.2"/>
    <m/>
  </r>
  <r>
    <x v="1"/>
    <x v="1"/>
    <n v="31353.78"/>
    <n v="1121"/>
    <n v="1945.82"/>
    <n v="2232.56"/>
    <n v="28135.200000000001"/>
    <n v="6308.4"/>
    <n v="6058.8"/>
    <n v="0.76086711100000004"/>
    <n v="0.34277972200000001"/>
    <n v="0.30954800300000002"/>
    <m/>
    <m/>
    <m/>
    <n v="1.5233136E-2"/>
    <n v="0.95905973300000003"/>
    <n v="2.5707131000000001E-2"/>
    <m/>
    <m/>
    <m/>
    <m/>
    <n v="34489"/>
    <n v="12.037000000000001"/>
    <n v="12.035"/>
    <n v="0.753"/>
    <n v="0"/>
    <m/>
  </r>
  <r>
    <x v="2"/>
    <x v="1"/>
    <n v="36090.300000000003"/>
    <n v="526.28"/>
    <n v="678.85400000000004"/>
    <n v="1001.5839999999999"/>
    <n v="25217.16"/>
    <n v="6143.4"/>
    <n v="8817.24"/>
    <n v="0"/>
    <n v="0"/>
    <n v="0"/>
    <m/>
    <m/>
    <m/>
    <n v="0"/>
    <n v="0.84209999999999996"/>
    <n v="0.15790000000000001"/>
    <n v="8.34"/>
    <n v="0"/>
    <n v="2.1360000000000001"/>
    <n v="1.1499999999999999"/>
    <n v="19894"/>
    <n v="26.7"/>
    <n v="0"/>
    <n v="5.4470000000000001"/>
    <n v="3.7530000000000001"/>
    <m/>
  </r>
  <r>
    <x v="3"/>
    <x v="1"/>
    <n v="21373.1"/>
    <n v="122.3"/>
    <n v="1020.4"/>
    <n v="1991.4"/>
    <n v="36140.5"/>
    <n v="6082.7"/>
    <n v="8548"/>
    <n v="0.25613556700000001"/>
    <n v="0"/>
    <n v="0"/>
    <m/>
    <m/>
    <m/>
    <m/>
    <m/>
    <m/>
    <n v="7.827"/>
    <n v="3.3330000000000002"/>
    <n v="0.28399999999999997"/>
    <n v="2.3580000000000001"/>
    <n v="19844"/>
    <n v="27.844999999999999"/>
    <n v="23.227"/>
    <n v="7.476"/>
    <n v="0"/>
    <m/>
  </r>
  <r>
    <x v="4"/>
    <x v="1"/>
    <n v="75594"/>
    <n v="3517"/>
    <n v="8411"/>
    <n v="16765"/>
    <n v="256801"/>
    <n v="38870"/>
    <n v="35462"/>
    <n v="0.94600100499999995"/>
    <n v="0.46807947700000002"/>
    <n v="0.12216578"/>
    <m/>
    <m/>
    <m/>
    <n v="0.84489999999999998"/>
    <n v="0.13619999999999999"/>
    <n v="1.89E-2"/>
    <n v="37.65"/>
    <n v="74.767601999999997"/>
    <n v="5.9543929999999996"/>
    <n v="21.98226"/>
    <n v="158467"/>
    <n v="97.447000000000003"/>
    <n v="487.1003743"/>
    <n v="13.86480405"/>
    <n v="55.489273779999998"/>
    <m/>
  </r>
  <r>
    <x v="0"/>
    <x v="1"/>
    <n v="6056"/>
    <n v="1279"/>
    <n v="1712"/>
    <n v="1975"/>
    <n v="24420"/>
    <n v="10662"/>
    <n v="7849"/>
    <n v="0.54227212700000005"/>
    <n v="0.26"/>
    <n v="0.22"/>
    <m/>
    <m/>
    <n v="14774"/>
    <n v="0.50760000000000005"/>
    <m/>
    <n v="0.31979999999999997"/>
    <n v="5.8259999999999996"/>
    <n v="3.2759999999999998"/>
    <n v="1.4359999999999999"/>
    <n v="4.59"/>
    <n v="9186"/>
    <n v="24.5"/>
    <n v="23.7"/>
    <n v="1.2"/>
    <n v="18"/>
    <m/>
  </r>
  <r>
    <x v="5"/>
    <x v="1"/>
    <n v="7912.0510480000003"/>
    <n v="1284.776664"/>
    <n v="1668.368277"/>
    <n v="2991.9416590000001"/>
    <n v="23377.793979999999"/>
    <n v="9594.3482220000005"/>
    <m/>
    <n v="0.87265655200000003"/>
    <n v="0.201465437"/>
    <n v="3.0127996000000001E-2"/>
    <m/>
    <m/>
    <m/>
    <n v="0.69779999999999998"/>
    <n v="7.2999999999999995E-2"/>
    <n v="0.22900000000000001"/>
    <n v="8.2108000000000008"/>
    <n v="4.29"/>
    <n v="0.7389"/>
    <n v="1.9596690000000001"/>
    <n v="26582"/>
    <n v="31.221"/>
    <n v="30.745000000000001"/>
    <n v="1.986"/>
    <n v="2.6720000000000002"/>
    <m/>
  </r>
  <r>
    <x v="6"/>
    <x v="1"/>
    <n v="19819.22078"/>
    <n v="-1563.405483"/>
    <n v="-744.93506490000004"/>
    <n v="5000.7503610000003"/>
    <n v="56153.07359"/>
    <n v="15090.10101"/>
    <n v="12342"/>
    <n v="0.59341782099999996"/>
    <n v="0.71720719499999996"/>
    <n v="3.9275645999999997E-2"/>
    <m/>
    <m/>
    <m/>
    <m/>
    <m/>
    <m/>
    <n v="19.006"/>
    <n v="6.984"/>
    <n v="1.889"/>
    <n v="11.227"/>
    <n v="31819"/>
    <n v="87.9"/>
    <n v="51.9"/>
    <n v="6.3"/>
    <n v="35.6"/>
    <m/>
  </r>
  <r>
    <x v="7"/>
    <x v="1"/>
    <n v="32808"/>
    <n v="2572"/>
    <n v="2435"/>
    <n v="7205"/>
    <n v="92411"/>
    <n v="35361"/>
    <n v="28053.007000000001"/>
    <n v="0.74693032999999998"/>
    <n v="0.52769901100000005"/>
    <n v="0.22473943900000001"/>
    <m/>
    <m/>
    <n v="28922"/>
    <m/>
    <m/>
    <m/>
    <n v="11.185"/>
    <n v="3.1659999999999999"/>
    <n v="13.973000000000001"/>
    <n v="9.3699999999999992"/>
    <n v="30650"/>
    <n v="21.800999999999998"/>
    <n v="22.782"/>
    <m/>
    <n v="15.834"/>
    <m/>
  </r>
  <r>
    <x v="8"/>
    <x v="1"/>
    <n v="54070"/>
    <n v="-2757"/>
    <n v="5881"/>
    <n v="8762"/>
    <n v="81119"/>
    <n v="12137"/>
    <n v="10420"/>
    <n v="3.6471241000000001E-2"/>
    <n v="0.448189913"/>
    <n v="8.8443989999999993E-3"/>
    <m/>
    <m/>
    <n v="16200"/>
    <n v="0.15"/>
    <n v="0.84"/>
    <n v="0.01"/>
    <n v="41.639000000000003"/>
    <n v="3.9009999999999998"/>
    <n v="2.8540000000000001"/>
    <n v="0.64200000000000002"/>
    <n v="64896"/>
    <n v="172.4"/>
    <n v="30.5"/>
    <n v="9.8000000000000007"/>
    <n v="4"/>
    <m/>
  </r>
  <r>
    <x v="9"/>
    <x v="1"/>
    <n v="122450"/>
    <n v="2510"/>
    <n v="5681"/>
    <n v="9315"/>
    <n v="130725"/>
    <n v="36285"/>
    <n v="32218"/>
    <n v="9.2494009000000002E-2"/>
    <n v="0.699657003"/>
    <n v="7.4397710000000004E-3"/>
    <m/>
    <m/>
    <n v="25600"/>
    <n v="0.72"/>
    <m/>
    <n v="0.28000000000000003"/>
    <n v="42.009"/>
    <n v="8.202"/>
    <n v="4.7270000000000003"/>
    <n v="4.97"/>
    <n v="62239"/>
    <n v="158.30000000000001"/>
    <n v="56.1"/>
    <n v="14.9"/>
    <n v="15.9"/>
    <m/>
  </r>
  <r>
    <x v="10"/>
    <x v="1"/>
    <n v="89300"/>
    <n v="-8909"/>
    <n v="7828"/>
    <n v="13017"/>
    <n v="159611"/>
    <n v="53490"/>
    <n v="29840"/>
    <n v="0.72211646100000004"/>
    <n v="0.60838745800000005"/>
    <n v="0.212866741"/>
    <m/>
    <m/>
    <m/>
    <m/>
    <m/>
    <m/>
    <n v="57.4"/>
    <n v="5.74"/>
    <n v="4.0999999999999996"/>
    <n v="14.76"/>
    <n v="147199"/>
    <n v="237.3"/>
    <n v="37.29"/>
    <n v="10.17"/>
    <n v="54.24"/>
    <m/>
  </r>
  <r>
    <x v="11"/>
    <x v="1"/>
    <n v="78663"/>
    <n v="4780"/>
    <n v="9740"/>
    <n v="16691"/>
    <n v="163865"/>
    <n v="52832"/>
    <n v="39682"/>
    <n v="0.70819467800000002"/>
    <n v="0.58613325199999999"/>
    <n v="0.14914254499999999"/>
    <m/>
    <m/>
    <n v="29190"/>
    <m/>
    <m/>
    <m/>
    <n v="55.94"/>
    <n v="5.1319999999999997"/>
    <n v="6.3360000000000003"/>
    <n v="29.835999999999999"/>
    <n v="71394"/>
    <n v="151.58000000000001"/>
    <n v="40.04"/>
    <n v="18.876000000000001"/>
    <n v="75.504000000000005"/>
    <m/>
  </r>
  <r>
    <x v="1"/>
    <x v="2"/>
    <n v="36465.919999999998"/>
    <n v="-1246.2"/>
    <n v="858.94799999999998"/>
    <n v="1152.4559999999999"/>
    <n v="29272.68"/>
    <n v="3961.59"/>
    <n v="6702.84"/>
    <n v="0.81484630000000002"/>
    <n v="0.46001088099999998"/>
    <n v="0.44375680099999998"/>
    <m/>
    <m/>
    <m/>
    <n v="1.5233136E-2"/>
    <n v="0.95905973300000003"/>
    <n v="2.5707131000000001E-2"/>
    <m/>
    <m/>
    <m/>
    <m/>
    <n v="37530"/>
    <n v="7.7229999999999999"/>
    <n v="11.163"/>
    <n v="0.90300000000000002"/>
    <n v="0"/>
    <m/>
  </r>
  <r>
    <x v="2"/>
    <x v="2"/>
    <n v="36090.300000000003"/>
    <n v="526.28"/>
    <n v="678.85400000000004"/>
    <n v="1001.5839999999999"/>
    <n v="25217.16"/>
    <n v="6143.4"/>
    <n v="8817.24"/>
    <n v="0"/>
    <n v="0"/>
    <n v="0"/>
    <m/>
    <m/>
    <m/>
    <n v="0"/>
    <n v="0.78249999999999997"/>
    <n v="0.2175"/>
    <n v="8.3390000000000004"/>
    <n v="0"/>
    <n v="2.2440000000000002"/>
    <n v="1.1499999999999999"/>
    <n v="19965"/>
    <n v="19.120999999999999"/>
    <n v="0"/>
    <n v="4.74"/>
    <n v="3.726"/>
    <m/>
  </r>
  <r>
    <x v="10"/>
    <x v="2"/>
    <n v="74686"/>
    <n v="3110"/>
    <n v="6720"/>
    <n v="12138"/>
    <n v="165305"/>
    <n v="55959"/>
    <n v="27511"/>
    <n v="0.74451704500000004"/>
    <n v="0.62731971200000003"/>
    <n v="0.23847842999999999"/>
    <m/>
    <m/>
    <m/>
    <m/>
    <m/>
    <m/>
    <n v="85.322000000000003"/>
    <n v="5.7649999999999997"/>
    <n v="4.6120000000000001"/>
    <n v="20.754000000000001"/>
    <n v="152900"/>
    <n v="352.875"/>
    <n v="32.935000000000002"/>
    <n v="14.115"/>
    <n v="61.164999999999999"/>
    <m/>
  </r>
  <r>
    <x v="3"/>
    <x v="2"/>
    <n v="21002.5"/>
    <n v="-387.6"/>
    <n v="0.1"/>
    <n v="2.1373000000000002"/>
    <n v="38213.1"/>
    <n v="4545.6000000000004"/>
    <n v="9794.5"/>
    <n v="0.27125342200000002"/>
    <n v="0"/>
    <n v="0"/>
    <m/>
    <m/>
    <m/>
    <m/>
    <m/>
    <m/>
    <n v="7.7830000000000004"/>
    <n v="3.3330000000000002"/>
    <n v="0.27400000000000002"/>
    <n v="2.3580000000000001"/>
    <n v="20092"/>
    <n v="25.529"/>
    <n v="25.085999999999999"/>
    <n v="7.1630000000000003"/>
    <n v="0"/>
    <m/>
  </r>
  <r>
    <x v="4"/>
    <x v="2"/>
    <n v="72874"/>
    <n v="3701"/>
    <n v="7984"/>
    <n v="17279"/>
    <n v="267989"/>
    <n v="40610"/>
    <n v="34208"/>
    <n v="0.76101215799999999"/>
    <n v="0.45234239900000001"/>
    <n v="0.13882866299999999"/>
    <m/>
    <m/>
    <m/>
    <n v="0.84499999999999997"/>
    <n v="0.13700000000000001"/>
    <n v="1.7999999999999999E-2"/>
    <n v="35.014000000000003"/>
    <n v="72.912999999999997"/>
    <n v="6.375"/>
    <n v="21.89"/>
    <n v="158161"/>
    <n v="81.099999999999994"/>
    <n v="477.7"/>
    <n v="13.2"/>
    <n v="51.5"/>
    <m/>
  </r>
  <r>
    <x v="0"/>
    <x v="2"/>
    <n v="4751"/>
    <n v="3161"/>
    <n v="3428"/>
    <n v="1873"/>
    <n v="21375"/>
    <n v="10864"/>
    <n v="4217"/>
    <n v="0.65291517600000004"/>
    <n v="0.33"/>
    <n v="0.27"/>
    <m/>
    <m/>
    <n v="15964"/>
    <n v="0.50800000000000001"/>
    <m/>
    <n v="0.32"/>
    <n v="6.5039999999999996"/>
    <n v="3.2789999999999999"/>
    <n v="0.22600000000000001"/>
    <n v="4.6150000000000002"/>
    <n v="8592"/>
    <n v="26.3"/>
    <n v="23.8"/>
    <n v="1"/>
    <n v="22.3"/>
    <m/>
  </r>
  <r>
    <x v="5"/>
    <x v="2"/>
    <n v="7237.4030659999999"/>
    <n v="809.08926959999997"/>
    <n v="1332.5879170000001"/>
    <n v="2614.896303"/>
    <n v="22610.27953"/>
    <n v="9192.1009919999997"/>
    <n v="5310.9107299999996"/>
    <n v="0.86624937099999999"/>
    <n v="0.23878939900000001"/>
    <n v="3.7466976999999999E-2"/>
    <m/>
    <m/>
    <m/>
    <n v="0.69779999999999998"/>
    <n v="6.6900000000000001E-2"/>
    <n v="0.23530000000000001"/>
    <n v="9.9280000000000008"/>
    <n v="4.29"/>
    <n v="0.75638499999999997"/>
    <n v="3.1422840000000001"/>
    <n v="26255"/>
    <n v="28.693999999999999"/>
    <n v="30.324000000000002"/>
    <n v="1.9550000000000001"/>
    <n v="2.1520000000000001"/>
    <m/>
  </r>
  <r>
    <x v="6"/>
    <x v="2"/>
    <n v="18234.91275"/>
    <n v="-910.28965760000006"/>
    <n v="-241.19818910000001"/>
    <n v="4509.472111"/>
    <n v="54550.679089999998"/>
    <n v="14116.08281"/>
    <n v="8733"/>
    <n v="0.56143300500000004"/>
    <n v="0.72345656700000005"/>
    <n v="3.4523486999999999E-2"/>
    <m/>
    <m/>
    <m/>
    <m/>
    <m/>
    <m/>
    <n v="19.992000000000001"/>
    <n v="6.9740000000000002"/>
    <n v="1.851"/>
    <n v="11.202999999999999"/>
    <n v="30181"/>
    <n v="82.7"/>
    <n v="49.9"/>
    <n v="6.1"/>
    <n v="34.299999999999997"/>
    <m/>
  </r>
  <r>
    <x v="7"/>
    <x v="2"/>
    <n v="30032.27"/>
    <n v="2326.5160000000001"/>
    <n v="3941"/>
    <n v="6965"/>
    <n v="93771.413"/>
    <n v="35791"/>
    <n v="25618.524000000001"/>
    <n v="0.74949093099999997"/>
    <n v="0.52172739499999998"/>
    <n v="0.22861445399999999"/>
    <m/>
    <m/>
    <n v="35746"/>
    <m/>
    <m/>
    <n v="0.2"/>
    <n v="16.765999999999998"/>
    <n v="3.1659999999999999"/>
    <n v="13.292"/>
    <n v="9.4860000000000007"/>
    <n v="29597"/>
    <n v="19.855"/>
    <n v="24.37"/>
    <n v="0"/>
    <n v="18.745000000000001"/>
    <m/>
  </r>
  <r>
    <x v="8"/>
    <x v="2"/>
    <n v="46149"/>
    <n v="1700"/>
    <n v="4017"/>
    <n v="7131"/>
    <n v="86316"/>
    <n v="11772"/>
    <n v="8519"/>
    <n v="4.6913258999999999E-2"/>
    <n v="0.43164532300000003"/>
    <n v="9.1876309999999999E-3"/>
    <m/>
    <m/>
    <n v="15500"/>
    <n v="0.15"/>
    <n v="0.84"/>
    <n v="0.01"/>
    <n v="41.332999999999998"/>
    <n v="4.0540000000000003"/>
    <n v="3.1070000000000002"/>
    <n v="0.56999999999999995"/>
    <n v="59784"/>
    <n v="166.5"/>
    <n v="31.7"/>
    <n v="6.7"/>
    <n v="3.4"/>
    <m/>
  </r>
  <r>
    <x v="9"/>
    <x v="2"/>
    <n v="111556"/>
    <n v="-3130"/>
    <n v="4664"/>
    <n v="8337"/>
    <n v="125690"/>
    <m/>
    <n v="33394"/>
    <n v="0.11368281399999999"/>
    <n v="0.62704829900000003"/>
    <n v="2.5153286E-2"/>
    <m/>
    <m/>
    <n v="27400"/>
    <n v="0.76"/>
    <m/>
    <n v="0.24"/>
    <n v="40.072000000000003"/>
    <n v="8.202"/>
    <n v="4.3970000000000002"/>
    <n v="4.9740000000000002"/>
    <n v="58503"/>
    <n v="130.6"/>
    <n v="55.4"/>
    <n v="14.9"/>
    <n v="14.3"/>
    <m/>
  </r>
  <r>
    <x v="11"/>
    <x v="2"/>
    <n v="75791"/>
    <n v="772"/>
    <n v="3087"/>
    <n v="15757"/>
    <n v="166634"/>
    <n v="51145"/>
    <n v="37383"/>
    <n v="0.63413861800000004"/>
    <n v="0.62308189599999997"/>
    <n v="0.173569421"/>
    <m/>
    <m/>
    <n v="35307"/>
    <n v="0.255"/>
    <n v="0.24099999999999999"/>
    <n v="0.504"/>
    <n v="54.177999999999997"/>
    <n v="5.1319999999999997"/>
    <n v="7.149"/>
    <n v="29.652999999999999"/>
    <n v="68961"/>
    <n v="147.21199999999999"/>
    <n v="39.634"/>
    <n v="21.175999999999998"/>
    <n v="75.078000000000003"/>
    <m/>
  </r>
  <r>
    <x v="1"/>
    <x v="3"/>
    <n v="38543.534520000001"/>
    <n v="-1218.136088"/>
    <n v="2010.4757380000001"/>
    <n v="1810.6683479999999"/>
    <n v="25698.32402"/>
    <n v="1828.5870010000001"/>
    <n v="6468.1836759999997"/>
    <n v="0.80368953600000004"/>
    <n v="0.440348933"/>
    <n v="0.429730793"/>
    <m/>
    <m/>
    <m/>
    <m/>
    <m/>
    <m/>
    <m/>
    <m/>
    <m/>
    <m/>
    <m/>
    <n v="6.109"/>
    <n v="12.125999999999999"/>
    <n v="0.878"/>
    <n v="0"/>
    <m/>
  </r>
  <r>
    <x v="2"/>
    <x v="3"/>
    <n v="37415"/>
    <n v="760.7"/>
    <n v="1886"/>
    <n v="1903.8"/>
    <n v="28842.7"/>
    <n v="6782"/>
    <n v="8817.24"/>
    <n v="1.5230580000000001E-2"/>
    <n v="0"/>
    <n v="0"/>
    <m/>
    <m/>
    <m/>
    <m/>
    <m/>
    <m/>
    <n v="7.282"/>
    <n v="0"/>
    <n v="1.825"/>
    <n v="1.45"/>
    <n v="21118"/>
    <n v="18.081"/>
    <n v="0"/>
    <n v="5.3689999999999998"/>
    <n v="4.3259999999999996"/>
    <m/>
  </r>
  <r>
    <x v="10"/>
    <x v="3"/>
    <n v="69883"/>
    <n v="-5113"/>
    <n v="5854"/>
    <n v="11262"/>
    <n v="160658"/>
    <n v="48750"/>
    <n v="27727"/>
    <n v="0.70768284100000001"/>
    <n v="0.64131476899999995"/>
    <n v="0.246740981"/>
    <m/>
    <m/>
    <m/>
    <m/>
    <m/>
    <n v="2.7E-2"/>
    <n v="84.311999999999998"/>
    <n v="5.8550000000000004"/>
    <n v="7.0259999999999998"/>
    <n v="19.907"/>
    <m/>
    <n v="368.55"/>
    <n v="29.484000000000002"/>
    <n v="19.655999999999999"/>
    <n v="73.709999999999994"/>
    <m/>
  </r>
  <r>
    <x v="3"/>
    <x v="3"/>
    <n v="21266.5"/>
    <n v="200.5"/>
    <n v="277"/>
    <n v="1918.2"/>
    <n v="38158.199999999997"/>
    <n v="5089.5"/>
    <n v="3329"/>
    <n v="0.23405355799999999"/>
    <n v="0"/>
    <n v="0"/>
    <m/>
    <m/>
    <m/>
    <m/>
    <m/>
    <m/>
    <n v="6.9390000000000001"/>
    <n v="2.9329999999999998"/>
    <n v="0.69699999999999995"/>
    <n v="2.3580000000000001"/>
    <n v="20288"/>
    <n v="22.965"/>
    <n v="25.283000000000001"/>
    <n v="7.7249999999999996"/>
    <n v="0"/>
    <m/>
  </r>
  <r>
    <x v="0"/>
    <x v="3"/>
    <n v="3702"/>
    <n v="4142"/>
    <n v="4245"/>
    <n v="1265"/>
    <n v="22767"/>
    <n v="13863"/>
    <n v="-2195"/>
    <n v="0.69746083199999998"/>
    <n v="0.37"/>
    <n v="0.28999999999999998"/>
    <m/>
    <m/>
    <n v="12366"/>
    <m/>
    <m/>
    <m/>
    <n v="5.6310000000000002"/>
    <n v="3.004"/>
    <n v="0.434"/>
    <n v="4.6230000000000002"/>
    <n v="8009"/>
    <n v="26"/>
    <n v="22.7"/>
    <n v="0"/>
    <n v="25.1"/>
    <m/>
  </r>
  <r>
    <x v="4"/>
    <x v="3"/>
    <n v="75006"/>
    <n v="1401"/>
    <n v="4280"/>
    <n v="17601"/>
    <n v="278941"/>
    <n v="34749"/>
    <n v="37395"/>
    <n v="0.72783510699999998"/>
    <n v="0.471788924"/>
    <n v="0.16121377000000001"/>
    <m/>
    <m/>
    <m/>
    <n v="0.84499999999999997"/>
    <n v="0.13700000000000001"/>
    <n v="1.7999999999999999E-2"/>
    <n v="31.902999999999999"/>
    <n v="72.947999999999993"/>
    <n v="7.6820000000000004"/>
    <n v="21.698"/>
    <n v="158200"/>
    <n v="79.599999999999994"/>
    <n v="482.7"/>
    <n v="13.5"/>
    <n v="43.5"/>
    <m/>
  </r>
  <r>
    <x v="5"/>
    <x v="3"/>
    <n v="7776.7622570000003"/>
    <n v="760.29602220000004"/>
    <n v="1071.637373"/>
    <n v="2409.0286769999998"/>
    <n v="22301.05458"/>
    <n v="10096.24422"/>
    <n v="4855.6151710000004"/>
    <n v="0.86647761099999998"/>
    <n v="0.25812805999999999"/>
    <n v="4.4083990000000003E-2"/>
    <m/>
    <m/>
    <m/>
    <n v="0.69779999999999998"/>
    <n v="8.7800000000000003E-2"/>
    <n v="0.21440000000000001"/>
    <n v="9.8089999999999993"/>
    <n v="4.29"/>
    <n v="0.75560000000000005"/>
    <n v="3.1227999999999998"/>
    <n v="25862"/>
    <n v="29.632000000000001"/>
    <n v="26.84"/>
    <n v="2.23"/>
    <n v="2.214"/>
    <m/>
  </r>
  <r>
    <x v="12"/>
    <x v="3"/>
    <n v="15517"/>
    <n v="913"/>
    <n v="2443"/>
    <n v="3924"/>
    <n v="42537"/>
    <n v="12121"/>
    <n v="17380"/>
    <n v="0.88494122600000003"/>
    <n v="0.49873114899999998"/>
    <n v="0.20995720800000001"/>
    <m/>
    <m/>
    <m/>
    <m/>
    <m/>
    <m/>
    <n v="7.0990000000000002"/>
    <n v="0.156"/>
    <n v="9.33"/>
    <n v="7.7779999999999996"/>
    <n v="12084"/>
    <n v="25.297000000000001"/>
    <n v="1.2270000000000001"/>
    <n v="21.712"/>
    <n v="15.481999999999999"/>
    <m/>
  </r>
  <r>
    <x v="6"/>
    <x v="3"/>
    <n v="15369.858910000001"/>
    <n v="-2115.9569230000002"/>
    <n v="-542.63814850000006"/>
    <n v="3276.1684540000001"/>
    <n v="49491.189760000001"/>
    <n v="12741.77318"/>
    <n v="6873"/>
    <n v="0.55000000000000004"/>
    <n v="0.70381540099999995"/>
    <n v="-0.108987575"/>
    <m/>
    <m/>
    <m/>
    <m/>
    <m/>
    <m/>
    <n v="17.741"/>
    <n v="7.1970000000000001"/>
    <n v="1.613"/>
    <n v="11.727"/>
    <n v="28567"/>
    <n v="84"/>
    <n v="42.2"/>
    <n v="7.4"/>
    <n v="39.4"/>
    <m/>
  </r>
  <r>
    <x v="7"/>
    <x v="3"/>
    <n v="31418.693019999999"/>
    <n v="2421.5778"/>
    <n v="3829.287292"/>
    <n v="7305.9014319999997"/>
    <n v="104664"/>
    <n v="40956"/>
    <n v="28067.132000000001"/>
    <n v="0.74036485200000002"/>
    <n v="0.53943399199999997"/>
    <n v="0.24916179699999999"/>
    <m/>
    <m/>
    <n v="27169"/>
    <m/>
    <m/>
    <m/>
    <n v="16.829999999999998"/>
    <n v="3.1659999999999999"/>
    <n v="14.186"/>
    <n v="10.391999999999999"/>
    <n v="27169"/>
    <n v="21.818000000000001"/>
    <n v="23.082000000000001"/>
    <n v="0"/>
    <n v="13.192"/>
    <m/>
  </r>
  <r>
    <x v="9"/>
    <x v="3"/>
    <n v="114592"/>
    <n v="-6377"/>
    <n v="4369"/>
    <n v="7557"/>
    <n v="113693"/>
    <n v="19077"/>
    <n v="27714"/>
    <n v="8.7466839000000005E-2"/>
    <n v="0.65430484099999997"/>
    <n v="1.4335129E-2"/>
    <m/>
    <m/>
    <n v="17400"/>
    <n v="0.75"/>
    <m/>
    <n v="0.25"/>
    <n v="30.535"/>
    <n v="6.6319999999999997"/>
    <n v="3.9670000000000001"/>
    <n v="3.7280000000000002"/>
    <n v="56490"/>
    <n v="113.5"/>
    <n v="49.7"/>
    <n v="10.7"/>
    <n v="14.6"/>
    <m/>
  </r>
  <r>
    <x v="8"/>
    <x v="3"/>
    <n v="48599"/>
    <n v="284"/>
    <n v="3837"/>
    <n v="7017"/>
    <n v="79334"/>
    <n v="8884"/>
    <n v="7353"/>
    <n v="4.7120310999999998E-2"/>
    <n v="0.409535176"/>
    <n v="8.8273420000000002E-3"/>
    <m/>
    <m/>
    <n v="7100"/>
    <n v="0.15"/>
    <n v="0.84"/>
    <n v="0.01"/>
    <n v="39.851999999999997"/>
    <n v="4.0540000000000003"/>
    <n v="4.1459999999999999"/>
    <m/>
    <n v="59350"/>
    <n v="169.9"/>
    <n v="31.7"/>
    <n v="8.4"/>
    <n v="3"/>
    <m/>
  </r>
  <r>
    <x v="11"/>
    <x v="3"/>
    <n v="75658"/>
    <n v="3372"/>
    <n v="7685"/>
    <n v="15000"/>
    <n v="161179"/>
    <n v="51751"/>
    <n v="37545"/>
    <n v="0.61643183800000001"/>
    <n v="0.461696053"/>
    <n v="0.15501334999999999"/>
    <m/>
    <m/>
    <m/>
    <m/>
    <m/>
    <m/>
    <n v="47.576999999999998"/>
    <n v="5.1319999999999997"/>
    <n v="7.9870000000000001"/>
    <n v="29.045999999999999"/>
    <n v="68381"/>
    <n v="159.90100000000001"/>
    <n v="39.901000000000003"/>
    <n v="23.335000000000001"/>
    <n v="65.938999999999993"/>
    <m/>
  </r>
  <r>
    <x v="1"/>
    <x v="4"/>
    <n v="33335.46"/>
    <n v="2044.26"/>
    <n v="1863.45"/>
    <n v="2945.85"/>
    <n v="25615.98"/>
    <n v="3119.22"/>
    <n v="4063.41"/>
    <m/>
    <n v="0.68903983899999999"/>
    <n v="0.51313106200000003"/>
    <m/>
    <m/>
    <m/>
    <m/>
    <m/>
    <m/>
    <m/>
    <m/>
    <m/>
    <m/>
    <n v="38278"/>
    <n v="10.092000000000001"/>
    <n v="13.03"/>
    <n v="0.53900000000000003"/>
    <n v="0"/>
    <m/>
  </r>
  <r>
    <x v="2"/>
    <x v="4"/>
    <n v="35112"/>
    <n v="562"/>
    <n v="2225"/>
    <n v="3283.5"/>
    <n v="26179"/>
    <n v="6156"/>
    <n v="8034"/>
    <n v="1.6426808000000001E-2"/>
    <n v="2.5711226E-2"/>
    <n v="0"/>
    <m/>
    <m/>
    <n v="17818"/>
    <n v="0"/>
    <m/>
    <m/>
    <n v="7.3339999999999996"/>
    <n v="0"/>
    <n v="1.859"/>
    <n v="1.45"/>
    <n v="21157"/>
    <n v="18.341000000000001"/>
    <n v="0"/>
    <n v="4.6210000000000004"/>
    <n v="3.3340000000000001"/>
    <m/>
  </r>
  <r>
    <x v="10"/>
    <x v="4"/>
    <n v="66639"/>
    <n v="163"/>
    <n v="5408"/>
    <n v="10689"/>
    <n v="158499"/>
    <n v="45447"/>
    <n v="24807"/>
    <n v="0.68712015500000001"/>
    <n v="0.62565464699999995"/>
    <n v="0.241270127"/>
    <m/>
    <m/>
    <m/>
    <n v="0.30530000000000002"/>
    <n v="0.65210000000000001"/>
    <n v="5.4600000000000003E-2"/>
    <n v="80.016999999999996"/>
    <n v="6.7619999999999996"/>
    <n v="6.7619999999999996"/>
    <n v="19.158999999999999"/>
    <n v="153090"/>
    <n v="374.66199999999998"/>
    <n v="45.567"/>
    <n v="15.189"/>
    <n v="70.882000000000005"/>
    <m/>
  </r>
  <r>
    <x v="0"/>
    <x v="4"/>
    <n v="3632"/>
    <n v="504"/>
    <n v="633"/>
    <n v="1015"/>
    <n v="21964"/>
    <n v="13542"/>
    <n v="-48"/>
    <n v="0.71145374400000005"/>
    <n v="0.37830396500000002"/>
    <n v="0.47879955899999999"/>
    <m/>
    <m/>
    <n v="12944"/>
    <m/>
    <m/>
    <m/>
    <n v="5.242"/>
    <n v="3.0110000000000001"/>
    <n v="0.42899999999999999"/>
    <n v="4.6520000000000001"/>
    <n v="7994"/>
    <n v="26.2"/>
    <n v="24.1"/>
    <n v="0.1"/>
    <n v="20.7"/>
    <m/>
  </r>
  <r>
    <x v="3"/>
    <x v="4"/>
    <n v="19368.400000000001"/>
    <n v="-1672.5"/>
    <n v="1024"/>
    <n v="1938"/>
    <n v="38535.300000000003"/>
    <n v="3216.2"/>
    <n v="3645"/>
    <n v="0.226975383"/>
    <n v="0"/>
    <n v="0"/>
    <m/>
    <m/>
    <m/>
    <m/>
    <m/>
    <m/>
    <n v="7.5090000000000003"/>
    <n v="2.9329999999999998"/>
    <n v="0.78600000000000003"/>
    <n v="2.3540000000000001"/>
    <n v="20409"/>
    <n v="21.626000000000001"/>
    <n v="21.015999999999998"/>
    <n v="8.2569999999999997"/>
    <n v="1.722"/>
    <m/>
  </r>
  <r>
    <x v="4"/>
    <x v="4"/>
    <n v="71203"/>
    <n v="3011"/>
    <n v="7514"/>
    <n v="16414"/>
    <n v="281640"/>
    <n v="34438"/>
    <n v="37425"/>
    <n v="0.49423479300000001"/>
    <n v="0.44491102900000001"/>
    <n v="0.15881353300000001"/>
    <m/>
    <m/>
    <n v="20420"/>
    <n v="0.83099999999999996"/>
    <n v="0.155"/>
    <n v="1.4E-2"/>
    <n v="32"/>
    <n v="75"/>
    <n v="9"/>
    <n v="21"/>
    <n v="154845"/>
    <n v="77"/>
    <n v="471"/>
    <n v="19"/>
    <n v="50.3"/>
    <m/>
  </r>
  <r>
    <x v="5"/>
    <x v="4"/>
    <n v="7536.3605429999998"/>
    <n v="539.11994909999999"/>
    <n v="965.94019560000004"/>
    <n v="2148.4161159999999"/>
    <n v="23347.187269999999"/>
    <n v="9672.8349369999996"/>
    <n v="5420.1332350000002"/>
    <n v="0.85766452000000004"/>
    <n v="0.259443223"/>
    <n v="3.8042838000000002E-2"/>
    <m/>
    <m/>
    <m/>
    <n v="0.69779999999999998"/>
    <n v="9.7699999999999995E-2"/>
    <n v="0.20449999999999999"/>
    <m/>
    <n v="4.29"/>
    <n v="1.339"/>
    <n v="1.9601999999999999"/>
    <n v="26895"/>
    <n v="30.689"/>
    <n v="24.103999999999999"/>
    <n v="3.992"/>
    <n v="2.347"/>
    <m/>
  </r>
  <r>
    <x v="12"/>
    <x v="4"/>
    <n v="14595"/>
    <n v="961"/>
    <n v="2264"/>
    <n v="3759"/>
    <n v="44084"/>
    <n v="13736"/>
    <n v="15923"/>
    <n v="0.89018081500000001"/>
    <n v="0.47202925699999998"/>
    <n v="0.204527441"/>
    <m/>
    <m/>
    <m/>
    <m/>
    <m/>
    <m/>
    <n v="6.8849999999999998"/>
    <n v="0.156"/>
    <n v="10.052"/>
    <n v="8.1050000000000004"/>
    <n v="11992"/>
    <n v="23.062000000000001"/>
    <n v="1.2390000000000001"/>
    <n v="24.471"/>
    <n v="21.138999999999999"/>
    <m/>
  </r>
  <r>
    <x v="6"/>
    <x v="4"/>
    <n v="14702.22316"/>
    <n v="-2746.369541"/>
    <n v="141.20504829999999"/>
    <n v="2873.6336270000002"/>
    <n v="42723.818270000003"/>
    <n v="8748.1209290000006"/>
    <n v="5295.2229829999997"/>
    <n v="0.71114447400000003"/>
    <n v="0.664293719"/>
    <n v="6.2625711000000001E-2"/>
    <m/>
    <m/>
    <m/>
    <n v="1"/>
    <m/>
    <m/>
    <n v="9.6489999999999991"/>
    <n v="7.2539999999999996"/>
    <n v="2.4350000000000001"/>
    <n v="11.728"/>
    <n v="19935"/>
    <n v="30.8"/>
    <n v="46.9"/>
    <n v="6.5"/>
    <n v="34.799999999999997"/>
    <m/>
  </r>
  <r>
    <x v="7"/>
    <x v="4"/>
    <n v="29215"/>
    <n v="2705"/>
    <n v="4554"/>
    <n v="7808"/>
    <n v="106706"/>
    <n v="40687"/>
    <n v="26926"/>
    <n v="0.72301119899999999"/>
    <n v="0.52300000000000002"/>
    <n v="0.19700000000000001"/>
    <m/>
    <m/>
    <n v="30591"/>
    <m/>
    <m/>
    <m/>
    <n v="17"/>
    <n v="3"/>
    <n v="14.2"/>
    <n v="10.3"/>
    <n v="30591"/>
    <n v="58.6"/>
    <n v="24"/>
    <n v="33.4"/>
    <n v="20.5"/>
    <m/>
  </r>
  <r>
    <x v="8"/>
    <x v="4"/>
    <n v="45833"/>
    <n v="-5484"/>
    <n v="3082"/>
    <n v="5403"/>
    <n v="76402"/>
    <n v="7990"/>
    <n v="1659"/>
    <n v="5.9673161000000002E-2"/>
    <n v="0.405821133"/>
    <n v="2.1098334999999999E-2"/>
    <m/>
    <m/>
    <n v="7100"/>
    <n v="0.13"/>
    <n v="0.86"/>
    <n v="0.01"/>
    <n v="38.338000000000001"/>
    <n v="4.0540000000000003"/>
    <n v="4.0190000000000001"/>
    <m/>
    <n v="58652"/>
    <n v="171.1"/>
    <n v="30.1"/>
    <n v="11.1"/>
    <n v="3"/>
    <m/>
  </r>
  <r>
    <x v="9"/>
    <x v="4"/>
    <n v="38173"/>
    <n v="904"/>
    <n v="3112"/>
    <n v="4939"/>
    <n v="63699"/>
    <n v="1287"/>
    <n v="26320"/>
    <n v="0.15"/>
    <m/>
    <m/>
    <m/>
    <m/>
    <n v="13100"/>
    <n v="0.74"/>
    <m/>
    <n v="0.26"/>
    <n v="0"/>
    <n v="4.4710000000000001"/>
    <n v="4.1760000000000002"/>
    <n v="0"/>
    <n v="43138"/>
    <n v="0"/>
    <n v="32.4"/>
    <n v="14"/>
    <n v="0"/>
    <m/>
  </r>
  <r>
    <x v="11"/>
    <x v="4"/>
    <n v="70592"/>
    <n v="3787"/>
    <n v="8921"/>
    <n v="15276"/>
    <n v="155596"/>
    <n v="52575"/>
    <n v="37553"/>
    <n v="0.59974218000000001"/>
    <n v="0.476470422"/>
    <n v="0.16888599300000001"/>
    <m/>
    <m/>
    <m/>
    <m/>
    <m/>
    <m/>
    <n v="43.454000000000001"/>
    <n v="3.3180000000000001"/>
    <n v="8.4819999999999993"/>
    <n v="27.425000000000001"/>
    <n v="62080"/>
    <n v="142.39400000000001"/>
    <n v="33.444000000000003"/>
    <n v="25.943000000000001"/>
    <n v="60.030999999999999"/>
    <m/>
  </r>
  <r>
    <x v="1"/>
    <x v="5"/>
    <n v="31584.807369999999"/>
    <n v="781.08237899999995"/>
    <n v="1405.497441"/>
    <n v="2414.2546259999999"/>
    <n v="23294.964800000002"/>
    <n v="3042.0509969999998"/>
    <n v="2925.9593880000002"/>
    <m/>
    <n v="0.67180423600000005"/>
    <n v="0.48614535399999997"/>
    <m/>
    <m/>
    <m/>
    <m/>
    <m/>
    <m/>
    <m/>
    <m/>
    <m/>
    <m/>
    <n v="34901"/>
    <n v="7.5149999999999997"/>
    <n v="12.776999999999999"/>
    <n v="0.53900000000000003"/>
    <n v="0"/>
    <m/>
  </r>
  <r>
    <x v="10"/>
    <x v="5"/>
    <n v="59576"/>
    <n v="2108"/>
    <n v="5172"/>
    <n v="9199"/>
    <n v="150141"/>
    <n v="42122"/>
    <n v="22520"/>
    <n v="0.32998187200000001"/>
    <n v="0.57615482699999998"/>
    <n v="0.236168927"/>
    <m/>
    <m/>
    <m/>
    <n v="0.25979999999999998"/>
    <n v="0.67600000000000005"/>
    <n v="6.4199999999999993E-2"/>
    <n v="68.808999999999997"/>
    <n v="6.1619999999999999"/>
    <n v="8.2159999999999993"/>
    <n v="19.513000000000002"/>
    <n v="150000"/>
    <n v="328.5"/>
    <n v="45"/>
    <n v="13.5"/>
    <n v="63"/>
    <m/>
  </r>
  <r>
    <x v="2"/>
    <x v="5"/>
    <n v="35195.369120000003"/>
    <n v="1224.033858"/>
    <n v="2061.1332560000001"/>
    <n v="3687.8810159999998"/>
    <n v="26494.675910000002"/>
    <n v="5969.0912749999998"/>
    <n v="9561.9359540000005"/>
    <n v="1.5967258000000002E-2"/>
    <n v="2.6221402000000001E-2"/>
    <n v="0"/>
    <m/>
    <m/>
    <m/>
    <m/>
    <m/>
    <m/>
    <n v="7.3339999999999996"/>
    <n v="0"/>
    <n v="2.3759999999999999"/>
    <n v="1.45"/>
    <n v="20785"/>
    <n v="23.67"/>
    <n v="0"/>
    <n v="5.9980000000000002"/>
    <n v="3.43"/>
    <m/>
  </r>
  <r>
    <x v="4"/>
    <x v="5"/>
    <n v="64892"/>
    <n v="3289"/>
    <n v="5637"/>
    <n v="13742"/>
    <n v="271842"/>
    <n v="41357"/>
    <n v="33015"/>
    <n v="0.54869629499999995"/>
    <n v="0.45255193199999999"/>
    <n v="0.16593725000000001"/>
    <m/>
    <m/>
    <n v="30500"/>
    <n v="0.83499999999999996"/>
    <n v="0.15179999999999999"/>
    <n v="1.32E-2"/>
    <n v="25.6"/>
    <n v="72.900000000000006"/>
    <n v="9.4"/>
    <n v="21.5"/>
    <n v="152033"/>
    <n v="77.099999999999994"/>
    <n v="447.7"/>
    <n v="15.7"/>
    <n v="40.299999999999997"/>
    <m/>
  </r>
  <r>
    <x v="3"/>
    <x v="5"/>
    <n v="21974"/>
    <n v="2176.3000000000002"/>
    <n v="998.8"/>
    <n v="2113"/>
    <n v="38784.9"/>
    <n v="5862.9"/>
    <n v="2917.8"/>
    <n v="0.19043642499999999"/>
    <n v="0"/>
    <n v="0"/>
    <m/>
    <m/>
    <m/>
    <m/>
    <m/>
    <m/>
    <n v="6.1779999999999999"/>
    <n v="2.9329999999999998"/>
    <n v="3.351"/>
    <n v="0.54500000000000004"/>
    <n v="21352"/>
    <n v="22.651"/>
    <n v="17.532"/>
    <n v="8.2899999999999991"/>
    <n v="1.7210000000000001"/>
    <m/>
  </r>
  <r>
    <x v="0"/>
    <x v="5"/>
    <n v="4520"/>
    <n v="882"/>
    <n v="1158"/>
    <n v="1275"/>
    <n v="21753"/>
    <n v="13287"/>
    <n v="988"/>
    <n v="0.68163716799999996"/>
    <n v="0.37455752199999998"/>
    <m/>
    <m/>
    <m/>
    <n v="14658"/>
    <n v="0.50760000000000005"/>
    <n v="0.1406"/>
    <n v="0.3518"/>
    <n v="5.5339999999999998"/>
    <n v="2.8140000000000001"/>
    <n v="0.70299999999999996"/>
    <n v="4.6719999999999997"/>
    <n v="8785"/>
    <n v="28"/>
    <n v="23"/>
    <n v="1.2"/>
    <n v="20.7"/>
    <m/>
  </r>
  <r>
    <x v="5"/>
    <x v="5"/>
    <n v="7586.2222019999999"/>
    <n v="7586.2222019999999"/>
    <n v="7586.2222019999999"/>
    <n v="7586.2222019999999"/>
    <n v="7586.2222019999999"/>
    <n v="7586.2222019999999"/>
    <n v="7586.2222019999999"/>
    <n v="0.50757708700000004"/>
    <n v="0.29488229700000002"/>
    <n v="4.2337096999999997E-2"/>
    <m/>
    <m/>
    <m/>
    <n v="0.69779999999999998"/>
    <n v="0.1016"/>
    <n v="0.20599999999999999"/>
    <n v="7.71"/>
    <n v="4.29"/>
    <n v="0.879"/>
    <n v="1.9850000000000001"/>
    <n v="29837"/>
    <n v="27.878"/>
    <n v="28.338999999999999"/>
    <n v="2"/>
    <n v="3.6"/>
    <m/>
  </r>
  <r>
    <x v="12"/>
    <x v="5"/>
    <n v="15745.986999999999"/>
    <n v="1113"/>
    <n v="2318"/>
    <n v="3990"/>
    <n v="42075.048999999999"/>
    <n v="13480.26"/>
    <n v="13902"/>
    <n v="0.90998588999999996"/>
    <n v="0.50897114300000001"/>
    <n v="0.27905484699999999"/>
    <m/>
    <m/>
    <m/>
    <m/>
    <m/>
    <m/>
    <n v="6.4969999999999999"/>
    <n v="0.156"/>
    <n v="11.23"/>
    <n v="8.8699999999999992"/>
    <n v="11657"/>
    <n v="29.719000000000001"/>
    <n v="1.236"/>
    <n v="27.859000000000002"/>
    <n v="11.186"/>
    <m/>
  </r>
  <r>
    <x v="6"/>
    <x v="5"/>
    <n v="13190.08942"/>
    <n v="925.84638210000003"/>
    <n v="1808.3486270000001"/>
    <n v="3358.096763"/>
    <n v="39688.415500000003"/>
    <n v="8956.7933570000005"/>
    <n v="5748.598258"/>
    <n v="0.213131134"/>
    <n v="0.679056204"/>
    <n v="4.4118299999999999E-2"/>
    <m/>
    <m/>
    <m/>
    <m/>
    <m/>
    <m/>
    <n v="9.5540000000000003"/>
    <n v="7.226"/>
    <n v="2.7320000000000002"/>
    <n v="11.686999999999999"/>
    <n v="20041"/>
    <n v="31.9"/>
    <n v="51.9"/>
    <n v="8"/>
    <n v="35.6"/>
    <m/>
  </r>
  <r>
    <x v="7"/>
    <x v="5"/>
    <n v="31263"/>
    <n v="2804"/>
    <n v="2712.6"/>
    <n v="7318.7"/>
    <n v="110688.6"/>
    <n v="42733.2"/>
    <n v="29784.799999999999"/>
    <n v="0.95969676599999998"/>
    <n v="0.54909029799999998"/>
    <n v="0.54909029799999998"/>
    <m/>
    <m/>
    <n v="40811"/>
    <m/>
    <m/>
    <m/>
    <n v="16.158000000000001"/>
    <n v="3.177"/>
    <n v="16.295999999999999"/>
    <n v="12.816000000000001"/>
    <n v="34255"/>
    <n v="63.639000000000003"/>
    <n v="23.248999999999999"/>
    <n v="35.030999999999999"/>
    <n v="15.714"/>
    <m/>
  </r>
  <r>
    <x v="9"/>
    <x v="5"/>
    <n v="37965"/>
    <n v="1427"/>
    <n v="3072"/>
    <n v="4955"/>
    <n v="55950"/>
    <n v="6708"/>
    <n v="19248"/>
    <n v="8.3998420000000004E-2"/>
    <m/>
    <m/>
    <m/>
    <m/>
    <m/>
    <n v="0.78"/>
    <m/>
    <n v="0.22"/>
    <n v="0"/>
    <n v="4.1500000000000004"/>
    <n v="4.7160000000000002"/>
    <n v="0"/>
    <n v="42699"/>
    <n v="0"/>
    <n v="27.5"/>
    <n v="12.5"/>
    <n v="0"/>
    <m/>
  </r>
  <r>
    <x v="11"/>
    <x v="5"/>
    <n v="74639"/>
    <n v="5329"/>
    <n v="9792"/>
    <n v="15653"/>
    <n v="155641"/>
    <n v="52161"/>
    <n v="37410"/>
    <n v="0.58190758200000003"/>
    <n v="0.480419084"/>
    <n v="0.193424349"/>
    <m/>
    <m/>
    <m/>
    <m/>
    <m/>
    <m/>
    <n v="43.293999999999997"/>
    <n v="3.3180000000000001"/>
    <n v="10.506"/>
    <n v="27.798999999999999"/>
    <n v="62900"/>
    <n v="141.733"/>
    <n v="26.448"/>
    <n v="26.332000000000001"/>
    <n v="55.363"/>
    <m/>
  </r>
  <r>
    <x v="8"/>
    <x v="5"/>
    <n v="13822"/>
    <n v="1900"/>
    <n v="1170"/>
    <n v="2149"/>
    <n v="69059"/>
    <n v="11991"/>
    <n v="6301"/>
    <n v="0.157864274"/>
    <m/>
    <m/>
    <m/>
    <m/>
    <m/>
    <n v="0.86"/>
    <n v="0.13"/>
    <n v="0.01"/>
    <n v="33.395000000000003"/>
    <n v="2.77"/>
    <n v="4.1479999999999997"/>
    <n v="2.956"/>
    <n v="59547"/>
    <n v="156.4"/>
    <n v="30.3"/>
    <n v="10.4"/>
    <n v="3.1"/>
    <m/>
  </r>
  <r>
    <x v="1"/>
    <x v="6"/>
    <n v="32943.24"/>
    <n v="699.90520000000004"/>
    <n v="1544.0064"/>
    <n v="2493.4816000000001"/>
    <n v="23064.954000000002"/>
    <n v="2770.2179999999998"/>
    <n v="2531.232"/>
    <m/>
    <n v="0.65"/>
    <n v="0.38"/>
    <m/>
    <m/>
    <m/>
    <m/>
    <m/>
    <m/>
    <m/>
    <m/>
    <m/>
    <m/>
    <m/>
    <n v="2.2999999999999998"/>
    <n v="11.82"/>
    <n v="0"/>
    <n v="0"/>
    <m/>
  </r>
  <r>
    <x v="2"/>
    <x v="6"/>
    <n v="8132.21072"/>
    <n v="1583.9376"/>
    <n v="1020.35308"/>
    <n v="2077.75344"/>
    <n v="28433.723999999998"/>
    <n v="6553.9386000000004"/>
    <n v="10529.97"/>
    <n v="6.7509317999999999E-2"/>
    <n v="2.5999999999999999E-2"/>
    <n v="0"/>
    <m/>
    <m/>
    <n v="11505"/>
    <m/>
    <m/>
    <m/>
    <n v="6.7649999999999997"/>
    <n v="0"/>
    <n v="2.617"/>
    <n v="1.1499999999999999"/>
    <n v="20000"/>
    <n v="21.056000000000001"/>
    <n v="0"/>
    <n v="6.4610000000000003"/>
    <n v="3.3180000000000001"/>
    <m/>
  </r>
  <r>
    <x v="10"/>
    <x v="6"/>
    <n v="60596"/>
    <n v="1629"/>
    <n v="5126"/>
    <n v="9236"/>
    <n v="153702"/>
    <n v="40941"/>
    <n v="21102"/>
    <n v="0.34084758100000001"/>
    <n v="0.58769555699999998"/>
    <n v="0.222489933"/>
    <m/>
    <m/>
    <m/>
    <n v="0.25469999999999998"/>
    <n v="0.69579999999999997"/>
    <n v="4.9500000000000002E-2"/>
    <n v="69.881"/>
    <n v="6.258"/>
    <n v="8.3439999999999994"/>
    <n v="19.817"/>
    <n v="160000"/>
    <n v="298.2"/>
    <n v="29.4"/>
    <n v="21"/>
    <n v="71.400000000000006"/>
    <m/>
  </r>
  <r>
    <x v="4"/>
    <x v="6"/>
    <n v="68976"/>
    <n v="1191"/>
    <n v="5282"/>
    <n v="15265"/>
    <n v="283169"/>
    <n v="44469"/>
    <n v="33388"/>
    <m/>
    <m/>
    <m/>
    <m/>
    <m/>
    <m/>
    <n v="0.8367"/>
    <n v="0.15060000000000001"/>
    <n v="1.2699999999999999E-2"/>
    <n v="22.4"/>
    <n v="72.900000000000006"/>
    <n v="9.6"/>
    <n v="21.5"/>
    <n v="165790"/>
    <n v="57.4"/>
    <n v="457.8"/>
    <n v="17.7"/>
    <n v="51.1"/>
    <m/>
  </r>
  <r>
    <x v="3"/>
    <x v="6"/>
    <n v="20617.5"/>
    <n v="467.6"/>
    <n v="957.5"/>
    <n v="2157"/>
    <n v="39609"/>
    <n v="6273"/>
    <n v="3738.4"/>
    <n v="0.19331635699999999"/>
    <n v="0"/>
    <n v="0"/>
    <m/>
    <m/>
    <m/>
    <m/>
    <m/>
    <m/>
    <n v="6.1829999999999998"/>
    <n v="2.9329999999999998"/>
    <n v="3.738"/>
    <n v="0.54500000000000004"/>
    <n v="21775"/>
    <n v="22.632000000000001"/>
    <n v="20.655999999999999"/>
    <n v="8.4139999999999997"/>
    <n v="1.79"/>
    <m/>
  </r>
  <r>
    <x v="0"/>
    <x v="6"/>
    <n v="5242"/>
    <n v="858"/>
    <n v="1138"/>
    <n v="1523"/>
    <n v="22409"/>
    <n v="12077"/>
    <n v="5509"/>
    <n v="0.72376955399999998"/>
    <n v="0.30961465100000002"/>
    <m/>
    <m/>
    <m/>
    <m/>
    <n v="0.50760000000000005"/>
    <n v="0.1293"/>
    <n v="0.36309999999999998"/>
    <n v="5.6289999999999996"/>
    <n v="2.81"/>
    <n v="0.60499999999999998"/>
    <n v="4.6719999999999997"/>
    <n v="8286"/>
    <n v="32"/>
    <n v="22.8"/>
    <n v="0.4"/>
    <n v="19.100000000000001"/>
    <m/>
  </r>
  <r>
    <x v="13"/>
    <x v="6"/>
    <n v="20195"/>
    <n v="1417"/>
    <n v="1919"/>
    <n v="3627"/>
    <n v="31656"/>
    <n v="9181"/>
    <n v="5770"/>
    <n v="0.70002475900000005"/>
    <n v="4.9962861999999997E-2"/>
    <m/>
    <m/>
    <m/>
    <m/>
    <m/>
    <n v="0.2989"/>
    <n v="0.70099999999999996"/>
    <n v="12.872999999999999"/>
    <n v="3.3180000000000001"/>
    <n v="1.8149999999999999"/>
    <n v="4.7119999999999997"/>
    <m/>
    <n v="28.997"/>
    <n v="24.067"/>
    <n v="3.7120000000000002"/>
    <n v="8.4589999999999996"/>
    <m/>
  </r>
  <r>
    <x v="12"/>
    <x v="6"/>
    <n v="15278.084999999999"/>
    <n v="519"/>
    <n v="1584"/>
    <n v="3317"/>
    <n v="41626.961000000003"/>
    <n v="13736.371999999999"/>
    <n v="13480"/>
    <n v="0.89885289899999998"/>
    <n v="0.49386431600000003"/>
    <n v="0.26775600500000002"/>
    <m/>
    <m/>
    <m/>
    <m/>
    <m/>
    <m/>
    <n v="6.9020000000000001"/>
    <n v="0.156"/>
    <n v="11.301"/>
    <n v="8.7850000000000001"/>
    <n v="11631"/>
    <n v="23.113"/>
    <n v="1.196"/>
    <n v="28.359000000000002"/>
    <n v="19.387"/>
    <m/>
  </r>
  <r>
    <x v="6"/>
    <x v="6"/>
    <n v="15287.585220000001"/>
    <n v="1170.4715839999999"/>
    <n v="1717.5430040000001"/>
    <n v="3347.644264"/>
    <n v="45111.362480000003"/>
    <n v="10102.29356"/>
    <n v="4654.2107109999997"/>
    <n v="0.229964801"/>
    <n v="0.69529536300000006"/>
    <n v="4.9437585999999999E-2"/>
    <m/>
    <m/>
    <m/>
    <m/>
    <m/>
    <m/>
    <n v="9.4120000000000008"/>
    <n v="7.2229999999999999"/>
    <n v="2.8109999999999999"/>
    <n v="11.686999999999999"/>
    <n v="19910"/>
    <n v="31.6"/>
    <n v="55"/>
    <n v="8.1999999999999993"/>
    <n v="35.5"/>
    <m/>
  </r>
  <r>
    <x v="8"/>
    <x v="6"/>
    <n v="13388"/>
    <n v="335"/>
    <n v="619"/>
    <n v="1538"/>
    <n v="80108"/>
    <n v="14257"/>
    <n v="7419"/>
    <n v="0.153645055"/>
    <n v="0.33843740700000002"/>
    <n v="3.5031370999999999E-2"/>
    <m/>
    <m/>
    <m/>
    <n v="0.86"/>
    <n v="0.13"/>
    <n v="0.01"/>
    <n v="31.795999999999999"/>
    <n v="2.77"/>
    <n v="4.2930000000000001"/>
    <n v="2.8439999999999999"/>
    <n v="17748"/>
    <n v="141.80000000000001"/>
    <n v="21.8"/>
    <n v="9.9"/>
    <n v="2.5"/>
    <m/>
  </r>
  <r>
    <x v="14"/>
    <x v="6"/>
    <n v="2671"/>
    <n v="342"/>
    <n v="655"/>
    <n v="864"/>
    <n v="11704"/>
    <n v="5941"/>
    <n v="2560"/>
    <n v="0.75290153500000001"/>
    <n v="0"/>
    <n v="0"/>
    <m/>
    <m/>
    <m/>
    <m/>
    <m/>
    <m/>
    <m/>
    <m/>
    <n v="0.41799999999999998"/>
    <n v="8.2149999999999999"/>
    <m/>
    <n v="0"/>
    <n v="0"/>
    <n v="0.83399999999999996"/>
    <n v="29.518000000000001"/>
    <m/>
  </r>
  <r>
    <x v="11"/>
    <x v="6"/>
    <n v="75672"/>
    <n v="6350"/>
    <n v="9900"/>
    <n v="16351"/>
    <n v="165424"/>
    <n v="47852"/>
    <n v="41089"/>
    <n v="0.56969552800000001"/>
    <n v="0.63810920800000004"/>
    <n v="0.237881911"/>
    <m/>
    <m/>
    <m/>
    <m/>
    <m/>
    <m/>
    <n v="43.098999999999997"/>
    <n v="3.3180000000000001"/>
    <n v="11.359"/>
    <n v="27.844000000000001"/>
    <n v="69272"/>
    <n v="127.33199999999999"/>
    <n v="24.067"/>
    <n v="33.046999999999997"/>
    <n v="65.893000000000001"/>
    <m/>
  </r>
  <r>
    <x v="9"/>
    <x v="6"/>
    <n v="30253"/>
    <n v="1505"/>
    <n v="2989"/>
    <n v="4840"/>
    <n v="54324"/>
    <n v="8518"/>
    <n v="16580"/>
    <n v="0.104221069"/>
    <n v="0.558423958"/>
    <n v="9.354444E-3"/>
    <m/>
    <m/>
    <m/>
    <m/>
    <m/>
    <m/>
    <n v="0"/>
    <n v="4.1500000000000004"/>
    <n v="5.3339999999999996"/>
    <n v="0"/>
    <n v="43302"/>
    <n v="0"/>
    <n v="31.2"/>
    <n v="14.7"/>
    <n v="0"/>
    <m/>
  </r>
  <r>
    <x v="15"/>
    <x v="6"/>
    <n v="35181"/>
    <n v="-286"/>
    <n v="2099"/>
    <n v="3146"/>
    <n v="49874"/>
    <n v="9914"/>
    <n v="13133"/>
    <n v="0.714647111"/>
    <n v="0.418862454"/>
    <n v="2.8140190000000001E-3"/>
    <m/>
    <m/>
    <m/>
    <m/>
    <m/>
    <m/>
    <n v="7.4999999999999997E-2"/>
    <m/>
    <n v="2.9449999999999998"/>
    <n v="0.54200000000000004"/>
    <n v="37374"/>
    <n v="1.2"/>
    <n v="0"/>
    <n v="7.2"/>
    <n v="2.4"/>
    <m/>
  </r>
  <r>
    <x v="6"/>
    <x v="7"/>
    <n v="15710.52326"/>
    <n v="1403.426823"/>
    <n v="2090.9274799999998"/>
    <n v="4008.3743679999998"/>
    <n v="43150.055520000002"/>
    <n v="10388.06142"/>
    <n v="6151.7402460000003"/>
    <n v="0"/>
    <n v="0"/>
    <n v="0"/>
    <s v="OUI/NON"/>
    <s v="OUI/NON"/>
    <m/>
    <m/>
    <m/>
    <m/>
    <n v="0"/>
    <n v="0"/>
    <n v="0"/>
    <n v="0"/>
    <m/>
    <n v="31.1"/>
    <n v="53.3"/>
    <n v="10.1"/>
    <n v="35.700000000000003"/>
    <m/>
  </r>
  <r>
    <x v="2"/>
    <x v="7"/>
    <n v="8581.0088099999994"/>
    <n v="1703.09205"/>
    <n v="1603.5987"/>
    <n v="2186.5126799999998"/>
    <n v="29786.074489999999"/>
    <n v="6865.3011239999996"/>
    <n v="11031.37882"/>
    <n v="8.4640398000000006E-2"/>
    <n v="0"/>
    <n v="0"/>
    <s v="OUI/NON"/>
    <s v="OUI/NON"/>
    <m/>
    <m/>
    <m/>
    <m/>
    <n v="6.7309999999999999"/>
    <n v="0"/>
    <n v="3.7669999999999999"/>
    <m/>
    <n v="20370"/>
    <n v="21.1"/>
    <n v="0"/>
    <n v="9.7789999999999999"/>
    <n v="0"/>
    <m/>
  </r>
  <r>
    <x v="4"/>
    <x v="7"/>
    <n v="71317"/>
    <n v="5155"/>
    <n v="6760"/>
    <n v="16708"/>
    <n v="303284"/>
    <n v="46466"/>
    <n v="41133"/>
    <n v="0.68269837499999997"/>
    <n v="0.400844119"/>
    <m/>
    <s v="OUI/NON"/>
    <s v="OUI/NON"/>
    <n v="38400"/>
    <n v="0.83579999999999999"/>
    <n v="0.15"/>
    <n v="1.4E-2"/>
    <n v="21.9"/>
    <n v="73"/>
    <n v="10.3"/>
    <n v="21.6"/>
    <n v="161522"/>
    <n v="57.5"/>
    <n v="437.6"/>
    <n v="18.3"/>
    <n v="44.2"/>
    <m/>
  </r>
  <r>
    <x v="3"/>
    <x v="7"/>
    <n v="18765"/>
    <n v="786.8"/>
    <n v="944.7"/>
    <n v="2432.5"/>
    <n v="43288"/>
    <n v="7445"/>
    <n v="6021"/>
    <n v="0.220522249"/>
    <n v="0"/>
    <n v="0"/>
    <s v="Non"/>
    <s v="Non"/>
    <m/>
    <m/>
    <m/>
    <m/>
    <n v="6.5179999999999998"/>
    <n v="2.9329999999999998"/>
    <n v="3.3919999999999999"/>
    <n v="1.006"/>
    <n v="23293"/>
    <n v="16.786000000000001"/>
    <n v="21.033000000000001"/>
    <n v="9.0289999999999999"/>
    <n v="0.95899999999999996"/>
    <m/>
  </r>
  <r>
    <x v="0"/>
    <x v="7"/>
    <n v="5447"/>
    <n v="1482"/>
    <n v="1110"/>
    <n v="1685"/>
    <n v="23364"/>
    <n v="13235"/>
    <n v="5260"/>
    <n v="0.73196254800000005"/>
    <n v="0.31338351399999997"/>
    <m/>
    <s v="OUI/NON"/>
    <s v="OUI/NON"/>
    <m/>
    <n v="0.50760000000000005"/>
    <n v="0.43140000000000001"/>
    <n v="6.0999999999999999E-2"/>
    <n v="5.6890000000000001"/>
    <n v="2.8210000000000002"/>
    <n v="1.044"/>
    <n v="4.6769999999999996"/>
    <n v="8191"/>
    <n v="27.8"/>
    <n v="23.5"/>
    <n v="0.4"/>
    <n v="20.3"/>
    <m/>
  </r>
  <r>
    <x v="1"/>
    <x v="7"/>
    <n v="26540.14374"/>
    <n v="490.44369"/>
    <n v="1054.62951"/>
    <n v="2480.3106899999998"/>
    <n v="21337.558059999999"/>
    <n v="2109.7783800000002"/>
    <n v="3738.8328839999999"/>
    <n v="3.5163623999999997E-2"/>
    <n v="0.46030695999999999"/>
    <n v="0.49122342800000002"/>
    <s v="OUI"/>
    <s v="OUI"/>
    <n v="0"/>
    <m/>
    <m/>
    <m/>
    <n v="0"/>
    <n v="0"/>
    <n v="2.7"/>
    <n v="0"/>
    <n v="26932"/>
    <n v="4.2"/>
    <n v="10.199999999999999"/>
    <n v="0"/>
    <n v="0"/>
    <m/>
  </r>
  <r>
    <x v="13"/>
    <x v="7"/>
    <n v="20158"/>
    <n v="171"/>
    <n v="388"/>
    <n v="3841"/>
    <n v="31981"/>
    <n v="7837"/>
    <n v="6377"/>
    <n v="0.68464133299999996"/>
    <n v="5.3775176000000001E-2"/>
    <m/>
    <s v="OUI/NON"/>
    <s v="OUI/NON"/>
    <m/>
    <m/>
    <n v="0.2989"/>
    <n v="0.70099999999999996"/>
    <n v="11.178000000000001"/>
    <n v="3.3180000000000001"/>
    <n v="2.74"/>
    <n v="4.6680000000000001"/>
    <n v="9706"/>
    <n v="13.346"/>
    <n v="26.279"/>
    <n v="4.2279999999999998"/>
    <n v="5.8609999999999998"/>
    <m/>
  </r>
  <r>
    <x v="12"/>
    <x v="7"/>
    <n v="14333.009"/>
    <n v="512"/>
    <n v="1838"/>
    <n v="3706"/>
    <n v="42361.646000000001"/>
    <n v="12632"/>
    <n v="13827"/>
    <n v="0.86004941499999998"/>
    <n v="0.53776181999999995"/>
    <n v="0.31041276800000001"/>
    <s v="OUI/NON"/>
    <s v="OUI/NON"/>
    <m/>
    <m/>
    <m/>
    <m/>
    <n v="6.8840000000000003"/>
    <n v="0.2"/>
    <n v="10.811999999999999"/>
    <n v="8.7850000000000001"/>
    <m/>
    <n v="22.533000000000001"/>
    <n v="1.196"/>
    <n v="30.041"/>
    <n v="14.096"/>
    <m/>
  </r>
  <r>
    <x v="15"/>
    <x v="7"/>
    <n v="35434"/>
    <n v="664"/>
    <n v="1615"/>
    <n v="2900"/>
    <n v="48464"/>
    <n v="8824"/>
    <n v="14161"/>
    <n v="0.723147259694079"/>
    <n v="0.42563639442343498"/>
    <n v="1.8908393068803901E-3"/>
    <s v="OUI"/>
    <s v="OUI"/>
    <m/>
    <m/>
    <n v="0.1"/>
    <n v="0.9"/>
    <n v="0.1"/>
    <m/>
    <n v="3.1839999999999899"/>
    <n v="0.53500000000000003"/>
    <n v="34523"/>
    <n v="1.1000000000000001"/>
    <n v="0"/>
    <n v="7.8999999999999897"/>
    <n v="2.7"/>
    <m/>
  </r>
  <r>
    <x v="8"/>
    <x v="7"/>
    <n v="13125"/>
    <n v="8498"/>
    <n v="1267"/>
    <n v="2489"/>
    <n v="64192"/>
    <n v="17448"/>
    <n v="9298"/>
    <n v="0.15733333299999999"/>
    <n v="0.368761905"/>
    <n v="3.032381E-2"/>
    <s v="OUI/NON"/>
    <s v="OUI/NON"/>
    <m/>
    <n v="0.86"/>
    <n v="0.13"/>
    <n v="0.01"/>
    <n v="28.184999999999999"/>
    <n v="2.77"/>
    <n v="9.18"/>
    <n v="2.3580000000000001"/>
    <n v="19792"/>
    <n v="113.3"/>
    <n v="21.2"/>
    <n v="16.399999999999999"/>
    <n v="1.8"/>
    <m/>
  </r>
  <r>
    <x v="7"/>
    <x v="7"/>
    <n v="36437.908000000003"/>
    <n v="3406.3110000000001"/>
    <n v="5877"/>
    <n v="10104"/>
    <n v="122369"/>
    <n v="32539.98"/>
    <n v="38395.199999999997"/>
    <m/>
    <n v="0.6"/>
    <n v="0.56999999999999995"/>
    <s v="OUI/NON"/>
    <s v="OUI/NON"/>
    <m/>
    <n v="7.7399999999999997E-2"/>
    <m/>
    <m/>
    <n v="16.773"/>
    <n v="3.177"/>
    <n v="18.872"/>
    <n v="13.17"/>
    <n v="35374"/>
    <n v="68.677000000000007"/>
    <n v="23.736999999999998"/>
    <n v="40.741"/>
    <n v="18.559000000000001"/>
    <m/>
  </r>
  <r>
    <x v="14"/>
    <x v="7"/>
    <n v="3895"/>
    <n v="549"/>
    <n v="865"/>
    <n v="1183"/>
    <n v="11838"/>
    <n v="6568"/>
    <n v="2256"/>
    <n v="0.81899871599999996"/>
    <m/>
    <m/>
    <s v="OUI (P62)"/>
    <s v="Non"/>
    <m/>
    <n v="0.51"/>
    <n v="0.2"/>
    <n v="0.28999999999999998"/>
    <m/>
    <m/>
    <n v="0.41799999999999998"/>
    <n v="8.2200000000000006"/>
    <n v="3417"/>
    <n v="0"/>
    <n v="0"/>
    <n v="0.92900000000000005"/>
    <n v="30.66"/>
    <m/>
  </r>
  <r>
    <x v="11"/>
    <x v="7"/>
    <n v="80327"/>
    <n v="3476"/>
    <n v="6878"/>
    <n v="17704"/>
    <n v="171426"/>
    <n v="46938"/>
    <n v="45175"/>
    <n v="0.49852478"/>
    <n v="0.67109440200000003"/>
    <n v="0.20268402899999999"/>
    <s v="OUI"/>
    <s v="OUI"/>
    <m/>
    <m/>
    <m/>
    <m/>
    <n v="38.86"/>
    <n v="3.29"/>
    <n v="14.33"/>
    <n v="27.82"/>
    <n v="68253"/>
    <n v="103.32"/>
    <n v="26.34"/>
    <n v="36.89"/>
    <n v="62.54"/>
    <m/>
  </r>
  <r>
    <x v="9"/>
    <x v="7"/>
    <n v="41484"/>
    <n v="1536"/>
    <n v="3235"/>
    <n v="5558"/>
    <n v="98566"/>
    <n v="13085"/>
    <n v="39430"/>
    <n v="6.6772732000000001E-2"/>
    <n v="0.51311348999999995"/>
    <n v="6.8460129999999998E-3"/>
    <s v="OUI/NON"/>
    <s v="OUI/NON"/>
    <m/>
    <m/>
    <m/>
    <m/>
    <m/>
    <n v="3.8279999999999998"/>
    <n v="5.742"/>
    <m/>
    <n v="78948"/>
    <n v="0"/>
    <n v="30.1"/>
    <n v="10.9"/>
    <n v="0"/>
    <m/>
  </r>
  <r>
    <x v="10"/>
    <x v="7"/>
    <n v="60058"/>
    <n v="2683"/>
    <n v="5726"/>
    <n v="10366"/>
    <n v="159793"/>
    <n v="38037"/>
    <n v="25919"/>
    <m/>
    <n v="0.59334310199999996"/>
    <n v="0.21312730999999999"/>
    <s v="OUI/NON"/>
    <s v="OUI/NON"/>
    <m/>
    <n v="0.2364"/>
    <n v="0.6865"/>
    <n v="7.7100000000000002E-2"/>
    <n v="60.015999999999998"/>
    <n v="5.8079999999999998"/>
    <n v="11.616"/>
    <n v="19.36"/>
    <n v="160000"/>
    <n v="283.56"/>
    <n v="41.7"/>
    <n v="25.02"/>
    <n v="70.8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9A6966-EA5C-460D-AE78-E379F0C5CA35}" name="Tableau croisé dynamique1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D20" firstHeaderRow="1" firstDataRow="2" firstDataCol="1"/>
  <pivotFields count="28">
    <pivotField axis="axisRow" showAll="0">
      <items count="17">
        <item x="1"/>
        <item x="5"/>
        <item x="4"/>
        <item x="12"/>
        <item x="3"/>
        <item x="13"/>
        <item x="11"/>
        <item x="10"/>
        <item x="9"/>
        <item x="0"/>
        <item x="7"/>
        <item x="15"/>
        <item x="8"/>
        <item x="2"/>
        <item x="6"/>
        <item x="14"/>
        <item t="default"/>
      </items>
    </pivotField>
    <pivotField axis="axisCol" showAll="0">
      <items count="9">
        <item h="1" x="0"/>
        <item h="1" x="1"/>
        <item h="1" x="2"/>
        <item h="1" x="3"/>
        <item h="1" x="4"/>
        <item h="1" x="5"/>
        <item x="6"/>
        <item x="7"/>
        <item t="default"/>
      </items>
    </pivotField>
    <pivotField numFmtId="2" showAll="0"/>
    <pivotField numFmtId="2" showAll="0"/>
    <pivotField numFmtId="2" showAll="0"/>
    <pivotField dataField="1" numFmtId="2"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showAll="0"/>
    <pivotField numFmtId="2" showAll="0"/>
    <pivotField showAll="0"/>
  </pivotFields>
  <rowFields count="1">
    <field x="0"/>
  </rowFields>
  <rowItems count="16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"/>
  </colFields>
  <colItems count="3">
    <i>
      <x v="6"/>
    </i>
    <i>
      <x v="7"/>
    </i>
    <i t="grand">
      <x/>
    </i>
  </colItems>
  <dataFields count="1">
    <dataField name="Somme de EBITDA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XU4u3bx4CQiAlJuA7CY6r0evypoWZxcH/2021-03-16-rwe-annual-report-2020.pdf" TargetMode="External"/><Relationship Id="rId2" Type="http://schemas.openxmlformats.org/officeDocument/2006/relationships/hyperlink" Target="https://www.cez.cz/en/energy-generation" TargetMode="External"/><Relationship Id="rId1" Type="http://schemas.openxmlformats.org/officeDocument/2006/relationships/hyperlink" Target="https://www.enbw.com/company/the-group/about-us/company-profil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A9AB-44B5-4696-8316-65A066C00BEC}">
  <dimension ref="A3:G20"/>
  <sheetViews>
    <sheetView topLeftCell="A2" workbookViewId="0">
      <selection activeCell="H9" sqref="H9"/>
    </sheetView>
  </sheetViews>
  <sheetFormatPr baseColWidth="10" defaultRowHeight="14.25" x14ac:dyDescent="0.45"/>
  <cols>
    <col min="1" max="1" width="19.06640625" bestFit="1" customWidth="1"/>
    <col min="2" max="2" width="21.6640625" bestFit="1" customWidth="1"/>
    <col min="3" max="4" width="11.73046875" bestFit="1" customWidth="1"/>
    <col min="5" max="5" width="11.73046875" customWidth="1"/>
    <col min="6" max="11" width="11.73046875" bestFit="1" customWidth="1"/>
  </cols>
  <sheetData>
    <row r="3" spans="1:7" x14ac:dyDescent="0.45">
      <c r="A3" s="4" t="s">
        <v>51</v>
      </c>
      <c r="B3" s="4" t="s">
        <v>50</v>
      </c>
    </row>
    <row r="4" spans="1:7" x14ac:dyDescent="0.45">
      <c r="A4" s="4" t="s">
        <v>48</v>
      </c>
      <c r="B4">
        <v>2018</v>
      </c>
      <c r="C4">
        <v>2019</v>
      </c>
      <c r="D4" t="s">
        <v>49</v>
      </c>
    </row>
    <row r="5" spans="1:7" x14ac:dyDescent="0.45">
      <c r="A5" s="5" t="s">
        <v>17</v>
      </c>
      <c r="B5" s="3">
        <v>2493.4816000000001</v>
      </c>
      <c r="C5" s="3">
        <v>2480.3106899999998</v>
      </c>
      <c r="D5" s="3">
        <v>4973.7922899999994</v>
      </c>
      <c r="E5" s="3"/>
      <c r="F5" s="5" t="s">
        <v>17</v>
      </c>
      <c r="G5" s="6">
        <f t="shared" ref="G5:G13" si="0">(C5-B5)/B5</f>
        <v>-5.2821364312454827E-3</v>
      </c>
    </row>
    <row r="6" spans="1:7" x14ac:dyDescent="0.45">
      <c r="A6" s="5" t="s">
        <v>20</v>
      </c>
      <c r="B6" s="3">
        <v>15265</v>
      </c>
      <c r="C6" s="3">
        <v>16708</v>
      </c>
      <c r="D6" s="3">
        <v>31973</v>
      </c>
      <c r="E6" s="3"/>
      <c r="F6" s="5" t="s">
        <v>20</v>
      </c>
      <c r="G6" s="6">
        <f t="shared" si="0"/>
        <v>9.4529970520799214E-2</v>
      </c>
    </row>
    <row r="7" spans="1:7" x14ac:dyDescent="0.45">
      <c r="A7" s="5" t="s">
        <v>28</v>
      </c>
      <c r="B7" s="3">
        <v>3317</v>
      </c>
      <c r="C7" s="3">
        <v>3706</v>
      </c>
      <c r="D7" s="3">
        <v>7023</v>
      </c>
      <c r="E7" s="3"/>
      <c r="F7" s="5" t="s">
        <v>28</v>
      </c>
      <c r="G7" s="6">
        <f t="shared" si="0"/>
        <v>0.1172746457642448</v>
      </c>
    </row>
    <row r="8" spans="1:7" x14ac:dyDescent="0.45">
      <c r="A8" s="5" t="s">
        <v>19</v>
      </c>
      <c r="B8" s="3">
        <v>2157</v>
      </c>
      <c r="C8" s="3">
        <v>2432.5</v>
      </c>
      <c r="D8" s="3">
        <v>4589.5</v>
      </c>
      <c r="E8" s="3"/>
      <c r="F8" s="5" t="s">
        <v>19</v>
      </c>
      <c r="G8" s="6">
        <f t="shared" si="0"/>
        <v>0.12772369031061659</v>
      </c>
    </row>
    <row r="9" spans="1:7" x14ac:dyDescent="0.45">
      <c r="A9" s="5" t="s">
        <v>29</v>
      </c>
      <c r="B9" s="3">
        <v>3627</v>
      </c>
      <c r="C9" s="3">
        <v>3841</v>
      </c>
      <c r="D9" s="3">
        <v>7468</v>
      </c>
      <c r="E9" s="3"/>
      <c r="F9" s="5" t="s">
        <v>29</v>
      </c>
      <c r="G9" s="6">
        <f t="shared" si="0"/>
        <v>5.9001929969671907E-2</v>
      </c>
    </row>
    <row r="10" spans="1:7" x14ac:dyDescent="0.45">
      <c r="A10" s="5" t="s">
        <v>27</v>
      </c>
      <c r="B10" s="3">
        <v>16351</v>
      </c>
      <c r="C10" s="3">
        <v>17704</v>
      </c>
      <c r="D10" s="3">
        <v>34055</v>
      </c>
      <c r="E10" s="3"/>
      <c r="F10" s="5" t="s">
        <v>27</v>
      </c>
      <c r="G10" s="6">
        <f t="shared" si="0"/>
        <v>8.2747232585162991E-2</v>
      </c>
    </row>
    <row r="11" spans="1:7" x14ac:dyDescent="0.45">
      <c r="A11" s="5" t="s">
        <v>26</v>
      </c>
      <c r="B11" s="3">
        <v>9236</v>
      </c>
      <c r="C11" s="3">
        <v>10366</v>
      </c>
      <c r="D11" s="3">
        <v>19602</v>
      </c>
      <c r="E11" s="3"/>
      <c r="F11" s="5" t="s">
        <v>26</v>
      </c>
      <c r="G11" s="6">
        <f t="shared" si="0"/>
        <v>0.12234733650931139</v>
      </c>
    </row>
    <row r="12" spans="1:7" x14ac:dyDescent="0.45">
      <c r="A12" s="5" t="s">
        <v>25</v>
      </c>
      <c r="B12" s="3">
        <v>4840</v>
      </c>
      <c r="C12" s="3">
        <v>5558</v>
      </c>
      <c r="D12" s="3">
        <v>10398</v>
      </c>
      <c r="E12" s="3"/>
      <c r="F12" s="5" t="s">
        <v>25</v>
      </c>
      <c r="G12" s="6">
        <f t="shared" si="0"/>
        <v>0.14834710743801652</v>
      </c>
    </row>
    <row r="13" spans="1:7" x14ac:dyDescent="0.45">
      <c r="A13" s="5" t="s">
        <v>16</v>
      </c>
      <c r="B13" s="3">
        <v>1523</v>
      </c>
      <c r="C13" s="3">
        <v>1685</v>
      </c>
      <c r="D13" s="3">
        <v>3208</v>
      </c>
      <c r="E13" s="3"/>
      <c r="F13" s="5" t="s">
        <v>16</v>
      </c>
      <c r="G13" s="6">
        <f t="shared" si="0"/>
        <v>0.10636900853578464</v>
      </c>
    </row>
    <row r="14" spans="1:7" x14ac:dyDescent="0.45">
      <c r="A14" s="5" t="s">
        <v>23</v>
      </c>
      <c r="B14" s="3"/>
      <c r="C14" s="3">
        <v>10104</v>
      </c>
      <c r="D14" s="3">
        <v>10104</v>
      </c>
      <c r="E14" s="3"/>
      <c r="F14" s="5" t="s">
        <v>23</v>
      </c>
      <c r="G14" s="6"/>
    </row>
    <row r="15" spans="1:7" x14ac:dyDescent="0.45">
      <c r="A15" s="5" t="s">
        <v>31</v>
      </c>
      <c r="B15" s="3">
        <v>3146</v>
      </c>
      <c r="C15" s="3">
        <v>2900</v>
      </c>
      <c r="D15" s="3">
        <v>6046</v>
      </c>
      <c r="E15" s="3"/>
      <c r="F15" s="5" t="s">
        <v>31</v>
      </c>
      <c r="G15" s="6">
        <f>(C15-B15)/B15</f>
        <v>-7.8194532739987291E-2</v>
      </c>
    </row>
    <row r="16" spans="1:7" x14ac:dyDescent="0.45">
      <c r="A16" s="5" t="s">
        <v>24</v>
      </c>
      <c r="B16" s="3">
        <v>1538</v>
      </c>
      <c r="C16" s="3">
        <v>2489</v>
      </c>
      <c r="D16" s="3">
        <v>4027</v>
      </c>
      <c r="E16" s="3"/>
      <c r="F16" s="5" t="s">
        <v>24</v>
      </c>
      <c r="G16" s="6">
        <f>(C16-B16)/B16</f>
        <v>0.61833550065019505</v>
      </c>
    </row>
    <row r="17" spans="1:7" x14ac:dyDescent="0.45">
      <c r="A17" s="5" t="s">
        <v>18</v>
      </c>
      <c r="B17" s="3">
        <v>2077.75344</v>
      </c>
      <c r="C17" s="3">
        <v>2186.5126799999998</v>
      </c>
      <c r="D17" s="3">
        <v>4264.2661200000002</v>
      </c>
      <c r="E17" s="3"/>
      <c r="F17" s="5" t="s">
        <v>18</v>
      </c>
      <c r="G17" s="6">
        <f>(C17-B17)/B17</f>
        <v>5.2344632383330272E-2</v>
      </c>
    </row>
    <row r="18" spans="1:7" x14ac:dyDescent="0.45">
      <c r="A18" s="5" t="s">
        <v>22</v>
      </c>
      <c r="B18" s="3">
        <v>3347.644264</v>
      </c>
      <c r="C18" s="3">
        <v>4008.3743679999998</v>
      </c>
      <c r="D18" s="3">
        <v>7356.0186319999993</v>
      </c>
      <c r="E18" s="3"/>
      <c r="F18" s="5" t="s">
        <v>22</v>
      </c>
      <c r="G18" s="6">
        <f>(C18-B18)/B18</f>
        <v>0.1973716595593443</v>
      </c>
    </row>
    <row r="19" spans="1:7" x14ac:dyDescent="0.45">
      <c r="A19" s="5" t="s">
        <v>30</v>
      </c>
      <c r="B19" s="3">
        <v>864</v>
      </c>
      <c r="C19" s="3">
        <v>1183</v>
      </c>
      <c r="D19" s="3">
        <v>2047</v>
      </c>
      <c r="E19" s="3"/>
      <c r="F19" s="5" t="s">
        <v>30</v>
      </c>
      <c r="G19" s="6">
        <f>(C19-B19)/B19</f>
        <v>0.36921296296296297</v>
      </c>
    </row>
    <row r="20" spans="1:7" x14ac:dyDescent="0.45">
      <c r="A20" s="5" t="s">
        <v>49</v>
      </c>
      <c r="B20" s="3">
        <v>69782.879304000002</v>
      </c>
      <c r="C20" s="3">
        <v>87351.697738000003</v>
      </c>
      <c r="D20" s="3">
        <v>157134.57704199999</v>
      </c>
      <c r="E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0"/>
  <sheetViews>
    <sheetView tabSelected="1" workbookViewId="0">
      <pane xSplit="2" ySplit="1" topLeftCell="X95" activePane="bottomRight" state="frozen"/>
      <selection pane="topRight" activeCell="C1" sqref="C1"/>
      <selection pane="bottomLeft" activeCell="A2" sqref="A2"/>
      <selection pane="bottomRight" activeCell="X119" sqref="X119"/>
    </sheetView>
  </sheetViews>
  <sheetFormatPr baseColWidth="10" defaultRowHeight="14.25" x14ac:dyDescent="0.45"/>
  <cols>
    <col min="3" max="3" width="13.9296875" bestFit="1" customWidth="1"/>
    <col min="4" max="5" width="12.33203125" bestFit="1" customWidth="1"/>
    <col min="13" max="14" width="10.6640625" style="3"/>
  </cols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t="s">
        <v>14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15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</row>
    <row r="2" spans="1:28" x14ac:dyDescent="0.45">
      <c r="A2" t="s">
        <v>17</v>
      </c>
      <c r="B2" s="3">
        <v>2013</v>
      </c>
      <c r="C2" s="1">
        <v>31353.78</v>
      </c>
      <c r="D2" s="1">
        <v>1121</v>
      </c>
      <c r="E2" s="1">
        <v>1945.82</v>
      </c>
      <c r="F2" s="1">
        <v>2232.56</v>
      </c>
      <c r="G2" s="1">
        <v>28135.200000000001</v>
      </c>
      <c r="H2" s="1">
        <v>6308.4</v>
      </c>
      <c r="I2" s="1">
        <v>6058.8</v>
      </c>
      <c r="J2" s="1">
        <v>0.76086711100000004</v>
      </c>
      <c r="K2" s="1">
        <v>0.34277972200000001</v>
      </c>
      <c r="L2" s="1">
        <v>0.30954800300000002</v>
      </c>
      <c r="O2" s="1"/>
      <c r="P2" s="1">
        <v>1.5233136E-2</v>
      </c>
      <c r="Q2" s="1">
        <v>0.95905973300000003</v>
      </c>
      <c r="R2" s="1">
        <v>2.5707131000000001E-2</v>
      </c>
      <c r="S2" s="1"/>
      <c r="T2" s="1"/>
      <c r="U2" s="1"/>
      <c r="V2" s="1"/>
      <c r="W2" s="1">
        <v>34489</v>
      </c>
      <c r="X2" s="1">
        <v>12.037000000000001</v>
      </c>
      <c r="Y2" s="1">
        <v>12.035</v>
      </c>
      <c r="Z2" s="1">
        <v>0.753</v>
      </c>
      <c r="AA2" s="1">
        <v>0</v>
      </c>
      <c r="AB2" s="6">
        <f>VLOOKUP(A2,Feuil1!$F$5:$G$19,2)</f>
        <v>-5.2821364312454827E-3</v>
      </c>
    </row>
    <row r="3" spans="1:28" x14ac:dyDescent="0.45">
      <c r="A3" t="s">
        <v>18</v>
      </c>
      <c r="B3" s="3">
        <v>2013</v>
      </c>
      <c r="C3" s="1">
        <v>36090.300000000003</v>
      </c>
      <c r="D3" s="1">
        <v>526.28</v>
      </c>
      <c r="E3" s="1">
        <v>678.85400000000004</v>
      </c>
      <c r="F3" s="1">
        <v>1001.5839999999999</v>
      </c>
      <c r="G3" s="1">
        <v>25217.16</v>
      </c>
      <c r="H3" s="1">
        <v>6143.4</v>
      </c>
      <c r="I3" s="1">
        <v>8817.24</v>
      </c>
      <c r="J3" s="1">
        <v>0</v>
      </c>
      <c r="K3" s="1">
        <v>0</v>
      </c>
      <c r="L3" s="1">
        <v>0</v>
      </c>
      <c r="O3" s="1"/>
      <c r="P3" s="1">
        <v>0</v>
      </c>
      <c r="Q3" s="1">
        <v>0.84209999999999996</v>
      </c>
      <c r="R3" s="1">
        <v>0.15790000000000001</v>
      </c>
      <c r="S3" s="1">
        <v>8.34</v>
      </c>
      <c r="T3" s="1">
        <v>0</v>
      </c>
      <c r="U3" s="1">
        <v>2.1360000000000001</v>
      </c>
      <c r="V3" s="1">
        <v>1.1499999999999999</v>
      </c>
      <c r="W3" s="1">
        <v>19894</v>
      </c>
      <c r="X3" s="1">
        <v>26.7</v>
      </c>
      <c r="Y3" s="1">
        <v>0</v>
      </c>
      <c r="Z3" s="1">
        <v>5.4470000000000001</v>
      </c>
      <c r="AA3" s="1">
        <v>3.7530000000000001</v>
      </c>
      <c r="AB3" s="6">
        <f>VLOOKUP(A3,Feuil1!$F$5:$G$19,2)</f>
        <v>5.2344632383330272E-2</v>
      </c>
    </row>
    <row r="4" spans="1:28" x14ac:dyDescent="0.45">
      <c r="A4" t="s">
        <v>19</v>
      </c>
      <c r="B4" s="3">
        <v>2013</v>
      </c>
      <c r="C4" s="1">
        <v>21373.1</v>
      </c>
      <c r="D4" s="1">
        <v>122.3</v>
      </c>
      <c r="E4" s="1">
        <v>1020.4</v>
      </c>
      <c r="F4" s="1">
        <v>1991.4</v>
      </c>
      <c r="G4" s="1">
        <v>36140.5</v>
      </c>
      <c r="H4" s="1">
        <v>6082.7</v>
      </c>
      <c r="I4" s="1">
        <v>8548</v>
      </c>
      <c r="J4" s="1">
        <v>0.25613556700000001</v>
      </c>
      <c r="K4" s="1">
        <v>0</v>
      </c>
      <c r="L4" s="1">
        <v>0</v>
      </c>
      <c r="O4" s="1"/>
      <c r="P4" s="1"/>
      <c r="Q4" s="1"/>
      <c r="R4" s="1"/>
      <c r="S4" s="1">
        <v>7.827</v>
      </c>
      <c r="T4" s="1">
        <v>3.3330000000000002</v>
      </c>
      <c r="U4" s="1">
        <v>0.28399999999999997</v>
      </c>
      <c r="V4" s="1">
        <v>2.3580000000000001</v>
      </c>
      <c r="W4" s="1">
        <v>19844</v>
      </c>
      <c r="X4" s="1">
        <v>27.844999999999999</v>
      </c>
      <c r="Y4" s="1">
        <v>23.227</v>
      </c>
      <c r="Z4" s="1">
        <v>7.476</v>
      </c>
      <c r="AA4" s="1">
        <v>0</v>
      </c>
      <c r="AB4" s="6">
        <f>VLOOKUP(A4,Feuil1!$F$5:$G$19,2)</f>
        <v>0.12772369031061659</v>
      </c>
    </row>
    <row r="5" spans="1:28" x14ac:dyDescent="0.45">
      <c r="A5" t="s">
        <v>20</v>
      </c>
      <c r="B5" s="3">
        <v>2013</v>
      </c>
      <c r="C5" s="1">
        <v>75594</v>
      </c>
      <c r="D5" s="1">
        <v>3517</v>
      </c>
      <c r="E5" s="1">
        <v>8411</v>
      </c>
      <c r="F5" s="1">
        <v>16765</v>
      </c>
      <c r="G5" s="1">
        <v>256801</v>
      </c>
      <c r="H5" s="1">
        <v>38870</v>
      </c>
      <c r="I5" s="1">
        <v>35462</v>
      </c>
      <c r="J5" s="1">
        <v>0.94600100499999995</v>
      </c>
      <c r="K5" s="1">
        <v>0.46807947700000002</v>
      </c>
      <c r="L5" s="1">
        <v>0.12216578</v>
      </c>
      <c r="O5" s="1"/>
      <c r="P5" s="1">
        <v>0.84489999999999998</v>
      </c>
      <c r="Q5" s="1">
        <v>0.13619999999999999</v>
      </c>
      <c r="R5" s="1">
        <v>1.89E-2</v>
      </c>
      <c r="S5" s="1">
        <v>37.65</v>
      </c>
      <c r="T5" s="1">
        <v>74.767601999999997</v>
      </c>
      <c r="U5" s="1">
        <v>5.9543929999999996</v>
      </c>
      <c r="V5" s="1">
        <v>21.98226</v>
      </c>
      <c r="W5" s="1">
        <v>158467</v>
      </c>
      <c r="X5" s="1">
        <v>97.447000000000003</v>
      </c>
      <c r="Y5" s="1">
        <v>487.1003743</v>
      </c>
      <c r="Z5" s="1">
        <v>13.86480405</v>
      </c>
      <c r="AA5" s="1">
        <v>55.489273779999998</v>
      </c>
      <c r="AB5" s="6">
        <f>VLOOKUP(A5,Feuil1!$F$5:$G$19,2)</f>
        <v>9.4529970520799214E-2</v>
      </c>
    </row>
    <row r="6" spans="1:28" x14ac:dyDescent="0.45">
      <c r="A6" t="s">
        <v>16</v>
      </c>
      <c r="B6" s="3">
        <v>2013</v>
      </c>
      <c r="C6" s="1">
        <v>6056</v>
      </c>
      <c r="D6" s="1">
        <v>1279</v>
      </c>
      <c r="E6" s="1">
        <v>1712</v>
      </c>
      <c r="F6" s="1">
        <v>1975</v>
      </c>
      <c r="G6" s="1">
        <v>24420</v>
      </c>
      <c r="H6" s="1">
        <v>10662</v>
      </c>
      <c r="I6" s="1">
        <v>7849</v>
      </c>
      <c r="J6" s="1">
        <v>0.54227212700000005</v>
      </c>
      <c r="K6" s="1">
        <v>0.26</v>
      </c>
      <c r="L6" s="1">
        <v>0.22</v>
      </c>
      <c r="O6" s="1">
        <v>14774</v>
      </c>
      <c r="P6" s="1">
        <v>0.50760000000000005</v>
      </c>
      <c r="Q6" s="1"/>
      <c r="R6" s="1">
        <v>0.31979999999999997</v>
      </c>
      <c r="S6" s="1">
        <v>5.8259999999999996</v>
      </c>
      <c r="T6" s="1">
        <v>3.2759999999999998</v>
      </c>
      <c r="U6" s="1">
        <v>1.4359999999999999</v>
      </c>
      <c r="V6" s="1">
        <v>4.59</v>
      </c>
      <c r="W6" s="1">
        <v>9186</v>
      </c>
      <c r="X6" s="1">
        <v>24.5</v>
      </c>
      <c r="Y6" s="1">
        <v>23.7</v>
      </c>
      <c r="Z6" s="1">
        <v>1.2</v>
      </c>
      <c r="AA6" s="1">
        <v>18</v>
      </c>
      <c r="AB6" s="6">
        <f>VLOOKUP(A6,Feuil1!$F$5:$G$19,2)</f>
        <v>0.10636900853578464</v>
      </c>
    </row>
    <row r="7" spans="1:28" x14ac:dyDescent="0.45">
      <c r="A7" t="s">
        <v>21</v>
      </c>
      <c r="B7" s="3">
        <v>2013</v>
      </c>
      <c r="C7" s="1">
        <v>7912.0510480000003</v>
      </c>
      <c r="D7" s="1">
        <v>1284.776664</v>
      </c>
      <c r="E7" s="1">
        <v>1668.368277</v>
      </c>
      <c r="F7" s="1">
        <v>2991.9416590000001</v>
      </c>
      <c r="G7" s="1">
        <v>23377.793979999999</v>
      </c>
      <c r="H7" s="1">
        <v>9594.3482220000005</v>
      </c>
      <c r="I7" s="1">
        <v>0</v>
      </c>
      <c r="J7" s="1">
        <v>0.87265655200000003</v>
      </c>
      <c r="K7" s="1">
        <v>0.201465437</v>
      </c>
      <c r="L7" s="1">
        <v>3.0127996000000001E-2</v>
      </c>
      <c r="O7" s="1"/>
      <c r="P7" s="1">
        <v>0.69779999999999998</v>
      </c>
      <c r="Q7" s="1">
        <v>7.2999999999999995E-2</v>
      </c>
      <c r="R7" s="1">
        <v>0.22900000000000001</v>
      </c>
      <c r="S7" s="1">
        <v>8.2108000000000008</v>
      </c>
      <c r="T7" s="1">
        <v>4.29</v>
      </c>
      <c r="U7" s="1">
        <v>0.7389</v>
      </c>
      <c r="V7" s="1">
        <v>1.9596690000000001</v>
      </c>
      <c r="W7" s="1">
        <v>26582</v>
      </c>
      <c r="X7" s="1">
        <v>31.221</v>
      </c>
      <c r="Y7" s="1">
        <v>30.745000000000001</v>
      </c>
      <c r="Z7" s="1">
        <v>1.986</v>
      </c>
      <c r="AA7" s="1">
        <v>2.6720000000000002</v>
      </c>
      <c r="AB7" s="6">
        <f>VLOOKUP(A7,Feuil1!$F$5:$G$19,2)</f>
        <v>-5.2821364312454827E-3</v>
      </c>
    </row>
    <row r="8" spans="1:28" x14ac:dyDescent="0.45">
      <c r="A8" t="s">
        <v>22</v>
      </c>
      <c r="B8" s="3">
        <v>2013</v>
      </c>
      <c r="C8" s="1">
        <v>19819.22078</v>
      </c>
      <c r="D8" s="1">
        <v>-1563.405483</v>
      </c>
      <c r="E8" s="2">
        <v>-744.93506490000004</v>
      </c>
      <c r="F8" s="1">
        <v>5000.7503610000003</v>
      </c>
      <c r="G8" s="1">
        <v>56153.07359</v>
      </c>
      <c r="H8" s="1">
        <v>15090.10101</v>
      </c>
      <c r="I8" s="1">
        <v>12342</v>
      </c>
      <c r="J8" s="1">
        <v>0.59341782099999996</v>
      </c>
      <c r="K8" s="1">
        <v>0.71720719499999996</v>
      </c>
      <c r="L8" s="1">
        <v>3.9275645999999997E-2</v>
      </c>
      <c r="O8" s="1"/>
      <c r="P8" s="1"/>
      <c r="Q8" s="1"/>
      <c r="R8" s="1"/>
      <c r="S8" s="1">
        <v>19.006</v>
      </c>
      <c r="T8" s="1">
        <v>6.984</v>
      </c>
      <c r="U8" s="1">
        <v>1.889</v>
      </c>
      <c r="V8" s="1">
        <v>11.227</v>
      </c>
      <c r="W8" s="1">
        <v>31819</v>
      </c>
      <c r="X8" s="1">
        <v>87.9</v>
      </c>
      <c r="Y8" s="1">
        <v>51.9</v>
      </c>
      <c r="Z8" s="1">
        <v>6.3</v>
      </c>
      <c r="AA8" s="1">
        <v>35.6</v>
      </c>
      <c r="AB8" s="6">
        <f>VLOOKUP(A8,Feuil1!$F$5:$G$19,2)</f>
        <v>0.1973716595593443</v>
      </c>
    </row>
    <row r="9" spans="1:28" x14ac:dyDescent="0.45">
      <c r="A9" t="s">
        <v>23</v>
      </c>
      <c r="B9" s="3">
        <v>2013</v>
      </c>
      <c r="C9" s="1">
        <v>32808</v>
      </c>
      <c r="D9" s="1">
        <v>2572</v>
      </c>
      <c r="E9" s="1">
        <v>2435</v>
      </c>
      <c r="F9" s="1">
        <v>7205</v>
      </c>
      <c r="G9" s="1">
        <v>92411</v>
      </c>
      <c r="H9" s="1">
        <v>35361</v>
      </c>
      <c r="I9" s="1">
        <v>28053.007000000001</v>
      </c>
      <c r="J9" s="1">
        <v>0.74693032999999998</v>
      </c>
      <c r="K9" s="1">
        <v>0.52769901100000005</v>
      </c>
      <c r="L9" s="1">
        <v>0.22473943900000001</v>
      </c>
      <c r="O9" s="1">
        <v>28922</v>
      </c>
      <c r="P9" s="1"/>
      <c r="Q9" s="1"/>
      <c r="R9" s="1"/>
      <c r="S9" s="1">
        <v>11.185</v>
      </c>
      <c r="T9" s="1">
        <v>3.1659999999999999</v>
      </c>
      <c r="U9" s="1">
        <v>13.973000000000001</v>
      </c>
      <c r="V9" s="1">
        <v>9.3699999999999992</v>
      </c>
      <c r="W9" s="1">
        <v>30650</v>
      </c>
      <c r="X9" s="1">
        <v>21.800999999999998</v>
      </c>
      <c r="Y9" s="1">
        <v>22.782</v>
      </c>
      <c r="Z9" s="1"/>
      <c r="AA9" s="1">
        <v>15.834</v>
      </c>
      <c r="AB9" s="6">
        <f>VLOOKUP(A9,Feuil1!$F$5:$G$19,2)</f>
        <v>0</v>
      </c>
    </row>
    <row r="10" spans="1:28" x14ac:dyDescent="0.45">
      <c r="A10" t="s">
        <v>28</v>
      </c>
      <c r="B10" s="3">
        <v>2013</v>
      </c>
      <c r="C10" s="1">
        <f>'[1]10EDP'!$F$19</f>
        <v>16103.19</v>
      </c>
      <c r="D10" s="1">
        <v>1193.5229999999999</v>
      </c>
      <c r="E10" s="1">
        <v>2085</v>
      </c>
      <c r="F10" s="1">
        <v>3617</v>
      </c>
      <c r="G10" s="1">
        <v>42649.9</v>
      </c>
      <c r="H10" s="1">
        <v>11528.561</v>
      </c>
      <c r="I10" s="1">
        <v>0</v>
      </c>
      <c r="J10" s="1">
        <v>0.8851318279173257</v>
      </c>
      <c r="K10" s="1">
        <v>0.19290320737692357</v>
      </c>
      <c r="L10" s="1">
        <v>0.17917263598082131</v>
      </c>
      <c r="O10" s="1"/>
      <c r="P10" s="1"/>
      <c r="Q10" s="1"/>
      <c r="R10" s="1"/>
      <c r="S10" s="1">
        <v>6.5450000000000008</v>
      </c>
      <c r="T10" s="1">
        <v>0.156</v>
      </c>
      <c r="U10" s="1">
        <v>7.9169999999999998</v>
      </c>
      <c r="V10" s="1">
        <v>7.2240000000000002</v>
      </c>
      <c r="W10" s="1">
        <v>12314</v>
      </c>
      <c r="X10" s="1">
        <v>15.782999999999999</v>
      </c>
      <c r="Y10" s="1">
        <v>1.157</v>
      </c>
      <c r="Z10" s="1">
        <v>20.243000000000002</v>
      </c>
      <c r="AA10" s="1">
        <v>21.582000000000001</v>
      </c>
      <c r="AB10" s="6">
        <f>VLOOKUP(A10,Feuil1!$F$5:$G$19,2)</f>
        <v>0.1172746457642448</v>
      </c>
    </row>
    <row r="11" spans="1:28" x14ac:dyDescent="0.45">
      <c r="A11" t="s">
        <v>24</v>
      </c>
      <c r="B11" s="3">
        <v>2013</v>
      </c>
      <c r="C11" s="1">
        <v>54070</v>
      </c>
      <c r="D11" s="1">
        <v>-2757</v>
      </c>
      <c r="E11" s="1">
        <v>5881</v>
      </c>
      <c r="F11" s="1">
        <v>8762</v>
      </c>
      <c r="G11" s="1">
        <v>81119</v>
      </c>
      <c r="H11" s="1">
        <v>12137</v>
      </c>
      <c r="I11" s="1">
        <v>10420</v>
      </c>
      <c r="J11" s="1">
        <v>3.6471241000000001E-2</v>
      </c>
      <c r="K11" s="1">
        <v>0.448189913</v>
      </c>
      <c r="L11" s="1">
        <v>8.8443989999999993E-3</v>
      </c>
      <c r="O11" s="1">
        <v>16200</v>
      </c>
      <c r="P11" s="1">
        <v>0.15</v>
      </c>
      <c r="Q11" s="1">
        <v>0.84</v>
      </c>
      <c r="R11" s="1">
        <v>0.01</v>
      </c>
      <c r="S11" s="1">
        <v>41.639000000000003</v>
      </c>
      <c r="T11" s="1">
        <v>3.9009999999999998</v>
      </c>
      <c r="U11" s="1">
        <v>2.8540000000000001</v>
      </c>
      <c r="V11" s="1">
        <v>0.64200000000000002</v>
      </c>
      <c r="W11" s="1">
        <v>64896</v>
      </c>
      <c r="X11" s="1">
        <v>172.4</v>
      </c>
      <c r="Y11" s="1">
        <v>30.5</v>
      </c>
      <c r="Z11" s="1">
        <v>9.8000000000000007</v>
      </c>
      <c r="AA11" s="1">
        <v>4</v>
      </c>
      <c r="AB11" s="6">
        <f>VLOOKUP(A11,Feuil1!$F$5:$G$19,2)</f>
        <v>0.61833550065019505</v>
      </c>
    </row>
    <row r="12" spans="1:28" x14ac:dyDescent="0.45">
      <c r="A12" t="s">
        <v>25</v>
      </c>
      <c r="B12" s="3">
        <v>2013</v>
      </c>
      <c r="C12" s="1">
        <v>122450</v>
      </c>
      <c r="D12" s="1">
        <v>2510</v>
      </c>
      <c r="E12" s="1">
        <v>5681</v>
      </c>
      <c r="F12" s="1">
        <v>9315</v>
      </c>
      <c r="G12" s="1">
        <v>130725</v>
      </c>
      <c r="H12" s="1">
        <v>36285</v>
      </c>
      <c r="I12" s="1">
        <v>32218</v>
      </c>
      <c r="J12" s="1">
        <v>9.2494009000000002E-2</v>
      </c>
      <c r="K12" s="1">
        <v>0.699657003</v>
      </c>
      <c r="L12" s="1">
        <v>7.4397710000000004E-3</v>
      </c>
      <c r="O12" s="1">
        <v>25600</v>
      </c>
      <c r="P12" s="1">
        <v>0.72</v>
      </c>
      <c r="Q12" s="1"/>
      <c r="R12" s="1">
        <v>0.28000000000000003</v>
      </c>
      <c r="S12" s="1">
        <v>42.009</v>
      </c>
      <c r="T12" s="1">
        <v>8.202</v>
      </c>
      <c r="U12" s="1">
        <v>4.7270000000000003</v>
      </c>
      <c r="V12" s="1">
        <v>4.97</v>
      </c>
      <c r="W12" s="1">
        <v>62239</v>
      </c>
      <c r="X12" s="1">
        <v>158.30000000000001</v>
      </c>
      <c r="Y12" s="1">
        <v>56.1</v>
      </c>
      <c r="Z12" s="1">
        <v>14.9</v>
      </c>
      <c r="AA12" s="1">
        <v>15.9</v>
      </c>
      <c r="AB12" s="6">
        <f>VLOOKUP(A12,Feuil1!$F$5:$G$19,2)</f>
        <v>0.14834710743801652</v>
      </c>
    </row>
    <row r="13" spans="1:28" x14ac:dyDescent="0.45">
      <c r="A13" t="s">
        <v>26</v>
      </c>
      <c r="B13" s="3">
        <v>2013</v>
      </c>
      <c r="C13" s="1">
        <v>89300</v>
      </c>
      <c r="D13" s="1">
        <v>-8909</v>
      </c>
      <c r="E13" s="1">
        <v>7828</v>
      </c>
      <c r="F13" s="1">
        <v>13017</v>
      </c>
      <c r="G13" s="1">
        <v>159611</v>
      </c>
      <c r="H13" s="1">
        <v>53490</v>
      </c>
      <c r="I13" s="1">
        <v>29840</v>
      </c>
      <c r="J13" s="1">
        <v>0.72211646100000004</v>
      </c>
      <c r="K13" s="1">
        <v>0.60838745800000005</v>
      </c>
      <c r="L13" s="1">
        <v>0.212866741</v>
      </c>
      <c r="O13" s="1"/>
      <c r="P13" s="1"/>
      <c r="Q13" s="1"/>
      <c r="R13" s="1"/>
      <c r="S13" s="1">
        <v>57.4</v>
      </c>
      <c r="T13" s="1">
        <v>5.74</v>
      </c>
      <c r="U13" s="1">
        <v>4.0999999999999996</v>
      </c>
      <c r="V13" s="1">
        <v>14.76</v>
      </c>
      <c r="W13" s="1">
        <v>147199</v>
      </c>
      <c r="X13" s="1">
        <v>237.3</v>
      </c>
      <c r="Y13" s="1">
        <v>37.29</v>
      </c>
      <c r="Z13" s="1">
        <v>10.17</v>
      </c>
      <c r="AA13" s="1">
        <v>54.24</v>
      </c>
      <c r="AB13" s="6">
        <f>VLOOKUP(A13,Feuil1!$F$5:$G$19,2)</f>
        <v>0.12234733650931139</v>
      </c>
    </row>
    <row r="14" spans="1:28" x14ac:dyDescent="0.45">
      <c r="A14" t="s">
        <v>27</v>
      </c>
      <c r="B14" s="3">
        <v>2013</v>
      </c>
      <c r="C14" s="1">
        <v>78663</v>
      </c>
      <c r="D14" s="1">
        <v>4780</v>
      </c>
      <c r="E14" s="1">
        <v>9740</v>
      </c>
      <c r="F14" s="1">
        <v>16691</v>
      </c>
      <c r="G14" s="1">
        <v>163865</v>
      </c>
      <c r="H14" s="1">
        <v>52832</v>
      </c>
      <c r="I14" s="1">
        <v>39682</v>
      </c>
      <c r="J14" s="1">
        <v>0.70819467800000002</v>
      </c>
      <c r="K14" s="1">
        <v>0.58613325199999999</v>
      </c>
      <c r="L14" s="1">
        <v>0.14914254499999999</v>
      </c>
      <c r="O14" s="1">
        <v>29190</v>
      </c>
      <c r="P14" s="1"/>
      <c r="Q14" s="1"/>
      <c r="R14" s="1"/>
      <c r="S14" s="1">
        <v>55.94</v>
      </c>
      <c r="T14" s="1">
        <v>5.1319999999999997</v>
      </c>
      <c r="U14" s="1">
        <v>6.3360000000000003</v>
      </c>
      <c r="V14" s="1">
        <v>29.835999999999999</v>
      </c>
      <c r="W14" s="1">
        <v>71394</v>
      </c>
      <c r="X14" s="1">
        <v>151.58000000000001</v>
      </c>
      <c r="Y14" s="1">
        <v>40.04</v>
      </c>
      <c r="Z14" s="1">
        <v>18.876000000000001</v>
      </c>
      <c r="AA14" s="1">
        <v>75.504000000000005</v>
      </c>
      <c r="AB14" s="6">
        <f>VLOOKUP(A14,Feuil1!$F$5:$G$19,2)</f>
        <v>8.2747232585162991E-2</v>
      </c>
    </row>
    <row r="15" spans="1:28" x14ac:dyDescent="0.45">
      <c r="A15" t="s">
        <v>17</v>
      </c>
      <c r="B15" s="3">
        <v>2014</v>
      </c>
      <c r="C15" s="1">
        <v>36465.919999999998</v>
      </c>
      <c r="D15" s="1">
        <v>-1246.2</v>
      </c>
      <c r="E15" s="1">
        <v>858.94799999999998</v>
      </c>
      <c r="F15" s="1">
        <v>1152.4559999999999</v>
      </c>
      <c r="G15" s="1">
        <v>29272.68</v>
      </c>
      <c r="H15" s="1">
        <v>3961.59</v>
      </c>
      <c r="I15" s="1">
        <v>6702.84</v>
      </c>
      <c r="J15" s="1">
        <v>0.81484630000000002</v>
      </c>
      <c r="K15" s="1">
        <v>0.46001088099999998</v>
      </c>
      <c r="L15" s="1">
        <v>0.44375680099999998</v>
      </c>
      <c r="O15" s="1"/>
      <c r="P15" s="1">
        <v>1.5233136E-2</v>
      </c>
      <c r="Q15" s="1">
        <v>0.95905973300000003</v>
      </c>
      <c r="R15" s="1">
        <v>2.5707131000000001E-2</v>
      </c>
      <c r="S15" s="1"/>
      <c r="T15" s="1"/>
      <c r="U15" s="1"/>
      <c r="V15" s="1"/>
      <c r="W15" s="1">
        <v>37530</v>
      </c>
      <c r="X15" s="1">
        <v>7.7229999999999999</v>
      </c>
      <c r="Y15" s="1">
        <v>11.163</v>
      </c>
      <c r="Z15" s="1">
        <v>0.90300000000000002</v>
      </c>
      <c r="AA15" s="1">
        <v>0</v>
      </c>
      <c r="AB15" s="6">
        <f>VLOOKUP(A15,Feuil1!$F$5:$G$19,2)</f>
        <v>-5.2821364312454827E-3</v>
      </c>
    </row>
    <row r="16" spans="1:28" x14ac:dyDescent="0.45">
      <c r="A16" t="s">
        <v>18</v>
      </c>
      <c r="B16" s="3">
        <v>2014</v>
      </c>
      <c r="C16" s="1">
        <v>36090.300000000003</v>
      </c>
      <c r="D16" s="1">
        <v>526.28</v>
      </c>
      <c r="E16" s="1">
        <v>678.85400000000004</v>
      </c>
      <c r="F16" s="1">
        <v>1001.5839999999999</v>
      </c>
      <c r="G16" s="1">
        <v>25217.16</v>
      </c>
      <c r="H16" s="1">
        <v>6143.4</v>
      </c>
      <c r="I16" s="1">
        <v>8817.24</v>
      </c>
      <c r="J16" s="1">
        <v>0</v>
      </c>
      <c r="K16" s="1">
        <v>0</v>
      </c>
      <c r="L16" s="1">
        <v>0</v>
      </c>
      <c r="O16" s="1"/>
      <c r="P16" s="1">
        <v>0</v>
      </c>
      <c r="Q16" s="1">
        <v>0.78249999999999997</v>
      </c>
      <c r="R16" s="1">
        <v>0.2175</v>
      </c>
      <c r="S16" s="1">
        <v>8.3390000000000004</v>
      </c>
      <c r="T16" s="1">
        <v>0</v>
      </c>
      <c r="U16" s="1">
        <v>2.2440000000000002</v>
      </c>
      <c r="V16" s="1">
        <v>1.1499999999999999</v>
      </c>
      <c r="W16" s="1">
        <v>19965</v>
      </c>
      <c r="X16" s="1">
        <v>19.120999999999999</v>
      </c>
      <c r="Y16" s="1">
        <v>0</v>
      </c>
      <c r="Z16" s="1">
        <v>4.74</v>
      </c>
      <c r="AA16" s="1">
        <v>3.726</v>
      </c>
      <c r="AB16" s="6">
        <f>VLOOKUP(A16,Feuil1!$F$5:$G$19,2)</f>
        <v>5.2344632383330272E-2</v>
      </c>
    </row>
    <row r="17" spans="1:28" x14ac:dyDescent="0.45">
      <c r="A17" t="s">
        <v>26</v>
      </c>
      <c r="B17" s="3">
        <v>2014</v>
      </c>
      <c r="C17" s="1">
        <v>74686</v>
      </c>
      <c r="D17" s="1">
        <v>3110</v>
      </c>
      <c r="E17" s="1">
        <v>6720</v>
      </c>
      <c r="F17" s="1">
        <v>12138</v>
      </c>
      <c r="G17" s="1">
        <v>165305</v>
      </c>
      <c r="H17" s="1">
        <v>55959</v>
      </c>
      <c r="I17" s="1">
        <v>27511</v>
      </c>
      <c r="J17" s="1">
        <v>0.74451704500000004</v>
      </c>
      <c r="K17" s="1">
        <v>0.62731971200000003</v>
      </c>
      <c r="L17" s="1">
        <v>0.23847842999999999</v>
      </c>
      <c r="O17" s="1"/>
      <c r="P17" s="1"/>
      <c r="Q17" s="1"/>
      <c r="R17" s="1"/>
      <c r="S17" s="1">
        <v>85.322000000000003</v>
      </c>
      <c r="T17" s="1">
        <v>5.7649999999999997</v>
      </c>
      <c r="U17" s="1">
        <v>4.6120000000000001</v>
      </c>
      <c r="V17" s="1">
        <v>20.754000000000001</v>
      </c>
      <c r="W17" s="1">
        <v>152900</v>
      </c>
      <c r="X17" s="1">
        <v>352.875</v>
      </c>
      <c r="Y17" s="1">
        <v>32.935000000000002</v>
      </c>
      <c r="Z17" s="1">
        <v>14.115</v>
      </c>
      <c r="AA17" s="1">
        <v>61.164999999999999</v>
      </c>
      <c r="AB17" s="6">
        <f>VLOOKUP(A17,Feuil1!$F$5:$G$19,2)</f>
        <v>0.12234733650931139</v>
      </c>
    </row>
    <row r="18" spans="1:28" x14ac:dyDescent="0.45">
      <c r="A18" t="s">
        <v>19</v>
      </c>
      <c r="B18" s="3">
        <v>2014</v>
      </c>
      <c r="C18" s="1">
        <v>21002.5</v>
      </c>
      <c r="D18" s="1">
        <v>-387.6</v>
      </c>
      <c r="E18" s="1">
        <v>0.1</v>
      </c>
      <c r="F18" s="1">
        <v>2.1373000000000002</v>
      </c>
      <c r="G18" s="1">
        <v>38213.1</v>
      </c>
      <c r="H18" s="1">
        <v>4545.6000000000004</v>
      </c>
      <c r="I18" s="1">
        <v>9794.5</v>
      </c>
      <c r="J18" s="1">
        <v>0.27125342200000002</v>
      </c>
      <c r="K18" s="1">
        <v>0</v>
      </c>
      <c r="L18" s="1">
        <v>0</v>
      </c>
      <c r="O18" s="1"/>
      <c r="P18" s="1"/>
      <c r="Q18" s="1"/>
      <c r="R18" s="1"/>
      <c r="S18" s="1">
        <v>7.7830000000000004</v>
      </c>
      <c r="T18" s="1">
        <v>3.3330000000000002</v>
      </c>
      <c r="U18" s="1">
        <v>0.27400000000000002</v>
      </c>
      <c r="V18" s="1">
        <v>2.3580000000000001</v>
      </c>
      <c r="W18" s="1">
        <v>20092</v>
      </c>
      <c r="X18" s="1">
        <v>25.529</v>
      </c>
      <c r="Y18" s="1">
        <v>25.085999999999999</v>
      </c>
      <c r="Z18" s="1">
        <v>7.1630000000000003</v>
      </c>
      <c r="AA18" s="1">
        <v>0</v>
      </c>
      <c r="AB18" s="6">
        <f>VLOOKUP(A18,Feuil1!$F$5:$G$19,2)</f>
        <v>0.12772369031061659</v>
      </c>
    </row>
    <row r="19" spans="1:28" x14ac:dyDescent="0.45">
      <c r="A19" t="s">
        <v>20</v>
      </c>
      <c r="B19" s="3">
        <v>2014</v>
      </c>
      <c r="C19" s="1">
        <v>72874</v>
      </c>
      <c r="D19" s="1">
        <v>3701</v>
      </c>
      <c r="E19" s="1">
        <v>7984</v>
      </c>
      <c r="F19" s="1">
        <v>17279</v>
      </c>
      <c r="G19" s="1">
        <v>267989</v>
      </c>
      <c r="H19" s="1">
        <v>40610</v>
      </c>
      <c r="I19" s="1">
        <v>34208</v>
      </c>
      <c r="J19" s="1">
        <v>0.76101215799999999</v>
      </c>
      <c r="K19" s="1">
        <v>0.45234239900000001</v>
      </c>
      <c r="L19" s="1">
        <v>0.13882866299999999</v>
      </c>
      <c r="O19" s="1"/>
      <c r="P19" s="1">
        <v>0.84499999999999997</v>
      </c>
      <c r="Q19" s="1">
        <v>0.13700000000000001</v>
      </c>
      <c r="R19" s="1">
        <v>1.7999999999999999E-2</v>
      </c>
      <c r="S19" s="1">
        <v>35.014000000000003</v>
      </c>
      <c r="T19" s="1">
        <v>72.912999999999997</v>
      </c>
      <c r="U19" s="1">
        <v>6.375</v>
      </c>
      <c r="V19" s="1">
        <v>21.89</v>
      </c>
      <c r="W19" s="1">
        <v>158161</v>
      </c>
      <c r="X19" s="1">
        <v>81.099999999999994</v>
      </c>
      <c r="Y19" s="1">
        <v>477.7</v>
      </c>
      <c r="Z19" s="1">
        <v>13.2</v>
      </c>
      <c r="AA19" s="1">
        <v>51.5</v>
      </c>
      <c r="AB19" s="6">
        <f>VLOOKUP(A19,Feuil1!$F$5:$G$19,2)</f>
        <v>9.4529970520799214E-2</v>
      </c>
    </row>
    <row r="20" spans="1:28" x14ac:dyDescent="0.45">
      <c r="A20" t="s">
        <v>28</v>
      </c>
      <c r="B20" s="3">
        <v>2014</v>
      </c>
      <c r="C20" s="1">
        <v>16293.883</v>
      </c>
      <c r="D20" s="1">
        <v>1263.81</v>
      </c>
      <c r="E20" s="1">
        <v>2118</v>
      </c>
      <c r="F20" s="1">
        <v>3642</v>
      </c>
      <c r="G20" s="1">
        <v>42873.017</v>
      </c>
      <c r="H20" s="1">
        <v>11969.144</v>
      </c>
      <c r="I20" s="1">
        <v>0</v>
      </c>
      <c r="J20" s="1">
        <v>0.86978156158357101</v>
      </c>
      <c r="K20" s="1">
        <v>0.21504419787474849</v>
      </c>
      <c r="L20" s="1">
        <v>0.20003838250219425</v>
      </c>
      <c r="O20" s="1"/>
      <c r="P20" s="1"/>
      <c r="Q20" s="1"/>
      <c r="R20" s="1"/>
      <c r="S20" s="1">
        <v>6.38</v>
      </c>
      <c r="T20" s="1">
        <v>0.156</v>
      </c>
      <c r="U20" s="1">
        <v>8.2659999999999982</v>
      </c>
      <c r="V20" s="1">
        <v>6.8696000000000002</v>
      </c>
      <c r="W20" s="1">
        <v>11798</v>
      </c>
      <c r="X20" s="1">
        <v>15.706</v>
      </c>
      <c r="Y20" s="1">
        <v>1.204</v>
      </c>
      <c r="Z20" s="1">
        <v>20.130000000000003</v>
      </c>
      <c r="AA20" s="1">
        <v>23.18</v>
      </c>
      <c r="AB20" s="6">
        <f>VLOOKUP(A20,Feuil1!$F$5:$G$19,2)</f>
        <v>0.1172746457642448</v>
      </c>
    </row>
    <row r="21" spans="1:28" x14ac:dyDescent="0.45">
      <c r="A21" t="s">
        <v>16</v>
      </c>
      <c r="B21" s="3">
        <v>2014</v>
      </c>
      <c r="C21" s="1">
        <v>4751</v>
      </c>
      <c r="D21" s="1">
        <v>3161</v>
      </c>
      <c r="E21" s="1">
        <v>3428</v>
      </c>
      <c r="F21" s="1">
        <v>1873</v>
      </c>
      <c r="G21" s="1">
        <v>21375</v>
      </c>
      <c r="H21" s="1">
        <v>10864</v>
      </c>
      <c r="I21" s="1">
        <v>4217</v>
      </c>
      <c r="J21" s="1">
        <v>0.65291517600000004</v>
      </c>
      <c r="K21" s="1">
        <v>0.33</v>
      </c>
      <c r="L21" s="1">
        <v>0.27</v>
      </c>
      <c r="O21" s="1">
        <v>15964</v>
      </c>
      <c r="P21" s="1">
        <v>0.50800000000000001</v>
      </c>
      <c r="Q21" s="1"/>
      <c r="R21" s="1">
        <v>0.32</v>
      </c>
      <c r="S21" s="1">
        <v>6.5039999999999996</v>
      </c>
      <c r="T21" s="1">
        <v>3.2789999999999999</v>
      </c>
      <c r="U21" s="1">
        <v>0.22600000000000001</v>
      </c>
      <c r="V21" s="1">
        <v>4.6150000000000002</v>
      </c>
      <c r="W21" s="1">
        <v>8592</v>
      </c>
      <c r="X21" s="1">
        <v>26.3</v>
      </c>
      <c r="Y21" s="1">
        <v>23.8</v>
      </c>
      <c r="Z21" s="1">
        <v>1</v>
      </c>
      <c r="AA21" s="1">
        <v>22.3</v>
      </c>
      <c r="AB21" s="6">
        <f>VLOOKUP(A21,Feuil1!$F$5:$G$19,2)</f>
        <v>0.10636900853578464</v>
      </c>
    </row>
    <row r="22" spans="1:28" x14ac:dyDescent="0.45">
      <c r="A22" t="s">
        <v>21</v>
      </c>
      <c r="B22" s="3">
        <v>2014</v>
      </c>
      <c r="C22" s="1">
        <v>7237.4030659999999</v>
      </c>
      <c r="D22" s="1">
        <v>809.08926959999997</v>
      </c>
      <c r="E22" s="1">
        <v>1332.5879170000001</v>
      </c>
      <c r="F22" s="1">
        <v>2614.896303</v>
      </c>
      <c r="G22" s="1">
        <v>22610.27953</v>
      </c>
      <c r="H22" s="1">
        <v>9192.1009919999997</v>
      </c>
      <c r="I22" s="1">
        <v>5310.9107299999996</v>
      </c>
      <c r="J22" s="1">
        <v>0.86624937099999999</v>
      </c>
      <c r="K22" s="1">
        <v>0.23878939900000001</v>
      </c>
      <c r="L22" s="1">
        <v>3.7466976999999999E-2</v>
      </c>
      <c r="O22" s="1"/>
      <c r="P22" s="1">
        <v>0.69779999999999998</v>
      </c>
      <c r="Q22" s="1">
        <v>6.6900000000000001E-2</v>
      </c>
      <c r="R22" s="1">
        <v>0.23530000000000001</v>
      </c>
      <c r="S22" s="1">
        <v>9.9280000000000008</v>
      </c>
      <c r="T22" s="1">
        <v>4.29</v>
      </c>
      <c r="U22" s="1">
        <v>0.75638499999999997</v>
      </c>
      <c r="V22" s="1">
        <v>3.1422840000000001</v>
      </c>
      <c r="W22" s="1">
        <v>26255</v>
      </c>
      <c r="X22" s="1">
        <v>28.693999999999999</v>
      </c>
      <c r="Y22" s="1">
        <v>30.324000000000002</v>
      </c>
      <c r="Z22" s="1">
        <v>1.9550000000000001</v>
      </c>
      <c r="AA22" s="1">
        <v>2.1520000000000001</v>
      </c>
      <c r="AB22" s="6">
        <f>VLOOKUP(A22,Feuil1!$F$5:$G$19,2)</f>
        <v>-5.2821364312454827E-3</v>
      </c>
    </row>
    <row r="23" spans="1:28" x14ac:dyDescent="0.45">
      <c r="A23" t="s">
        <v>22</v>
      </c>
      <c r="B23" s="3">
        <v>2014</v>
      </c>
      <c r="C23" s="1">
        <v>18234.91275</v>
      </c>
      <c r="D23" s="1">
        <v>-910.28965760000006</v>
      </c>
      <c r="E23" s="1">
        <v>-241.19818910000001</v>
      </c>
      <c r="F23" s="1">
        <v>4509.472111</v>
      </c>
      <c r="G23" s="1">
        <v>54550.679089999998</v>
      </c>
      <c r="H23" s="1">
        <v>14116.08281</v>
      </c>
      <c r="I23" s="1">
        <v>8733</v>
      </c>
      <c r="J23" s="1">
        <v>0.56143300500000004</v>
      </c>
      <c r="K23" s="1">
        <v>0.72345656700000005</v>
      </c>
      <c r="L23" s="1">
        <v>3.4523486999999999E-2</v>
      </c>
      <c r="O23" s="1"/>
      <c r="P23" s="1"/>
      <c r="Q23" s="1"/>
      <c r="R23" s="1"/>
      <c r="S23" s="1">
        <v>19.992000000000001</v>
      </c>
      <c r="T23" s="1">
        <v>6.9740000000000002</v>
      </c>
      <c r="U23" s="1">
        <v>1.851</v>
      </c>
      <c r="V23" s="1">
        <v>11.202999999999999</v>
      </c>
      <c r="W23" s="1">
        <v>30181</v>
      </c>
      <c r="X23" s="1">
        <v>82.7</v>
      </c>
      <c r="Y23" s="1">
        <v>49.9</v>
      </c>
      <c r="Z23" s="1">
        <v>6.1</v>
      </c>
      <c r="AA23" s="1">
        <v>34.299999999999997</v>
      </c>
      <c r="AB23" s="6">
        <f>VLOOKUP(A23,Feuil1!$F$5:$G$19,2)</f>
        <v>0.1973716595593443</v>
      </c>
    </row>
    <row r="24" spans="1:28" x14ac:dyDescent="0.45">
      <c r="A24" t="s">
        <v>23</v>
      </c>
      <c r="B24" s="3">
        <v>2014</v>
      </c>
      <c r="C24" s="1">
        <v>30032.27</v>
      </c>
      <c r="D24" s="1">
        <v>2326.5160000000001</v>
      </c>
      <c r="E24" s="1">
        <v>3941</v>
      </c>
      <c r="F24" s="1">
        <v>6965</v>
      </c>
      <c r="G24" s="1">
        <v>93771.413</v>
      </c>
      <c r="H24" s="1">
        <v>35791</v>
      </c>
      <c r="I24" s="1">
        <v>25618.524000000001</v>
      </c>
      <c r="J24" s="1">
        <v>0.74949093099999997</v>
      </c>
      <c r="K24" s="1">
        <v>0.52172739499999998</v>
      </c>
      <c r="L24" s="1">
        <v>0.22861445399999999</v>
      </c>
      <c r="O24" s="1">
        <v>35746</v>
      </c>
      <c r="P24" s="1"/>
      <c r="Q24" s="1"/>
      <c r="R24" s="1">
        <v>0.2</v>
      </c>
      <c r="S24" s="1">
        <v>16.765999999999998</v>
      </c>
      <c r="T24" s="1">
        <v>3.1659999999999999</v>
      </c>
      <c r="U24" s="1">
        <v>13.292</v>
      </c>
      <c r="V24" s="1">
        <v>9.4860000000000007</v>
      </c>
      <c r="W24" s="1">
        <v>29597</v>
      </c>
      <c r="X24" s="1">
        <v>19.855</v>
      </c>
      <c r="Y24" s="1">
        <v>24.37</v>
      </c>
      <c r="Z24" s="1">
        <v>0</v>
      </c>
      <c r="AA24" s="1">
        <v>18.745000000000001</v>
      </c>
      <c r="AB24" s="6">
        <f>VLOOKUP(A24,Feuil1!$F$5:$G$19,2)</f>
        <v>0</v>
      </c>
    </row>
    <row r="25" spans="1:28" x14ac:dyDescent="0.45">
      <c r="A25" t="s">
        <v>24</v>
      </c>
      <c r="B25" s="3">
        <v>2014</v>
      </c>
      <c r="C25" s="1">
        <v>46149</v>
      </c>
      <c r="D25" s="1">
        <v>1700</v>
      </c>
      <c r="E25" s="1">
        <v>4017</v>
      </c>
      <c r="F25" s="1">
        <v>7131</v>
      </c>
      <c r="G25" s="1">
        <v>86316</v>
      </c>
      <c r="H25" s="1">
        <v>11772</v>
      </c>
      <c r="I25" s="1">
        <v>8519</v>
      </c>
      <c r="J25" s="1">
        <v>4.6913258999999999E-2</v>
      </c>
      <c r="K25" s="1">
        <v>0.43164532300000003</v>
      </c>
      <c r="L25" s="1">
        <v>9.1876309999999999E-3</v>
      </c>
      <c r="O25" s="1">
        <v>15500</v>
      </c>
      <c r="P25" s="1">
        <v>0.15</v>
      </c>
      <c r="Q25" s="1">
        <v>0.84</v>
      </c>
      <c r="R25" s="1">
        <v>0.01</v>
      </c>
      <c r="S25" s="1">
        <v>41.332999999999998</v>
      </c>
      <c r="T25" s="1">
        <v>4.0540000000000003</v>
      </c>
      <c r="U25" s="1">
        <v>3.1070000000000002</v>
      </c>
      <c r="V25" s="1">
        <v>0.56999999999999995</v>
      </c>
      <c r="W25" s="1">
        <v>59784</v>
      </c>
      <c r="X25" s="1">
        <v>166.5</v>
      </c>
      <c r="Y25" s="1">
        <v>31.7</v>
      </c>
      <c r="Z25" s="1">
        <v>6.7</v>
      </c>
      <c r="AA25" s="1">
        <v>3.4</v>
      </c>
      <c r="AB25" s="6">
        <f>VLOOKUP(A25,Feuil1!$F$5:$G$19,2)</f>
        <v>0.61833550065019505</v>
      </c>
    </row>
    <row r="26" spans="1:28" x14ac:dyDescent="0.45">
      <c r="A26" t="s">
        <v>25</v>
      </c>
      <c r="B26" s="3">
        <v>2014</v>
      </c>
      <c r="C26" s="1">
        <v>111556</v>
      </c>
      <c r="D26" s="1">
        <v>-3130</v>
      </c>
      <c r="E26" s="1">
        <v>4664</v>
      </c>
      <c r="F26" s="1">
        <v>8337</v>
      </c>
      <c r="G26" s="1">
        <v>125690</v>
      </c>
      <c r="H26" s="1"/>
      <c r="I26" s="1">
        <v>33394</v>
      </c>
      <c r="J26" s="1">
        <v>0.11368281399999999</v>
      </c>
      <c r="K26" s="1">
        <v>0.62704829900000003</v>
      </c>
      <c r="L26" s="1">
        <v>2.5153286E-2</v>
      </c>
      <c r="O26" s="1">
        <v>27400</v>
      </c>
      <c r="P26" s="1">
        <v>0.76</v>
      </c>
      <c r="Q26" s="1"/>
      <c r="R26" s="1">
        <v>0.24</v>
      </c>
      <c r="S26" s="1">
        <v>40.072000000000003</v>
      </c>
      <c r="T26" s="1">
        <v>8.202</v>
      </c>
      <c r="U26" s="1">
        <v>4.3970000000000002</v>
      </c>
      <c r="V26" s="1">
        <v>4.9740000000000002</v>
      </c>
      <c r="W26" s="1">
        <v>58503</v>
      </c>
      <c r="X26" s="1">
        <v>130.6</v>
      </c>
      <c r="Y26" s="1">
        <v>55.4</v>
      </c>
      <c r="Z26" s="1">
        <v>14.9</v>
      </c>
      <c r="AA26" s="1">
        <v>14.3</v>
      </c>
      <c r="AB26" s="6">
        <f>VLOOKUP(A26,Feuil1!$F$5:$G$19,2)</f>
        <v>0.14834710743801652</v>
      </c>
    </row>
    <row r="27" spans="1:28" x14ac:dyDescent="0.45">
      <c r="A27" t="s">
        <v>27</v>
      </c>
      <c r="B27" s="3">
        <v>2014</v>
      </c>
      <c r="C27" s="1">
        <v>75791</v>
      </c>
      <c r="D27" s="1">
        <v>772</v>
      </c>
      <c r="E27" s="1">
        <v>3087</v>
      </c>
      <c r="F27" s="1">
        <v>15757</v>
      </c>
      <c r="G27" s="1">
        <v>166634</v>
      </c>
      <c r="H27" s="1">
        <v>51145</v>
      </c>
      <c r="I27" s="1">
        <v>37383</v>
      </c>
      <c r="J27" s="1">
        <v>0.63413861800000004</v>
      </c>
      <c r="K27" s="1">
        <v>0.62308189599999997</v>
      </c>
      <c r="L27" s="1">
        <v>0.173569421</v>
      </c>
      <c r="O27" s="1">
        <v>35307</v>
      </c>
      <c r="P27" s="1">
        <v>0.255</v>
      </c>
      <c r="Q27" s="1">
        <v>0.24099999999999999</v>
      </c>
      <c r="R27" s="1">
        <v>0.504</v>
      </c>
      <c r="S27" s="1">
        <v>54.177999999999997</v>
      </c>
      <c r="T27" s="1">
        <v>5.1319999999999997</v>
      </c>
      <c r="U27" s="1">
        <v>7.149</v>
      </c>
      <c r="V27" s="1">
        <v>29.652999999999999</v>
      </c>
      <c r="W27" s="1">
        <v>68961</v>
      </c>
      <c r="X27" s="1">
        <v>147.21199999999999</v>
      </c>
      <c r="Y27" s="1">
        <v>39.634</v>
      </c>
      <c r="Z27" s="1">
        <v>21.175999999999998</v>
      </c>
      <c r="AA27" s="1">
        <v>75.078000000000003</v>
      </c>
      <c r="AB27" s="6">
        <f>VLOOKUP(A27,Feuil1!$F$5:$G$19,2)</f>
        <v>8.2747232585162991E-2</v>
      </c>
    </row>
    <row r="28" spans="1:28" x14ac:dyDescent="0.45">
      <c r="A28" t="s">
        <v>17</v>
      </c>
      <c r="B28" s="3">
        <v>2015</v>
      </c>
      <c r="C28" s="1">
        <v>38543.534520000001</v>
      </c>
      <c r="D28" s="1">
        <v>-1218.136088</v>
      </c>
      <c r="E28" s="1">
        <v>2010.4757380000001</v>
      </c>
      <c r="F28" s="1">
        <v>1810.6683479999999</v>
      </c>
      <c r="G28" s="1">
        <v>25698.32402</v>
      </c>
      <c r="H28" s="1">
        <v>1828.5870010000001</v>
      </c>
      <c r="I28" s="1">
        <v>6468.1836759999997</v>
      </c>
      <c r="J28" s="1">
        <v>0.80368953600000004</v>
      </c>
      <c r="K28" s="1">
        <v>0.440348933</v>
      </c>
      <c r="L28" s="1">
        <v>0.429730793</v>
      </c>
      <c r="O28" s="1"/>
      <c r="P28" s="1"/>
      <c r="Q28" s="1"/>
      <c r="R28" s="1"/>
      <c r="S28" s="1"/>
      <c r="T28" s="1"/>
      <c r="U28" s="1"/>
      <c r="V28" s="1"/>
      <c r="W28" s="1"/>
      <c r="X28" s="1">
        <v>6.109</v>
      </c>
      <c r="Y28" s="1">
        <v>12.125999999999999</v>
      </c>
      <c r="Z28" s="1">
        <v>0.878</v>
      </c>
      <c r="AA28" s="1">
        <v>0</v>
      </c>
      <c r="AB28" s="6">
        <f>VLOOKUP(A28,Feuil1!$F$5:$G$19,2)</f>
        <v>-5.2821364312454827E-3</v>
      </c>
    </row>
    <row r="29" spans="1:28" x14ac:dyDescent="0.45">
      <c r="A29" t="s">
        <v>18</v>
      </c>
      <c r="B29" s="3">
        <v>2015</v>
      </c>
      <c r="C29" s="1">
        <v>37415</v>
      </c>
      <c r="D29" s="1">
        <v>760.7</v>
      </c>
      <c r="E29" s="1">
        <v>1886</v>
      </c>
      <c r="F29" s="1">
        <v>1903.8</v>
      </c>
      <c r="G29" s="1">
        <v>28842.7</v>
      </c>
      <c r="H29" s="1">
        <v>6782</v>
      </c>
      <c r="I29" s="1">
        <v>8817.24</v>
      </c>
      <c r="J29" s="1">
        <v>1.5230580000000001E-2</v>
      </c>
      <c r="K29" s="1">
        <v>0</v>
      </c>
      <c r="L29" s="1">
        <v>0</v>
      </c>
      <c r="O29" s="1"/>
      <c r="P29" s="1"/>
      <c r="Q29" s="1"/>
      <c r="R29" s="1"/>
      <c r="S29" s="1">
        <v>7.282</v>
      </c>
      <c r="T29" s="1">
        <v>0</v>
      </c>
      <c r="U29" s="1">
        <v>1.825</v>
      </c>
      <c r="V29" s="1">
        <v>1.45</v>
      </c>
      <c r="W29" s="1">
        <v>21118</v>
      </c>
      <c r="X29" s="1">
        <v>18.081</v>
      </c>
      <c r="Y29" s="1">
        <v>0</v>
      </c>
      <c r="Z29" s="1">
        <v>5.3689999999999998</v>
      </c>
      <c r="AA29" s="1">
        <v>4.3259999999999996</v>
      </c>
      <c r="AB29" s="6">
        <f>VLOOKUP(A29,Feuil1!$F$5:$G$19,2)</f>
        <v>5.2344632383330272E-2</v>
      </c>
    </row>
    <row r="30" spans="1:28" x14ac:dyDescent="0.45">
      <c r="A30" t="s">
        <v>26</v>
      </c>
      <c r="B30" s="3">
        <v>2015</v>
      </c>
      <c r="C30" s="1">
        <v>69883</v>
      </c>
      <c r="D30" s="1">
        <v>-5113</v>
      </c>
      <c r="E30" s="1">
        <v>5854</v>
      </c>
      <c r="F30" s="1">
        <v>11262</v>
      </c>
      <c r="G30" s="1">
        <v>160658</v>
      </c>
      <c r="H30" s="1">
        <v>48750</v>
      </c>
      <c r="I30" s="1">
        <v>27727</v>
      </c>
      <c r="J30" s="1">
        <v>0.70768284100000001</v>
      </c>
      <c r="K30" s="1">
        <v>0.64131476899999995</v>
      </c>
      <c r="L30" s="1">
        <v>0.246740981</v>
      </c>
      <c r="O30" s="1"/>
      <c r="P30" s="1"/>
      <c r="Q30" s="1"/>
      <c r="R30" s="1">
        <v>2.7E-2</v>
      </c>
      <c r="S30" s="1">
        <v>84.311999999999998</v>
      </c>
      <c r="T30" s="1">
        <v>5.8550000000000004</v>
      </c>
      <c r="U30" s="1">
        <v>7.0259999999999998</v>
      </c>
      <c r="V30" s="1">
        <v>19.907</v>
      </c>
      <c r="W30" s="1"/>
      <c r="X30" s="1">
        <v>368.55</v>
      </c>
      <c r="Y30" s="1">
        <v>29.484000000000002</v>
      </c>
      <c r="Z30" s="1">
        <v>19.655999999999999</v>
      </c>
      <c r="AA30" s="1">
        <v>73.709999999999994</v>
      </c>
      <c r="AB30" s="6">
        <f>VLOOKUP(A30,Feuil1!$F$5:$G$19,2)</f>
        <v>0.12234733650931139</v>
      </c>
    </row>
    <row r="31" spans="1:28" x14ac:dyDescent="0.45">
      <c r="A31" t="s">
        <v>19</v>
      </c>
      <c r="B31" s="3">
        <v>2015</v>
      </c>
      <c r="C31" s="1">
        <v>21266.5</v>
      </c>
      <c r="D31" s="1">
        <v>200.5</v>
      </c>
      <c r="E31" s="1">
        <v>277</v>
      </c>
      <c r="F31" s="1">
        <v>1918.2</v>
      </c>
      <c r="G31" s="1">
        <v>38158.199999999997</v>
      </c>
      <c r="H31" s="1">
        <v>5089.5</v>
      </c>
      <c r="I31" s="1">
        <v>3329</v>
      </c>
      <c r="J31" s="1">
        <v>0.23405355799999999</v>
      </c>
      <c r="K31" s="1">
        <v>0</v>
      </c>
      <c r="L31" s="1">
        <v>0</v>
      </c>
      <c r="O31" s="1"/>
      <c r="P31" s="1"/>
      <c r="Q31" s="1"/>
      <c r="R31" s="1"/>
      <c r="S31" s="1">
        <v>6.9390000000000001</v>
      </c>
      <c r="T31" s="1">
        <v>2.9329999999999998</v>
      </c>
      <c r="U31" s="1">
        <v>0.69699999999999995</v>
      </c>
      <c r="V31" s="1">
        <v>2.3580000000000001</v>
      </c>
      <c r="W31" s="1">
        <v>20288</v>
      </c>
      <c r="X31" s="1">
        <v>22.965</v>
      </c>
      <c r="Y31" s="1">
        <v>25.283000000000001</v>
      </c>
      <c r="Z31" s="1">
        <v>7.7249999999999996</v>
      </c>
      <c r="AA31" s="1">
        <v>0</v>
      </c>
      <c r="AB31" s="6">
        <f>VLOOKUP(A31,Feuil1!$F$5:$G$19,2)</f>
        <v>0.12772369031061659</v>
      </c>
    </row>
    <row r="32" spans="1:28" x14ac:dyDescent="0.45">
      <c r="A32" t="s">
        <v>16</v>
      </c>
      <c r="B32" s="3">
        <v>2015</v>
      </c>
      <c r="C32" s="1">
        <v>3702</v>
      </c>
      <c r="D32" s="1">
        <v>4142</v>
      </c>
      <c r="E32" s="1">
        <v>4245</v>
      </c>
      <c r="F32" s="1">
        <v>1265</v>
      </c>
      <c r="G32" s="1">
        <v>22767</v>
      </c>
      <c r="H32" s="1">
        <v>13863</v>
      </c>
      <c r="I32" s="1">
        <v>-2195</v>
      </c>
      <c r="J32" s="1">
        <v>0.69746083199999998</v>
      </c>
      <c r="K32" s="1">
        <v>0.37</v>
      </c>
      <c r="L32" s="1">
        <v>0.28999999999999998</v>
      </c>
      <c r="O32" s="1">
        <v>12366</v>
      </c>
      <c r="P32" s="1"/>
      <c r="Q32" s="1"/>
      <c r="R32" s="1"/>
      <c r="S32" s="1">
        <v>5.6310000000000002</v>
      </c>
      <c r="T32" s="1">
        <v>3.004</v>
      </c>
      <c r="U32" s="1">
        <v>0.434</v>
      </c>
      <c r="V32" s="1">
        <v>4.6230000000000002</v>
      </c>
      <c r="W32" s="1">
        <v>8009</v>
      </c>
      <c r="X32" s="1">
        <v>26</v>
      </c>
      <c r="Y32" s="1">
        <v>22.7</v>
      </c>
      <c r="Z32" s="1">
        <v>0</v>
      </c>
      <c r="AA32" s="1">
        <v>25.1</v>
      </c>
      <c r="AB32" s="6">
        <f>VLOOKUP(A32,Feuil1!$F$5:$G$19,2)</f>
        <v>0.10636900853578464</v>
      </c>
    </row>
    <row r="33" spans="1:28" x14ac:dyDescent="0.45">
      <c r="A33" t="s">
        <v>20</v>
      </c>
      <c r="B33" s="3">
        <v>2015</v>
      </c>
      <c r="C33" s="1">
        <v>75006</v>
      </c>
      <c r="D33" s="1">
        <v>1401</v>
      </c>
      <c r="E33" s="1">
        <v>4280</v>
      </c>
      <c r="F33" s="1">
        <v>17601</v>
      </c>
      <c r="G33" s="1">
        <v>278941</v>
      </c>
      <c r="H33" s="1">
        <v>34749</v>
      </c>
      <c r="I33" s="1">
        <v>37395</v>
      </c>
      <c r="J33" s="1">
        <v>0.72783510699999998</v>
      </c>
      <c r="K33" s="1">
        <v>0.471788924</v>
      </c>
      <c r="L33" s="1">
        <v>0.16121377000000001</v>
      </c>
      <c r="O33" s="1"/>
      <c r="P33" s="1">
        <v>0.84499999999999997</v>
      </c>
      <c r="Q33" s="1">
        <v>0.13700000000000001</v>
      </c>
      <c r="R33" s="1">
        <v>1.7999999999999999E-2</v>
      </c>
      <c r="S33" s="1">
        <v>31.902999999999999</v>
      </c>
      <c r="T33" s="1">
        <v>72.947999999999993</v>
      </c>
      <c r="U33" s="1">
        <v>7.6820000000000004</v>
      </c>
      <c r="V33" s="1">
        <v>21.698</v>
      </c>
      <c r="W33" s="1">
        <v>158200</v>
      </c>
      <c r="X33" s="1">
        <v>79.599999999999994</v>
      </c>
      <c r="Y33" s="1">
        <v>482.7</v>
      </c>
      <c r="Z33" s="1">
        <v>13.5</v>
      </c>
      <c r="AA33" s="1">
        <v>43.5</v>
      </c>
      <c r="AB33" s="6">
        <f>VLOOKUP(A33,Feuil1!$F$5:$G$19,2)</f>
        <v>9.4529970520799214E-2</v>
      </c>
    </row>
    <row r="34" spans="1:28" x14ac:dyDescent="0.45">
      <c r="A34" t="s">
        <v>21</v>
      </c>
      <c r="B34" s="3">
        <v>2015</v>
      </c>
      <c r="C34" s="1">
        <v>7776.7622570000003</v>
      </c>
      <c r="D34" s="1">
        <v>760.29602220000004</v>
      </c>
      <c r="E34" s="1">
        <v>1071.637373</v>
      </c>
      <c r="F34" s="1">
        <v>2409.0286769999998</v>
      </c>
      <c r="G34" s="1">
        <v>22301.05458</v>
      </c>
      <c r="H34" s="1">
        <v>10096.24422</v>
      </c>
      <c r="I34" s="1">
        <v>4855.6151710000004</v>
      </c>
      <c r="J34" s="1">
        <v>0.86647761099999998</v>
      </c>
      <c r="K34" s="1">
        <v>0.25812805999999999</v>
      </c>
      <c r="L34" s="1">
        <v>4.4083990000000003E-2</v>
      </c>
      <c r="O34" s="1"/>
      <c r="P34" s="1">
        <v>0.69779999999999998</v>
      </c>
      <c r="Q34" s="1">
        <v>8.7800000000000003E-2</v>
      </c>
      <c r="R34" s="1">
        <v>0.21440000000000001</v>
      </c>
      <c r="S34" s="1">
        <v>9.8089999999999993</v>
      </c>
      <c r="T34" s="1">
        <v>4.29</v>
      </c>
      <c r="U34" s="1">
        <v>0.75560000000000005</v>
      </c>
      <c r="V34" s="1">
        <v>3.1227999999999998</v>
      </c>
      <c r="W34" s="1">
        <v>25862</v>
      </c>
      <c r="X34" s="1">
        <v>29.632000000000001</v>
      </c>
      <c r="Y34" s="1">
        <v>26.84</v>
      </c>
      <c r="Z34" s="1">
        <v>2.23</v>
      </c>
      <c r="AA34" s="1">
        <v>2.214</v>
      </c>
      <c r="AB34" s="6">
        <f>VLOOKUP(A34,Feuil1!$F$5:$G$19,2)</f>
        <v>-5.2821364312454827E-3</v>
      </c>
    </row>
    <row r="35" spans="1:28" x14ac:dyDescent="0.45">
      <c r="A35" t="s">
        <v>28</v>
      </c>
      <c r="B35" s="3">
        <v>2015</v>
      </c>
      <c r="C35" s="1">
        <v>15517</v>
      </c>
      <c r="D35" s="1">
        <v>913</v>
      </c>
      <c r="E35" s="1">
        <v>2443</v>
      </c>
      <c r="F35" s="1">
        <v>3924</v>
      </c>
      <c r="G35" s="1">
        <v>42537</v>
      </c>
      <c r="H35" s="1">
        <v>12121</v>
      </c>
      <c r="I35" s="1">
        <v>17380</v>
      </c>
      <c r="J35" s="1">
        <v>0.88494122600000003</v>
      </c>
      <c r="K35" s="1">
        <v>0.49873114899999998</v>
      </c>
      <c r="L35" s="1">
        <v>0.20995720800000001</v>
      </c>
      <c r="O35" s="1"/>
      <c r="P35" s="1"/>
      <c r="Q35" s="1"/>
      <c r="R35" s="1"/>
      <c r="S35" s="1">
        <v>7.0990000000000002</v>
      </c>
      <c r="T35" s="1">
        <v>0.156</v>
      </c>
      <c r="U35" s="1">
        <v>9.33</v>
      </c>
      <c r="V35" s="1">
        <v>7.7779999999999996</v>
      </c>
      <c r="W35" s="1">
        <v>12084</v>
      </c>
      <c r="X35" s="1">
        <v>25.297000000000001</v>
      </c>
      <c r="Y35" s="1">
        <v>1.2270000000000001</v>
      </c>
      <c r="Z35" s="1">
        <v>21.712</v>
      </c>
      <c r="AA35" s="1">
        <v>15.481999999999999</v>
      </c>
      <c r="AB35" s="6">
        <f>VLOOKUP(A35,Feuil1!$F$5:$G$19,2)</f>
        <v>0.1172746457642448</v>
      </c>
    </row>
    <row r="36" spans="1:28" x14ac:dyDescent="0.45">
      <c r="A36" t="s">
        <v>22</v>
      </c>
      <c r="B36" s="3">
        <v>2015</v>
      </c>
      <c r="C36" s="1">
        <v>15369.858910000001</v>
      </c>
      <c r="D36" s="1">
        <v>-2115.9569230000002</v>
      </c>
      <c r="E36" s="1">
        <v>-542.63814850000006</v>
      </c>
      <c r="F36" s="1">
        <v>3276.1684540000001</v>
      </c>
      <c r="G36" s="1">
        <v>49491.189760000001</v>
      </c>
      <c r="H36" s="1">
        <v>12741.77318</v>
      </c>
      <c r="I36" s="1">
        <v>6873</v>
      </c>
      <c r="J36" s="1">
        <v>0.55000000000000004</v>
      </c>
      <c r="K36" s="1">
        <v>0.70381540099999995</v>
      </c>
      <c r="L36" s="1">
        <v>-0.108987575</v>
      </c>
      <c r="O36" s="1"/>
      <c r="P36" s="1"/>
      <c r="Q36" s="1"/>
      <c r="R36" s="1"/>
      <c r="S36" s="1">
        <v>17.741</v>
      </c>
      <c r="T36" s="1">
        <v>7.1970000000000001</v>
      </c>
      <c r="U36" s="1">
        <v>1.613</v>
      </c>
      <c r="V36" s="1">
        <v>11.727</v>
      </c>
      <c r="W36" s="1">
        <v>28567</v>
      </c>
      <c r="X36" s="1">
        <v>84</v>
      </c>
      <c r="Y36" s="1">
        <v>42.2</v>
      </c>
      <c r="Z36" s="1">
        <v>7.4</v>
      </c>
      <c r="AA36" s="1">
        <v>39.4</v>
      </c>
      <c r="AB36" s="6">
        <f>VLOOKUP(A36,Feuil1!$F$5:$G$19,2)</f>
        <v>0.1973716595593443</v>
      </c>
    </row>
    <row r="37" spans="1:28" x14ac:dyDescent="0.45">
      <c r="A37" t="s">
        <v>23</v>
      </c>
      <c r="B37" s="3">
        <v>2015</v>
      </c>
      <c r="C37" s="1">
        <v>31418.693019999999</v>
      </c>
      <c r="D37" s="1">
        <v>2421.5778</v>
      </c>
      <c r="E37" s="1">
        <v>3829.287292</v>
      </c>
      <c r="F37" s="1">
        <v>7305.9014319999997</v>
      </c>
      <c r="G37" s="1">
        <v>104664</v>
      </c>
      <c r="H37" s="1">
        <v>40956</v>
      </c>
      <c r="I37" s="1">
        <v>28067.132000000001</v>
      </c>
      <c r="J37" s="1">
        <v>0.74036485200000002</v>
      </c>
      <c r="K37" s="1">
        <v>0.53943399199999997</v>
      </c>
      <c r="L37" s="1">
        <v>0.24916179699999999</v>
      </c>
      <c r="O37" s="1">
        <v>27169</v>
      </c>
      <c r="P37" s="1"/>
      <c r="Q37" s="1"/>
      <c r="R37" s="1"/>
      <c r="S37" s="1">
        <v>16.829999999999998</v>
      </c>
      <c r="T37" s="1">
        <v>3.1659999999999999</v>
      </c>
      <c r="U37" s="1">
        <v>14.186</v>
      </c>
      <c r="V37" s="1">
        <v>10.391999999999999</v>
      </c>
      <c r="W37" s="1">
        <v>27169</v>
      </c>
      <c r="X37" s="1">
        <v>21.818000000000001</v>
      </c>
      <c r="Y37" s="1">
        <v>23.082000000000001</v>
      </c>
      <c r="Z37" s="1">
        <v>0</v>
      </c>
      <c r="AA37" s="1">
        <v>13.192</v>
      </c>
      <c r="AB37" s="6">
        <f>VLOOKUP(A37,Feuil1!$F$5:$G$19,2)</f>
        <v>0</v>
      </c>
    </row>
    <row r="38" spans="1:28" x14ac:dyDescent="0.45">
      <c r="A38" t="s">
        <v>25</v>
      </c>
      <c r="B38" s="3">
        <v>2015</v>
      </c>
      <c r="C38" s="1">
        <v>114592</v>
      </c>
      <c r="D38" s="1">
        <v>-6377</v>
      </c>
      <c r="E38" s="1">
        <v>4369</v>
      </c>
      <c r="F38" s="1">
        <v>7557</v>
      </c>
      <c r="G38" s="1">
        <v>113693</v>
      </c>
      <c r="H38" s="1">
        <v>19077</v>
      </c>
      <c r="I38" s="1">
        <v>27714</v>
      </c>
      <c r="J38" s="1">
        <v>8.7466839000000005E-2</v>
      </c>
      <c r="K38" s="1">
        <v>0.65430484099999997</v>
      </c>
      <c r="L38" s="1">
        <v>1.4335129E-2</v>
      </c>
      <c r="O38" s="1">
        <v>17400</v>
      </c>
      <c r="P38" s="1">
        <v>0.75</v>
      </c>
      <c r="Q38" s="1"/>
      <c r="R38" s="1">
        <v>0.25</v>
      </c>
      <c r="S38" s="1">
        <v>30.535</v>
      </c>
      <c r="T38" s="1">
        <v>6.6319999999999997</v>
      </c>
      <c r="U38" s="1">
        <v>3.9670000000000001</v>
      </c>
      <c r="V38" s="1">
        <v>3.7280000000000002</v>
      </c>
      <c r="W38" s="1">
        <v>56490</v>
      </c>
      <c r="X38" s="1">
        <v>113.5</v>
      </c>
      <c r="Y38" s="1">
        <v>49.7</v>
      </c>
      <c r="Z38" s="1">
        <v>10.7</v>
      </c>
      <c r="AA38" s="1">
        <v>14.6</v>
      </c>
      <c r="AB38" s="6">
        <f>VLOOKUP(A38,Feuil1!$F$5:$G$19,2)</f>
        <v>0.14834710743801652</v>
      </c>
    </row>
    <row r="39" spans="1:28" x14ac:dyDescent="0.45">
      <c r="A39" t="s">
        <v>24</v>
      </c>
      <c r="B39" s="3">
        <v>2015</v>
      </c>
      <c r="C39" s="1">
        <v>48599</v>
      </c>
      <c r="D39" s="1">
        <v>284</v>
      </c>
      <c r="E39" s="1">
        <v>3837</v>
      </c>
      <c r="F39" s="1">
        <v>7017</v>
      </c>
      <c r="G39" s="1">
        <v>79334</v>
      </c>
      <c r="H39" s="1">
        <v>8884</v>
      </c>
      <c r="I39" s="1">
        <v>7353</v>
      </c>
      <c r="J39" s="1">
        <v>4.7120310999999998E-2</v>
      </c>
      <c r="K39" s="1">
        <v>0.409535176</v>
      </c>
      <c r="L39" s="1">
        <v>8.8273420000000002E-3</v>
      </c>
      <c r="O39" s="1">
        <v>7100</v>
      </c>
      <c r="P39" s="1">
        <v>0.15</v>
      </c>
      <c r="Q39" s="1">
        <v>0.84</v>
      </c>
      <c r="R39" s="1">
        <v>0.01</v>
      </c>
      <c r="S39" s="1">
        <v>39.851999999999997</v>
      </c>
      <c r="T39" s="1">
        <v>4.0540000000000003</v>
      </c>
      <c r="U39" s="1">
        <v>4.1459999999999999</v>
      </c>
      <c r="V39" s="1"/>
      <c r="W39" s="1">
        <v>59350</v>
      </c>
      <c r="X39" s="1">
        <v>169.9</v>
      </c>
      <c r="Y39" s="1">
        <v>31.7</v>
      </c>
      <c r="Z39" s="1">
        <v>8.4</v>
      </c>
      <c r="AA39" s="1">
        <v>3</v>
      </c>
      <c r="AB39" s="6">
        <f>VLOOKUP(A39,Feuil1!$F$5:$G$19,2)</f>
        <v>0.61833550065019505</v>
      </c>
    </row>
    <row r="40" spans="1:28" x14ac:dyDescent="0.45">
      <c r="A40" t="s">
        <v>27</v>
      </c>
      <c r="B40" s="3">
        <v>2015</v>
      </c>
      <c r="C40" s="1">
        <v>75658</v>
      </c>
      <c r="D40" s="1">
        <v>3372</v>
      </c>
      <c r="E40" s="1">
        <v>7685</v>
      </c>
      <c r="F40" s="1">
        <v>15000</v>
      </c>
      <c r="G40" s="1">
        <v>161179</v>
      </c>
      <c r="H40" s="1">
        <v>51751</v>
      </c>
      <c r="I40" s="1">
        <v>37545</v>
      </c>
      <c r="J40" s="1">
        <v>0.61643183800000001</v>
      </c>
      <c r="K40" s="1">
        <v>0.461696053</v>
      </c>
      <c r="L40" s="1">
        <v>0.15501334999999999</v>
      </c>
      <c r="O40" s="1"/>
      <c r="P40" s="1"/>
      <c r="Q40" s="1"/>
      <c r="R40" s="1"/>
      <c r="S40" s="1">
        <v>47.576999999999998</v>
      </c>
      <c r="T40" s="1">
        <v>5.1319999999999997</v>
      </c>
      <c r="U40" s="1">
        <v>7.9870000000000001</v>
      </c>
      <c r="V40" s="1">
        <v>29.045999999999999</v>
      </c>
      <c r="W40" s="1">
        <v>68381</v>
      </c>
      <c r="X40" s="1">
        <v>159.90100000000001</v>
      </c>
      <c r="Y40" s="1">
        <v>39.901000000000003</v>
      </c>
      <c r="Z40" s="1">
        <v>23.335000000000001</v>
      </c>
      <c r="AA40" s="1">
        <v>65.938999999999993</v>
      </c>
      <c r="AB40" s="6">
        <f>VLOOKUP(A40,Feuil1!$F$5:$G$19,2)</f>
        <v>8.2747232585162991E-2</v>
      </c>
    </row>
    <row r="41" spans="1:28" x14ac:dyDescent="0.45">
      <c r="A41" t="s">
        <v>17</v>
      </c>
      <c r="B41" s="3">
        <v>2016</v>
      </c>
      <c r="C41" s="1">
        <v>33335.46</v>
      </c>
      <c r="D41" s="1">
        <v>2044.26</v>
      </c>
      <c r="E41" s="1">
        <v>1863.45</v>
      </c>
      <c r="F41" s="1">
        <v>2945.85</v>
      </c>
      <c r="G41" s="1">
        <v>25615.98</v>
      </c>
      <c r="H41" s="1">
        <v>3119.22</v>
      </c>
      <c r="I41" s="1">
        <v>4063.41</v>
      </c>
      <c r="J41" s="1"/>
      <c r="K41" s="1">
        <v>0.68903983899999999</v>
      </c>
      <c r="L41" s="1">
        <v>0.51313106200000003</v>
      </c>
      <c r="O41" s="1"/>
      <c r="P41" s="1"/>
      <c r="Q41" s="1"/>
      <c r="R41" s="1"/>
      <c r="S41" s="1"/>
      <c r="T41" s="1"/>
      <c r="U41" s="1"/>
      <c r="V41" s="1"/>
      <c r="W41" s="1">
        <v>38278</v>
      </c>
      <c r="X41" s="1">
        <v>10.092000000000001</v>
      </c>
      <c r="Y41" s="1">
        <v>13.03</v>
      </c>
      <c r="Z41" s="1">
        <v>0.53900000000000003</v>
      </c>
      <c r="AA41" s="1">
        <v>0</v>
      </c>
      <c r="AB41" s="6">
        <f>VLOOKUP(A41,Feuil1!$F$5:$G$19,2)</f>
        <v>-5.2821364312454827E-3</v>
      </c>
    </row>
    <row r="42" spans="1:28" x14ac:dyDescent="0.45">
      <c r="A42" t="s">
        <v>18</v>
      </c>
      <c r="B42" s="3">
        <v>2016</v>
      </c>
      <c r="C42" s="1">
        <v>35112</v>
      </c>
      <c r="D42" s="1">
        <v>562</v>
      </c>
      <c r="E42" s="1">
        <v>2225</v>
      </c>
      <c r="F42" s="1">
        <v>3283.5</v>
      </c>
      <c r="G42" s="1">
        <v>26179</v>
      </c>
      <c r="H42" s="1">
        <v>6156</v>
      </c>
      <c r="I42" s="1">
        <v>8034</v>
      </c>
      <c r="J42" s="1">
        <v>1.6426808000000001E-2</v>
      </c>
      <c r="K42" s="1">
        <v>2.5711226E-2</v>
      </c>
      <c r="L42" s="1">
        <v>0</v>
      </c>
      <c r="O42" s="1">
        <v>17818</v>
      </c>
      <c r="P42" s="1">
        <v>0</v>
      </c>
      <c r="Q42" s="1"/>
      <c r="R42" s="1"/>
      <c r="S42" s="1">
        <v>7.3339999999999996</v>
      </c>
      <c r="T42" s="1">
        <v>0</v>
      </c>
      <c r="U42" s="1">
        <v>1.859</v>
      </c>
      <c r="V42" s="1">
        <v>1.45</v>
      </c>
      <c r="W42" s="1">
        <v>21157</v>
      </c>
      <c r="X42" s="1">
        <v>18.341000000000001</v>
      </c>
      <c r="Y42" s="1">
        <v>0</v>
      </c>
      <c r="Z42" s="1">
        <v>4.6210000000000004</v>
      </c>
      <c r="AA42" s="1">
        <v>3.3340000000000001</v>
      </c>
      <c r="AB42" s="6">
        <f>VLOOKUP(A42,Feuil1!$F$5:$G$19,2)</f>
        <v>5.2344632383330272E-2</v>
      </c>
    </row>
    <row r="43" spans="1:28" x14ac:dyDescent="0.45">
      <c r="A43" t="s">
        <v>26</v>
      </c>
      <c r="B43" s="3">
        <v>2016</v>
      </c>
      <c r="C43" s="1">
        <v>66639</v>
      </c>
      <c r="D43" s="1">
        <v>163</v>
      </c>
      <c r="E43" s="1">
        <v>5408</v>
      </c>
      <c r="F43" s="1">
        <v>10689</v>
      </c>
      <c r="G43" s="1">
        <v>158499</v>
      </c>
      <c r="H43" s="1">
        <v>45447</v>
      </c>
      <c r="I43" s="1">
        <v>24807</v>
      </c>
      <c r="J43" s="1">
        <v>0.68712015500000001</v>
      </c>
      <c r="K43" s="1">
        <v>0.62565464699999995</v>
      </c>
      <c r="L43" s="1">
        <v>0.241270127</v>
      </c>
      <c r="O43" s="1"/>
      <c r="P43" s="1">
        <v>0.30530000000000002</v>
      </c>
      <c r="Q43" s="1">
        <v>0.65210000000000001</v>
      </c>
      <c r="R43" s="1">
        <v>5.4600000000000003E-2</v>
      </c>
      <c r="S43" s="1">
        <v>80.016999999999996</v>
      </c>
      <c r="T43" s="1">
        <v>6.7619999999999996</v>
      </c>
      <c r="U43" s="1">
        <v>6.7619999999999996</v>
      </c>
      <c r="V43" s="1">
        <v>19.158999999999999</v>
      </c>
      <c r="W43" s="1">
        <v>153090</v>
      </c>
      <c r="X43" s="1">
        <v>374.66199999999998</v>
      </c>
      <c r="Y43" s="1">
        <v>45.567</v>
      </c>
      <c r="Z43" s="1">
        <v>15.189</v>
      </c>
      <c r="AA43" s="1">
        <v>70.882000000000005</v>
      </c>
      <c r="AB43" s="6">
        <f>VLOOKUP(A43,Feuil1!$F$5:$G$19,2)</f>
        <v>0.12234733650931139</v>
      </c>
    </row>
    <row r="44" spans="1:28" x14ac:dyDescent="0.45">
      <c r="A44" t="s">
        <v>16</v>
      </c>
      <c r="B44" s="3">
        <v>2016</v>
      </c>
      <c r="C44" s="1">
        <v>3632</v>
      </c>
      <c r="D44" s="1">
        <v>504</v>
      </c>
      <c r="E44" s="1">
        <v>633</v>
      </c>
      <c r="F44" s="1">
        <v>1015</v>
      </c>
      <c r="G44" s="1">
        <v>21964</v>
      </c>
      <c r="H44" s="1">
        <v>13542</v>
      </c>
      <c r="I44" s="1">
        <v>-48</v>
      </c>
      <c r="J44" s="1">
        <v>0.71145374400000005</v>
      </c>
      <c r="K44" s="1">
        <v>0.37830396500000002</v>
      </c>
      <c r="L44" s="1">
        <v>0.47879955899999999</v>
      </c>
      <c r="O44" s="1">
        <v>12944</v>
      </c>
      <c r="P44" s="1"/>
      <c r="Q44" s="1"/>
      <c r="R44" s="1"/>
      <c r="S44" s="1">
        <v>5.242</v>
      </c>
      <c r="T44" s="1">
        <v>3.0110000000000001</v>
      </c>
      <c r="U44" s="1">
        <v>0.42899999999999999</v>
      </c>
      <c r="V44" s="1">
        <v>4.6520000000000001</v>
      </c>
      <c r="W44" s="1">
        <v>7994</v>
      </c>
      <c r="X44" s="1">
        <v>26.2</v>
      </c>
      <c r="Y44" s="1">
        <v>24.1</v>
      </c>
      <c r="Z44" s="1">
        <v>0.1</v>
      </c>
      <c r="AA44" s="1">
        <v>20.7</v>
      </c>
      <c r="AB44" s="6">
        <f>VLOOKUP(A44,Feuil1!$F$5:$G$19,2)</f>
        <v>0.10636900853578464</v>
      </c>
    </row>
    <row r="45" spans="1:28" x14ac:dyDescent="0.45">
      <c r="A45" t="s">
        <v>19</v>
      </c>
      <c r="B45" s="3">
        <v>2016</v>
      </c>
      <c r="C45" s="1">
        <v>19368.400000000001</v>
      </c>
      <c r="D45" s="1">
        <v>-1672.5</v>
      </c>
      <c r="E45" s="1">
        <v>1024</v>
      </c>
      <c r="F45" s="1">
        <v>1938</v>
      </c>
      <c r="G45" s="1">
        <v>38535.300000000003</v>
      </c>
      <c r="H45" s="1">
        <v>3216.2</v>
      </c>
      <c r="I45" s="1">
        <v>3645</v>
      </c>
      <c r="J45" s="1">
        <v>0.226975383</v>
      </c>
      <c r="K45" s="1">
        <v>0</v>
      </c>
      <c r="L45" s="1">
        <v>0</v>
      </c>
      <c r="O45" s="1"/>
      <c r="P45" s="1"/>
      <c r="Q45" s="1"/>
      <c r="R45" s="1"/>
      <c r="S45" s="1">
        <v>7.5090000000000003</v>
      </c>
      <c r="T45" s="1">
        <v>2.9329999999999998</v>
      </c>
      <c r="U45" s="1">
        <v>0.78600000000000003</v>
      </c>
      <c r="V45" s="1">
        <v>2.3540000000000001</v>
      </c>
      <c r="W45" s="1">
        <v>20409</v>
      </c>
      <c r="X45" s="1">
        <v>21.626000000000001</v>
      </c>
      <c r="Y45" s="1">
        <v>21.015999999999998</v>
      </c>
      <c r="Z45" s="1">
        <v>8.2569999999999997</v>
      </c>
      <c r="AA45" s="1">
        <v>1.722</v>
      </c>
      <c r="AB45" s="6">
        <f>VLOOKUP(A45,Feuil1!$F$5:$G$19,2)</f>
        <v>0.12772369031061659</v>
      </c>
    </row>
    <row r="46" spans="1:28" x14ac:dyDescent="0.45">
      <c r="A46" t="s">
        <v>20</v>
      </c>
      <c r="B46" s="3">
        <v>2016</v>
      </c>
      <c r="C46" s="1">
        <v>71203</v>
      </c>
      <c r="D46" s="1">
        <v>3011</v>
      </c>
      <c r="E46" s="1">
        <v>7514</v>
      </c>
      <c r="F46" s="1">
        <v>16414</v>
      </c>
      <c r="G46" s="1">
        <v>281640</v>
      </c>
      <c r="H46" s="1">
        <v>34438</v>
      </c>
      <c r="I46" s="1">
        <v>37425</v>
      </c>
      <c r="J46" s="1">
        <v>0.49423479300000001</v>
      </c>
      <c r="K46" s="1">
        <v>0.44491102900000001</v>
      </c>
      <c r="L46" s="1">
        <v>0.15881353300000001</v>
      </c>
      <c r="O46" s="1">
        <v>20420</v>
      </c>
      <c r="P46" s="1">
        <v>0.83099999999999996</v>
      </c>
      <c r="Q46" s="1">
        <v>0.155</v>
      </c>
      <c r="R46" s="1">
        <v>1.4E-2</v>
      </c>
      <c r="S46" s="1">
        <v>32</v>
      </c>
      <c r="T46" s="1">
        <v>75</v>
      </c>
      <c r="U46" s="1">
        <v>9</v>
      </c>
      <c r="V46" s="1">
        <v>21</v>
      </c>
      <c r="W46" s="1">
        <v>154845</v>
      </c>
      <c r="X46" s="1">
        <v>77</v>
      </c>
      <c r="Y46" s="1">
        <v>471</v>
      </c>
      <c r="Z46" s="1">
        <v>19</v>
      </c>
      <c r="AA46" s="1">
        <v>50.3</v>
      </c>
      <c r="AB46" s="6">
        <f>VLOOKUP(A46,Feuil1!$F$5:$G$19,2)</f>
        <v>9.4529970520799214E-2</v>
      </c>
    </row>
    <row r="47" spans="1:28" x14ac:dyDescent="0.45">
      <c r="A47" t="s">
        <v>21</v>
      </c>
      <c r="B47" s="3">
        <v>2016</v>
      </c>
      <c r="C47" s="1">
        <v>7536.3605429999998</v>
      </c>
      <c r="D47" s="1">
        <v>539.11994909999999</v>
      </c>
      <c r="E47" s="1">
        <v>965.94019560000004</v>
      </c>
      <c r="F47" s="1">
        <v>2148.4161159999999</v>
      </c>
      <c r="G47" s="1">
        <v>23347.187269999999</v>
      </c>
      <c r="H47" s="1">
        <v>9672.8349369999996</v>
      </c>
      <c r="I47" s="1">
        <v>5420.1332350000002</v>
      </c>
      <c r="J47" s="1">
        <v>0.85766452000000004</v>
      </c>
      <c r="K47" s="1">
        <v>0.259443223</v>
      </c>
      <c r="L47" s="1">
        <v>3.8042838000000002E-2</v>
      </c>
      <c r="O47" s="1"/>
      <c r="P47" s="1">
        <v>0.69779999999999998</v>
      </c>
      <c r="Q47" s="1">
        <v>9.7699999999999995E-2</v>
      </c>
      <c r="R47" s="1">
        <v>0.20449999999999999</v>
      </c>
      <c r="S47" s="1"/>
      <c r="T47" s="1">
        <v>4.29</v>
      </c>
      <c r="U47" s="1">
        <v>1.339</v>
      </c>
      <c r="V47" s="1">
        <v>1.9601999999999999</v>
      </c>
      <c r="W47" s="1">
        <v>26895</v>
      </c>
      <c r="X47" s="1">
        <v>30.689</v>
      </c>
      <c r="Y47" s="1">
        <v>24.103999999999999</v>
      </c>
      <c r="Z47" s="1">
        <v>3.992</v>
      </c>
      <c r="AA47" s="1">
        <v>2.347</v>
      </c>
      <c r="AB47" s="6">
        <f>VLOOKUP(A47,Feuil1!$F$5:$G$19,2)</f>
        <v>-5.2821364312454827E-3</v>
      </c>
    </row>
    <row r="48" spans="1:28" x14ac:dyDescent="0.45">
      <c r="A48" t="s">
        <v>28</v>
      </c>
      <c r="B48" s="3">
        <v>2016</v>
      </c>
      <c r="C48" s="1">
        <v>14595</v>
      </c>
      <c r="D48" s="1">
        <v>961</v>
      </c>
      <c r="E48" s="1">
        <v>2264</v>
      </c>
      <c r="F48" s="1">
        <v>3759</v>
      </c>
      <c r="G48" s="1">
        <v>44084</v>
      </c>
      <c r="H48" s="1">
        <v>13736</v>
      </c>
      <c r="I48" s="1">
        <v>15923</v>
      </c>
      <c r="J48" s="1">
        <v>0.89018081500000001</v>
      </c>
      <c r="K48" s="1">
        <v>0.47202925699999998</v>
      </c>
      <c r="L48" s="1">
        <v>0.204527441</v>
      </c>
      <c r="O48" s="1"/>
      <c r="P48" s="1"/>
      <c r="Q48" s="1"/>
      <c r="R48" s="1"/>
      <c r="S48" s="1">
        <v>6.8849999999999998</v>
      </c>
      <c r="T48" s="1">
        <v>0.156</v>
      </c>
      <c r="U48" s="1">
        <v>10.052</v>
      </c>
      <c r="V48" s="1">
        <v>8.1050000000000004</v>
      </c>
      <c r="W48" s="1">
        <v>11992</v>
      </c>
      <c r="X48" s="1">
        <v>23.062000000000001</v>
      </c>
      <c r="Y48" s="1">
        <v>1.2390000000000001</v>
      </c>
      <c r="Z48" s="1">
        <v>24.471</v>
      </c>
      <c r="AA48" s="1">
        <v>21.138999999999999</v>
      </c>
      <c r="AB48" s="6">
        <f>VLOOKUP(A48,Feuil1!$F$5:$G$19,2)</f>
        <v>0.1172746457642448</v>
      </c>
    </row>
    <row r="49" spans="1:28" x14ac:dyDescent="0.45">
      <c r="A49" t="s">
        <v>22</v>
      </c>
      <c r="B49" s="3">
        <v>2016</v>
      </c>
      <c r="C49" s="1">
        <v>14702.22316</v>
      </c>
      <c r="D49" s="1">
        <v>-2746.369541</v>
      </c>
      <c r="E49" s="1">
        <v>141.20504829999999</v>
      </c>
      <c r="F49" s="1">
        <v>2873.6336270000002</v>
      </c>
      <c r="G49" s="1">
        <v>42723.818270000003</v>
      </c>
      <c r="H49" s="1">
        <v>8748.1209290000006</v>
      </c>
      <c r="I49" s="1">
        <v>5295.2229829999997</v>
      </c>
      <c r="J49" s="1">
        <v>0.71114447400000003</v>
      </c>
      <c r="K49" s="1">
        <v>0.664293719</v>
      </c>
      <c r="L49" s="1">
        <v>6.2625711000000001E-2</v>
      </c>
      <c r="O49" s="1"/>
      <c r="P49" s="1">
        <v>1</v>
      </c>
      <c r="Q49" s="1"/>
      <c r="R49" s="1"/>
      <c r="S49" s="1">
        <v>9.6489999999999991</v>
      </c>
      <c r="T49" s="1">
        <v>7.2539999999999996</v>
      </c>
      <c r="U49" s="1">
        <v>2.4350000000000001</v>
      </c>
      <c r="V49" s="1">
        <v>11.728</v>
      </c>
      <c r="W49" s="1">
        <v>19935</v>
      </c>
      <c r="X49" s="1">
        <v>30.8</v>
      </c>
      <c r="Y49" s="1">
        <v>46.9</v>
      </c>
      <c r="Z49" s="1">
        <v>6.5</v>
      </c>
      <c r="AA49" s="1">
        <v>34.799999999999997</v>
      </c>
      <c r="AB49" s="6">
        <f>VLOOKUP(A49,Feuil1!$F$5:$G$19,2)</f>
        <v>0.1973716595593443</v>
      </c>
    </row>
    <row r="50" spans="1:28" x14ac:dyDescent="0.45">
      <c r="A50" t="s">
        <v>23</v>
      </c>
      <c r="B50" s="3">
        <v>2016</v>
      </c>
      <c r="C50" s="1">
        <v>29215</v>
      </c>
      <c r="D50" s="1">
        <v>2705</v>
      </c>
      <c r="E50" s="1">
        <v>4554</v>
      </c>
      <c r="F50" s="1">
        <v>7808</v>
      </c>
      <c r="G50" s="1">
        <v>106706</v>
      </c>
      <c r="H50" s="1">
        <v>40687</v>
      </c>
      <c r="I50" s="1">
        <v>26926</v>
      </c>
      <c r="J50" s="1">
        <v>0.72301119899999999</v>
      </c>
      <c r="K50" s="1">
        <v>0.52300000000000002</v>
      </c>
      <c r="L50" s="1">
        <v>0.19700000000000001</v>
      </c>
      <c r="O50" s="1">
        <v>30591</v>
      </c>
      <c r="P50" s="1"/>
      <c r="Q50" s="1"/>
      <c r="R50" s="1"/>
      <c r="S50" s="1">
        <v>17</v>
      </c>
      <c r="T50" s="1">
        <v>3</v>
      </c>
      <c r="U50" s="1">
        <v>14.2</v>
      </c>
      <c r="V50" s="1">
        <v>10.3</v>
      </c>
      <c r="W50" s="1">
        <v>30591</v>
      </c>
      <c r="X50" s="1">
        <v>58.6</v>
      </c>
      <c r="Y50" s="1">
        <v>24</v>
      </c>
      <c r="Z50" s="1">
        <v>33.4</v>
      </c>
      <c r="AA50" s="1">
        <v>20.5</v>
      </c>
      <c r="AB50" s="6">
        <f>VLOOKUP(A50,Feuil1!$F$5:$G$19,2)</f>
        <v>0</v>
      </c>
    </row>
    <row r="51" spans="1:28" x14ac:dyDescent="0.45">
      <c r="A51" t="s">
        <v>24</v>
      </c>
      <c r="B51" s="3">
        <v>2016</v>
      </c>
      <c r="C51" s="1">
        <v>45833</v>
      </c>
      <c r="D51" s="1">
        <v>-5484</v>
      </c>
      <c r="E51" s="1">
        <v>3082</v>
      </c>
      <c r="F51" s="1">
        <v>5403</v>
      </c>
      <c r="G51" s="1">
        <v>76402</v>
      </c>
      <c r="H51" s="1">
        <v>7990</v>
      </c>
      <c r="I51" s="1">
        <v>1659</v>
      </c>
      <c r="J51" s="1">
        <v>5.9673161000000002E-2</v>
      </c>
      <c r="K51" s="1">
        <v>0.405821133</v>
      </c>
      <c r="L51" s="1">
        <v>2.1098334999999999E-2</v>
      </c>
      <c r="O51" s="1">
        <v>7100</v>
      </c>
      <c r="P51" s="1">
        <v>0.13</v>
      </c>
      <c r="Q51" s="1">
        <v>0.86</v>
      </c>
      <c r="R51" s="1">
        <v>0.01</v>
      </c>
      <c r="S51" s="1">
        <v>38.338000000000001</v>
      </c>
      <c r="T51" s="1">
        <v>4.0540000000000003</v>
      </c>
      <c r="U51" s="1">
        <v>4.0190000000000001</v>
      </c>
      <c r="V51" s="1"/>
      <c r="W51" s="1">
        <v>58652</v>
      </c>
      <c r="X51" s="1">
        <v>171.1</v>
      </c>
      <c r="Y51" s="1">
        <v>30.1</v>
      </c>
      <c r="Z51" s="1">
        <v>11.1</v>
      </c>
      <c r="AA51" s="1">
        <v>3</v>
      </c>
      <c r="AB51" s="6">
        <f>VLOOKUP(A51,Feuil1!$F$5:$G$19,2)</f>
        <v>0.61833550065019505</v>
      </c>
    </row>
    <row r="52" spans="1:28" x14ac:dyDescent="0.45">
      <c r="A52" t="s">
        <v>25</v>
      </c>
      <c r="B52" s="3">
        <v>2016</v>
      </c>
      <c r="C52" s="1">
        <v>38173</v>
      </c>
      <c r="D52" s="1">
        <v>904</v>
      </c>
      <c r="E52" s="1">
        <v>3112</v>
      </c>
      <c r="F52" s="1">
        <v>4939</v>
      </c>
      <c r="G52" s="1">
        <v>63699</v>
      </c>
      <c r="H52" s="1">
        <v>1287</v>
      </c>
      <c r="I52" s="1">
        <v>26320</v>
      </c>
      <c r="J52" s="1">
        <v>0.15</v>
      </c>
      <c r="K52" s="1"/>
      <c r="L52" s="1"/>
      <c r="O52" s="1">
        <v>13100</v>
      </c>
      <c r="P52" s="1">
        <v>0.74</v>
      </c>
      <c r="Q52" s="1"/>
      <c r="R52" s="1">
        <v>0.26</v>
      </c>
      <c r="S52" s="1">
        <v>0</v>
      </c>
      <c r="T52" s="1">
        <v>4.4710000000000001</v>
      </c>
      <c r="U52" s="1">
        <v>4.1760000000000002</v>
      </c>
      <c r="V52" s="1">
        <v>0</v>
      </c>
      <c r="W52" s="1">
        <v>43138</v>
      </c>
      <c r="X52" s="1">
        <v>0</v>
      </c>
      <c r="Y52" s="1">
        <v>32.4</v>
      </c>
      <c r="Z52" s="1">
        <v>14</v>
      </c>
      <c r="AA52" s="1">
        <v>0</v>
      </c>
      <c r="AB52" s="6">
        <f>VLOOKUP(A52,Feuil1!$F$5:$G$19,2)</f>
        <v>0.14834710743801652</v>
      </c>
    </row>
    <row r="53" spans="1:28" x14ac:dyDescent="0.45">
      <c r="A53" t="s">
        <v>27</v>
      </c>
      <c r="B53" s="3">
        <v>2016</v>
      </c>
      <c r="C53" s="1">
        <v>70592</v>
      </c>
      <c r="D53" s="1">
        <v>3787</v>
      </c>
      <c r="E53" s="1">
        <v>8921</v>
      </c>
      <c r="F53" s="1">
        <v>15276</v>
      </c>
      <c r="G53" s="1">
        <v>155596</v>
      </c>
      <c r="H53" s="1">
        <v>52575</v>
      </c>
      <c r="I53" s="1">
        <v>37553</v>
      </c>
      <c r="J53" s="1">
        <v>0.59974218000000001</v>
      </c>
      <c r="K53" s="1">
        <v>0.476470422</v>
      </c>
      <c r="L53" s="1">
        <v>0.16888599300000001</v>
      </c>
      <c r="O53" s="1"/>
      <c r="P53" s="1"/>
      <c r="Q53" s="1"/>
      <c r="R53" s="1"/>
      <c r="S53" s="1">
        <v>43.454000000000001</v>
      </c>
      <c r="T53" s="1">
        <v>3.3180000000000001</v>
      </c>
      <c r="U53" s="1">
        <v>8.4819999999999993</v>
      </c>
      <c r="V53" s="1">
        <v>27.425000000000001</v>
      </c>
      <c r="W53" s="1">
        <v>62080</v>
      </c>
      <c r="X53" s="1">
        <v>142.39400000000001</v>
      </c>
      <c r="Y53" s="1">
        <v>33.444000000000003</v>
      </c>
      <c r="Z53" s="1">
        <v>25.943000000000001</v>
      </c>
      <c r="AA53" s="1">
        <v>60.030999999999999</v>
      </c>
      <c r="AB53" s="6">
        <f>VLOOKUP(A53,Feuil1!$F$5:$G$19,2)</f>
        <v>8.2747232585162991E-2</v>
      </c>
    </row>
    <row r="54" spans="1:28" x14ac:dyDescent="0.45">
      <c r="A54" t="s">
        <v>17</v>
      </c>
      <c r="B54" s="3">
        <v>2017</v>
      </c>
      <c r="C54" s="1">
        <v>31584.807369999999</v>
      </c>
      <c r="D54" s="1">
        <v>781.08237899999995</v>
      </c>
      <c r="E54" s="1">
        <v>1405.497441</v>
      </c>
      <c r="F54" s="1">
        <v>2414.2546259999999</v>
      </c>
      <c r="G54" s="1">
        <v>23294.964800000002</v>
      </c>
      <c r="H54" s="1">
        <v>3042.0509969999998</v>
      </c>
      <c r="I54" s="1">
        <v>2925.9593880000002</v>
      </c>
      <c r="J54" s="1"/>
      <c r="K54" s="1">
        <v>0.67180423600000005</v>
      </c>
      <c r="L54" s="1">
        <v>0.48614535399999997</v>
      </c>
      <c r="O54" s="1"/>
      <c r="P54" s="1"/>
      <c r="Q54" s="1"/>
      <c r="R54" s="1"/>
      <c r="S54" s="1"/>
      <c r="T54" s="1"/>
      <c r="U54" s="1"/>
      <c r="V54" s="1"/>
      <c r="W54" s="1">
        <v>34901</v>
      </c>
      <c r="X54" s="1">
        <v>7.5149999999999997</v>
      </c>
      <c r="Y54" s="1">
        <v>12.776999999999999</v>
      </c>
      <c r="Z54" s="1">
        <v>0.53900000000000003</v>
      </c>
      <c r="AA54" s="1">
        <v>0</v>
      </c>
      <c r="AB54" s="6">
        <f>VLOOKUP(A54,Feuil1!$F$5:$G$19,2)</f>
        <v>-5.2821364312454827E-3</v>
      </c>
    </row>
    <row r="55" spans="1:28" x14ac:dyDescent="0.45">
      <c r="A55" t="s">
        <v>26</v>
      </c>
      <c r="B55" s="3">
        <v>2017</v>
      </c>
      <c r="C55" s="1">
        <v>59576</v>
      </c>
      <c r="D55" s="1">
        <v>2108</v>
      </c>
      <c r="E55" s="1">
        <v>5172</v>
      </c>
      <c r="F55" s="1">
        <v>9199</v>
      </c>
      <c r="G55" s="1">
        <v>150141</v>
      </c>
      <c r="H55" s="1">
        <v>42122</v>
      </c>
      <c r="I55" s="1">
        <v>22520</v>
      </c>
      <c r="J55" s="1">
        <v>0.32998187200000001</v>
      </c>
      <c r="K55" s="1">
        <v>0.57615482699999998</v>
      </c>
      <c r="L55" s="1">
        <v>0.236168927</v>
      </c>
      <c r="O55" s="1"/>
      <c r="P55" s="1">
        <v>0.25979999999999998</v>
      </c>
      <c r="Q55" s="1">
        <v>0.67600000000000005</v>
      </c>
      <c r="R55" s="1">
        <v>6.4199999999999993E-2</v>
      </c>
      <c r="S55" s="1">
        <v>68.808999999999997</v>
      </c>
      <c r="T55" s="1">
        <v>6.1619999999999999</v>
      </c>
      <c r="U55" s="1">
        <v>8.2159999999999993</v>
      </c>
      <c r="V55" s="1">
        <v>19.513000000000002</v>
      </c>
      <c r="W55" s="1">
        <v>150000</v>
      </c>
      <c r="X55" s="1">
        <v>328.5</v>
      </c>
      <c r="Y55" s="1">
        <v>45</v>
      </c>
      <c r="Z55" s="1">
        <v>13.5</v>
      </c>
      <c r="AA55" s="1">
        <v>63</v>
      </c>
      <c r="AB55" s="6">
        <f>VLOOKUP(A55,Feuil1!$F$5:$G$19,2)</f>
        <v>0.12234733650931139</v>
      </c>
    </row>
    <row r="56" spans="1:28" x14ac:dyDescent="0.45">
      <c r="A56" t="s">
        <v>18</v>
      </c>
      <c r="B56" s="3">
        <v>2017</v>
      </c>
      <c r="C56" s="1">
        <v>35195.369120000003</v>
      </c>
      <c r="D56" s="1">
        <v>1224.033858</v>
      </c>
      <c r="E56" s="1">
        <v>2061.1332560000001</v>
      </c>
      <c r="F56" s="1">
        <v>3687.8810159999998</v>
      </c>
      <c r="G56" s="1">
        <v>26494.675910000002</v>
      </c>
      <c r="H56" s="1">
        <v>5969.0912749999998</v>
      </c>
      <c r="I56" s="1">
        <v>9561.9359540000005</v>
      </c>
      <c r="J56" s="1">
        <v>1.5967258000000002E-2</v>
      </c>
      <c r="K56" s="1">
        <v>2.6221402000000001E-2</v>
      </c>
      <c r="L56" s="1">
        <v>0</v>
      </c>
      <c r="O56" s="1"/>
      <c r="P56" s="1"/>
      <c r="Q56" s="1"/>
      <c r="R56" s="1"/>
      <c r="S56" s="1">
        <v>7.3339999999999996</v>
      </c>
      <c r="T56" s="1">
        <v>0</v>
      </c>
      <c r="U56" s="1">
        <v>2.3759999999999999</v>
      </c>
      <c r="V56" s="1">
        <v>1.45</v>
      </c>
      <c r="W56" s="1">
        <v>20785</v>
      </c>
      <c r="X56" s="1">
        <v>23.67</v>
      </c>
      <c r="Y56" s="1">
        <v>0</v>
      </c>
      <c r="Z56" s="1">
        <v>5.9980000000000002</v>
      </c>
      <c r="AA56" s="1">
        <v>3.43</v>
      </c>
      <c r="AB56" s="6">
        <f>VLOOKUP(A56,Feuil1!$F$5:$G$19,2)</f>
        <v>5.2344632383330272E-2</v>
      </c>
    </row>
    <row r="57" spans="1:28" x14ac:dyDescent="0.45">
      <c r="A57" t="s">
        <v>20</v>
      </c>
      <c r="B57" s="3">
        <v>2017</v>
      </c>
      <c r="C57" s="1">
        <v>64892</v>
      </c>
      <c r="D57" s="1">
        <v>3289</v>
      </c>
      <c r="E57" s="1">
        <v>5637</v>
      </c>
      <c r="F57" s="1">
        <v>13742</v>
      </c>
      <c r="G57" s="1">
        <v>271842</v>
      </c>
      <c r="H57" s="1">
        <v>41357</v>
      </c>
      <c r="I57" s="1">
        <v>33015</v>
      </c>
      <c r="J57" s="1">
        <v>0.54869629499999995</v>
      </c>
      <c r="K57" s="1">
        <v>0.45255193199999999</v>
      </c>
      <c r="L57" s="1">
        <v>0.16593725000000001</v>
      </c>
      <c r="O57" s="1">
        <v>30500</v>
      </c>
      <c r="P57" s="1">
        <v>0.83499999999999996</v>
      </c>
      <c r="Q57" s="1">
        <v>0.15179999999999999</v>
      </c>
      <c r="R57" s="1">
        <v>1.32E-2</v>
      </c>
      <c r="S57" s="1">
        <v>25.6</v>
      </c>
      <c r="T57" s="1">
        <v>72.900000000000006</v>
      </c>
      <c r="U57" s="1">
        <v>9.4</v>
      </c>
      <c r="V57" s="1">
        <v>21.5</v>
      </c>
      <c r="W57" s="1">
        <v>152033</v>
      </c>
      <c r="X57" s="1">
        <v>77.099999999999994</v>
      </c>
      <c r="Y57" s="1">
        <v>447.7</v>
      </c>
      <c r="Z57" s="1">
        <v>15.7</v>
      </c>
      <c r="AA57" s="1">
        <v>40.299999999999997</v>
      </c>
      <c r="AB57" s="6">
        <f>VLOOKUP(A57,Feuil1!$F$5:$G$19,2)</f>
        <v>9.4529970520799214E-2</v>
      </c>
    </row>
    <row r="58" spans="1:28" x14ac:dyDescent="0.45">
      <c r="A58" t="s">
        <v>19</v>
      </c>
      <c r="B58" s="3">
        <v>2017</v>
      </c>
      <c r="C58" s="1">
        <v>21974</v>
      </c>
      <c r="D58" s="1">
        <v>2176.3000000000002</v>
      </c>
      <c r="E58" s="1">
        <v>998.8</v>
      </c>
      <c r="F58" s="1">
        <v>2113</v>
      </c>
      <c r="G58" s="1">
        <v>38784.9</v>
      </c>
      <c r="H58" s="1">
        <v>5862.9</v>
      </c>
      <c r="I58" s="1">
        <v>2917.8</v>
      </c>
      <c r="J58" s="1">
        <v>0.19043642499999999</v>
      </c>
      <c r="K58" s="1">
        <v>0</v>
      </c>
      <c r="L58" s="1">
        <v>0</v>
      </c>
      <c r="O58" s="1"/>
      <c r="P58" s="1"/>
      <c r="Q58" s="1"/>
      <c r="R58" s="1"/>
      <c r="S58" s="1">
        <v>6.1779999999999999</v>
      </c>
      <c r="T58" s="1">
        <v>2.9329999999999998</v>
      </c>
      <c r="U58" s="1">
        <v>3.351</v>
      </c>
      <c r="V58" s="1">
        <v>0.54500000000000004</v>
      </c>
      <c r="W58" s="1">
        <v>21352</v>
      </c>
      <c r="X58" s="1">
        <v>22.651</v>
      </c>
      <c r="Y58" s="1">
        <v>17.532</v>
      </c>
      <c r="Z58" s="1">
        <v>8.2899999999999991</v>
      </c>
      <c r="AA58" s="1">
        <v>1.7210000000000001</v>
      </c>
      <c r="AB58" s="6">
        <f>VLOOKUP(A58,Feuil1!$F$5:$G$19,2)</f>
        <v>0.12772369031061659</v>
      </c>
    </row>
    <row r="59" spans="1:28" x14ac:dyDescent="0.45">
      <c r="A59" t="s">
        <v>16</v>
      </c>
      <c r="B59" s="3">
        <v>2017</v>
      </c>
      <c r="C59" s="1">
        <v>4520</v>
      </c>
      <c r="D59" s="1">
        <v>882</v>
      </c>
      <c r="E59" s="1">
        <v>1158</v>
      </c>
      <c r="F59" s="1">
        <v>1275</v>
      </c>
      <c r="G59" s="1">
        <v>21753</v>
      </c>
      <c r="H59" s="1">
        <v>13287</v>
      </c>
      <c r="I59" s="1">
        <v>988</v>
      </c>
      <c r="J59" s="1">
        <v>0.68163716799999996</v>
      </c>
      <c r="K59" s="1">
        <v>0.37455752199999998</v>
      </c>
      <c r="L59" s="1"/>
      <c r="O59" s="1">
        <v>14658</v>
      </c>
      <c r="P59" s="1">
        <v>0.50760000000000005</v>
      </c>
      <c r="Q59" s="1">
        <v>0.1406</v>
      </c>
      <c r="R59" s="1">
        <v>0.3518</v>
      </c>
      <c r="S59" s="1">
        <v>5.5339999999999998</v>
      </c>
      <c r="T59" s="1">
        <v>2.8140000000000001</v>
      </c>
      <c r="U59" s="1">
        <v>0.70299999999999996</v>
      </c>
      <c r="V59" s="1">
        <v>4.6719999999999997</v>
      </c>
      <c r="W59" s="1">
        <v>8785</v>
      </c>
      <c r="X59" s="1">
        <v>28</v>
      </c>
      <c r="Y59" s="1">
        <v>23</v>
      </c>
      <c r="Z59" s="1">
        <v>1.2</v>
      </c>
      <c r="AA59" s="1">
        <v>20.7</v>
      </c>
      <c r="AB59" s="6">
        <f>VLOOKUP(A59,Feuil1!$F$5:$G$19,2)</f>
        <v>0.10636900853578464</v>
      </c>
    </row>
    <row r="60" spans="1:28" x14ac:dyDescent="0.45">
      <c r="A60" t="s">
        <v>21</v>
      </c>
      <c r="B60" s="3">
        <v>2017</v>
      </c>
      <c r="C60" s="1">
        <v>7586.2222019999999</v>
      </c>
      <c r="D60" s="1">
        <v>7586.2222019999999</v>
      </c>
      <c r="E60" s="1">
        <v>7586.2222019999999</v>
      </c>
      <c r="F60" s="1">
        <v>7586.2222019999999</v>
      </c>
      <c r="G60" s="1">
        <v>7586.2222019999999</v>
      </c>
      <c r="H60" s="1">
        <v>7586.2222019999999</v>
      </c>
      <c r="I60" s="1">
        <v>7586.2222019999999</v>
      </c>
      <c r="J60" s="1">
        <v>0.50757708700000004</v>
      </c>
      <c r="K60" s="1">
        <v>0.29488229700000002</v>
      </c>
      <c r="L60" s="1">
        <v>4.2337096999999997E-2</v>
      </c>
      <c r="O60" s="1"/>
      <c r="P60" s="1">
        <v>0.69779999999999998</v>
      </c>
      <c r="Q60" s="1">
        <v>0.1016</v>
      </c>
      <c r="R60" s="1">
        <v>0.20599999999999999</v>
      </c>
      <c r="S60" s="1">
        <v>7.71</v>
      </c>
      <c r="T60" s="1">
        <v>4.29</v>
      </c>
      <c r="U60" s="1">
        <v>0.879</v>
      </c>
      <c r="V60" s="1">
        <v>1.9850000000000001</v>
      </c>
      <c r="W60" s="1">
        <v>29837</v>
      </c>
      <c r="X60" s="1">
        <v>27.878</v>
      </c>
      <c r="Y60" s="1">
        <v>28.338999999999999</v>
      </c>
      <c r="Z60" s="1">
        <v>2</v>
      </c>
      <c r="AA60" s="1">
        <v>3.6</v>
      </c>
      <c r="AB60" s="6">
        <f>VLOOKUP(A60,Feuil1!$F$5:$G$19,2)</f>
        <v>-5.2821364312454827E-3</v>
      </c>
    </row>
    <row r="61" spans="1:28" x14ac:dyDescent="0.45">
      <c r="A61" t="s">
        <v>28</v>
      </c>
      <c r="B61" s="3">
        <v>2017</v>
      </c>
      <c r="C61" s="1">
        <v>15745.986999999999</v>
      </c>
      <c r="D61" s="1">
        <v>1113</v>
      </c>
      <c r="E61" s="1">
        <v>2318</v>
      </c>
      <c r="F61" s="1">
        <v>3990</v>
      </c>
      <c r="G61" s="1">
        <v>42075.048999999999</v>
      </c>
      <c r="H61" s="1">
        <v>13480.26</v>
      </c>
      <c r="I61" s="1">
        <v>13902</v>
      </c>
      <c r="J61" s="1">
        <v>0.90998588999999996</v>
      </c>
      <c r="K61" s="1">
        <v>0.50897114300000001</v>
      </c>
      <c r="L61" s="1">
        <v>0.27905484699999999</v>
      </c>
      <c r="O61" s="1"/>
      <c r="P61" s="1"/>
      <c r="Q61" s="1"/>
      <c r="R61" s="1"/>
      <c r="S61" s="1">
        <v>6.4969999999999999</v>
      </c>
      <c r="T61" s="1">
        <v>0.156</v>
      </c>
      <c r="U61" s="1">
        <v>11.23</v>
      </c>
      <c r="V61" s="1">
        <v>8.8699999999999992</v>
      </c>
      <c r="W61" s="1">
        <v>11657</v>
      </c>
      <c r="X61" s="1">
        <v>29.719000000000001</v>
      </c>
      <c r="Y61" s="1">
        <v>1.236</v>
      </c>
      <c r="Z61" s="1">
        <v>27.859000000000002</v>
      </c>
      <c r="AA61" s="1">
        <v>11.186</v>
      </c>
      <c r="AB61" s="6">
        <f>VLOOKUP(A61,Feuil1!$F$5:$G$19,2)</f>
        <v>0.1172746457642448</v>
      </c>
    </row>
    <row r="62" spans="1:28" x14ac:dyDescent="0.45">
      <c r="A62" t="s">
        <v>22</v>
      </c>
      <c r="B62" s="3">
        <v>2017</v>
      </c>
      <c r="C62" s="1">
        <v>13190.08942</v>
      </c>
      <c r="D62" s="1">
        <v>925.84638210000003</v>
      </c>
      <c r="E62" s="1">
        <v>1808.3486270000001</v>
      </c>
      <c r="F62" s="1">
        <v>3358.096763</v>
      </c>
      <c r="G62" s="1">
        <v>39688.415500000003</v>
      </c>
      <c r="H62" s="1">
        <v>8956.7933570000005</v>
      </c>
      <c r="I62" s="1">
        <v>5748.598258</v>
      </c>
      <c r="J62" s="1">
        <v>0.213131134</v>
      </c>
      <c r="K62" s="1">
        <v>0.679056204</v>
      </c>
      <c r="L62" s="1">
        <v>4.4118299999999999E-2</v>
      </c>
      <c r="O62" s="1"/>
      <c r="P62" s="1"/>
      <c r="Q62" s="1"/>
      <c r="R62" s="1"/>
      <c r="S62" s="1">
        <v>9.5540000000000003</v>
      </c>
      <c r="T62" s="1">
        <v>7.226</v>
      </c>
      <c r="U62" s="1">
        <v>2.7320000000000002</v>
      </c>
      <c r="V62" s="1">
        <v>11.686999999999999</v>
      </c>
      <c r="W62" s="1">
        <v>20041</v>
      </c>
      <c r="X62" s="1">
        <v>31.9</v>
      </c>
      <c r="Y62" s="1">
        <v>51.9</v>
      </c>
      <c r="Z62" s="1">
        <v>8</v>
      </c>
      <c r="AA62" s="1">
        <v>35.6</v>
      </c>
      <c r="AB62" s="6">
        <f>VLOOKUP(A62,Feuil1!$F$5:$G$19,2)</f>
        <v>0.1973716595593443</v>
      </c>
    </row>
    <row r="63" spans="1:28" x14ac:dyDescent="0.45">
      <c r="A63" t="s">
        <v>23</v>
      </c>
      <c r="B63" s="3">
        <v>2017</v>
      </c>
      <c r="C63" s="1">
        <v>31263</v>
      </c>
      <c r="D63" s="1">
        <v>2804</v>
      </c>
      <c r="E63" s="1">
        <v>2712.6</v>
      </c>
      <c r="F63" s="1">
        <v>7318.7</v>
      </c>
      <c r="G63" s="1">
        <v>110688.6</v>
      </c>
      <c r="H63" s="1">
        <v>42733.2</v>
      </c>
      <c r="I63" s="1">
        <v>29784.799999999999</v>
      </c>
      <c r="J63" s="1">
        <v>0.95969676599999998</v>
      </c>
      <c r="K63" s="1">
        <v>0.54909029799999998</v>
      </c>
      <c r="L63" s="1">
        <v>0.54909029799999998</v>
      </c>
      <c r="O63" s="1">
        <v>40811</v>
      </c>
      <c r="P63" s="1"/>
      <c r="Q63" s="1"/>
      <c r="R63" s="1"/>
      <c r="S63" s="1">
        <v>16.158000000000001</v>
      </c>
      <c r="T63" s="1">
        <v>3.177</v>
      </c>
      <c r="U63" s="1">
        <v>16.295999999999999</v>
      </c>
      <c r="V63" s="1">
        <v>12.816000000000001</v>
      </c>
      <c r="W63" s="1">
        <v>34255</v>
      </c>
      <c r="X63" s="1">
        <v>63.639000000000003</v>
      </c>
      <c r="Y63" s="1">
        <v>23.248999999999999</v>
      </c>
      <c r="Z63" s="1">
        <v>35.030999999999999</v>
      </c>
      <c r="AA63" s="1">
        <v>15.714</v>
      </c>
      <c r="AB63" s="6">
        <f>VLOOKUP(A63,Feuil1!$F$5:$G$19,2)</f>
        <v>0</v>
      </c>
    </row>
    <row r="64" spans="1:28" x14ac:dyDescent="0.45">
      <c r="A64" t="s">
        <v>31</v>
      </c>
      <c r="B64" s="3">
        <v>2017</v>
      </c>
      <c r="C64" s="1">
        <v>43139</v>
      </c>
      <c r="D64" s="1">
        <v>1149</v>
      </c>
      <c r="E64" s="1">
        <v>2816</v>
      </c>
      <c r="F64" s="1">
        <v>4331</v>
      </c>
      <c r="G64" s="1">
        <v>46814</v>
      </c>
      <c r="H64" s="1">
        <v>11252</v>
      </c>
      <c r="I64" s="1">
        <v>12292</v>
      </c>
      <c r="J64" s="1">
        <v>0.74338765386309369</v>
      </c>
      <c r="K64" s="1">
        <v>0.38508078536822832</v>
      </c>
      <c r="L64" s="1">
        <v>3.5466747027052088E-3</v>
      </c>
      <c r="O64" s="1"/>
      <c r="P64" s="1"/>
      <c r="Q64" s="1"/>
      <c r="R64" s="1"/>
      <c r="S64" s="1">
        <v>0.76400000000000001</v>
      </c>
      <c r="T64" s="1">
        <v>0</v>
      </c>
      <c r="U64" s="1">
        <v>3.0620000000000003</v>
      </c>
      <c r="V64" s="1">
        <v>0.51</v>
      </c>
      <c r="W64" s="1">
        <v>42393</v>
      </c>
      <c r="X64" s="1">
        <v>1.1000000000000001</v>
      </c>
      <c r="Y64" s="1">
        <v>0</v>
      </c>
      <c r="Z64" s="1">
        <v>7.7</v>
      </c>
      <c r="AA64" s="1">
        <v>2.5</v>
      </c>
      <c r="AB64" s="6">
        <f>VLOOKUP(A64,Feuil1!$F$5:$G$19,2)</f>
        <v>-7.8194532739987291E-2</v>
      </c>
    </row>
    <row r="65" spans="1:28" x14ac:dyDescent="0.45">
      <c r="A65" t="s">
        <v>25</v>
      </c>
      <c r="B65" s="3">
        <v>2017</v>
      </c>
      <c r="C65" s="1">
        <v>37965</v>
      </c>
      <c r="D65" s="1">
        <v>1427</v>
      </c>
      <c r="E65" s="1">
        <v>3072</v>
      </c>
      <c r="F65" s="1">
        <v>4955</v>
      </c>
      <c r="G65" s="1">
        <v>55950</v>
      </c>
      <c r="H65" s="1">
        <v>6708</v>
      </c>
      <c r="I65" s="1">
        <v>19248</v>
      </c>
      <c r="J65" s="1">
        <v>8.3998420000000004E-2</v>
      </c>
      <c r="K65" s="1"/>
      <c r="L65" s="1"/>
      <c r="O65" s="1"/>
      <c r="P65" s="1">
        <v>0.78</v>
      </c>
      <c r="Q65" s="1"/>
      <c r="R65" s="1">
        <v>0.22</v>
      </c>
      <c r="S65" s="1">
        <v>0</v>
      </c>
      <c r="T65" s="1">
        <v>4.1500000000000004</v>
      </c>
      <c r="U65" s="1">
        <v>4.7160000000000002</v>
      </c>
      <c r="V65" s="1">
        <v>0</v>
      </c>
      <c r="W65" s="1">
        <v>42699</v>
      </c>
      <c r="X65" s="1">
        <v>0</v>
      </c>
      <c r="Y65" s="1">
        <v>27.5</v>
      </c>
      <c r="Z65" s="1">
        <v>12.5</v>
      </c>
      <c r="AA65" s="1">
        <v>0</v>
      </c>
      <c r="AB65" s="6">
        <f>VLOOKUP(A65,Feuil1!$F$5:$G$19,2)</f>
        <v>0.14834710743801652</v>
      </c>
    </row>
    <row r="66" spans="1:28" x14ac:dyDescent="0.45">
      <c r="A66" t="s">
        <v>27</v>
      </c>
      <c r="B66" s="3">
        <v>2017</v>
      </c>
      <c r="C66" s="1">
        <v>74639</v>
      </c>
      <c r="D66" s="1">
        <v>5329</v>
      </c>
      <c r="E66" s="1">
        <v>9792</v>
      </c>
      <c r="F66" s="1">
        <v>15653</v>
      </c>
      <c r="G66" s="1">
        <v>155641</v>
      </c>
      <c r="H66" s="1">
        <v>52161</v>
      </c>
      <c r="I66" s="1">
        <v>37410</v>
      </c>
      <c r="J66" s="1">
        <v>0.58190758200000003</v>
      </c>
      <c r="K66" s="1">
        <v>0.480419084</v>
      </c>
      <c r="L66" s="1">
        <v>0.193424349</v>
      </c>
      <c r="O66" s="1"/>
      <c r="P66" s="1"/>
      <c r="Q66" s="1"/>
      <c r="R66" s="1"/>
      <c r="S66" s="1">
        <v>43.293999999999997</v>
      </c>
      <c r="T66" s="1">
        <v>3.3180000000000001</v>
      </c>
      <c r="U66" s="1">
        <v>10.506</v>
      </c>
      <c r="V66" s="1">
        <v>27.798999999999999</v>
      </c>
      <c r="W66" s="1">
        <v>62900</v>
      </c>
      <c r="X66" s="1">
        <v>141.733</v>
      </c>
      <c r="Y66" s="1">
        <v>26.448</v>
      </c>
      <c r="Z66" s="1">
        <v>26.332000000000001</v>
      </c>
      <c r="AA66" s="1">
        <v>55.363</v>
      </c>
      <c r="AB66" s="6">
        <f>VLOOKUP(A66,Feuil1!$F$5:$G$19,2)</f>
        <v>8.2747232585162991E-2</v>
      </c>
    </row>
    <row r="67" spans="1:28" x14ac:dyDescent="0.45">
      <c r="A67" t="s">
        <v>24</v>
      </c>
      <c r="B67" s="3">
        <v>2017</v>
      </c>
      <c r="C67" s="1">
        <v>13822</v>
      </c>
      <c r="D67" s="1">
        <v>1900</v>
      </c>
      <c r="E67" s="1">
        <v>1170</v>
      </c>
      <c r="F67" s="1">
        <v>2149</v>
      </c>
      <c r="G67" s="1">
        <v>69059</v>
      </c>
      <c r="H67" s="1">
        <v>11991</v>
      </c>
      <c r="I67" s="1">
        <v>6301</v>
      </c>
      <c r="J67" s="1">
        <v>0.157864274</v>
      </c>
      <c r="K67" s="1"/>
      <c r="L67" s="1"/>
      <c r="O67" s="1"/>
      <c r="P67" s="1">
        <v>0.86</v>
      </c>
      <c r="Q67" s="1">
        <v>0.13</v>
      </c>
      <c r="R67" s="1">
        <v>0.01</v>
      </c>
      <c r="S67" s="1">
        <v>33.395000000000003</v>
      </c>
      <c r="T67" s="1">
        <v>2.77</v>
      </c>
      <c r="U67" s="1">
        <v>4.1479999999999997</v>
      </c>
      <c r="V67" s="1">
        <v>2.956</v>
      </c>
      <c r="W67" s="1">
        <v>59547</v>
      </c>
      <c r="X67" s="1">
        <v>156.4</v>
      </c>
      <c r="Y67" s="1">
        <v>30.3</v>
      </c>
      <c r="Z67" s="1">
        <v>10.4</v>
      </c>
      <c r="AA67" s="1">
        <v>3.1</v>
      </c>
      <c r="AB67" s="6">
        <f>VLOOKUP(A67,Feuil1!$F$5:$G$19,2)</f>
        <v>0.61833550065019505</v>
      </c>
    </row>
    <row r="68" spans="1:28" x14ac:dyDescent="0.45">
      <c r="A68" t="s">
        <v>17</v>
      </c>
      <c r="B68" s="3">
        <v>2018</v>
      </c>
      <c r="C68" s="1">
        <v>32943.24</v>
      </c>
      <c r="D68" s="1">
        <v>699.90520000000004</v>
      </c>
      <c r="E68" s="1">
        <v>1544.0064</v>
      </c>
      <c r="F68" s="1">
        <v>2493.4816000000001</v>
      </c>
      <c r="G68" s="1">
        <v>23064.954000000002</v>
      </c>
      <c r="H68" s="1">
        <v>2770.2179999999998</v>
      </c>
      <c r="I68" s="1">
        <v>2531.232</v>
      </c>
      <c r="J68" s="1"/>
      <c r="K68" s="1">
        <v>0.65</v>
      </c>
      <c r="L68" s="1">
        <v>0.38</v>
      </c>
      <c r="O68" s="1"/>
      <c r="P68" s="1"/>
      <c r="Q68" s="1"/>
      <c r="R68" s="1"/>
      <c r="S68" s="1"/>
      <c r="T68" s="1"/>
      <c r="U68" s="1"/>
      <c r="V68" s="1"/>
      <c r="W68" s="1"/>
      <c r="X68" s="1">
        <v>2.2999999999999998</v>
      </c>
      <c r="Y68" s="1">
        <v>11.82</v>
      </c>
      <c r="Z68" s="1">
        <v>0</v>
      </c>
      <c r="AA68" s="1">
        <v>0</v>
      </c>
      <c r="AB68" s="6">
        <f>VLOOKUP(A68,Feuil1!$F$5:$G$19,2)</f>
        <v>-5.2821364312454827E-3</v>
      </c>
    </row>
    <row r="69" spans="1:28" x14ac:dyDescent="0.45">
      <c r="A69" t="s">
        <v>21</v>
      </c>
      <c r="B69" s="3">
        <v>2018</v>
      </c>
      <c r="C69" s="1">
        <v>7193.2768663419129</v>
      </c>
      <c r="D69" s="1">
        <v>409.40454612593959</v>
      </c>
      <c r="E69" s="1">
        <v>770.42137399070862</v>
      </c>
      <c r="F69" s="1">
        <v>1931.4146849855636</v>
      </c>
      <c r="G69" s="1">
        <v>27501.282848701601</v>
      </c>
      <c r="H69" s="1">
        <v>9301.8581869071677</v>
      </c>
      <c r="I69" s="1">
        <v>5880.1897061110249</v>
      </c>
      <c r="J69" s="1">
        <v>0.55884999403748792</v>
      </c>
      <c r="K69" s="1">
        <v>0.30332924991598276</v>
      </c>
      <c r="L69" s="1">
        <v>3.0685255249720846E-2</v>
      </c>
      <c r="O69" s="1"/>
      <c r="P69" s="1">
        <v>0.69779999999999998</v>
      </c>
      <c r="Q69" s="1">
        <v>0.10290000000000001</v>
      </c>
      <c r="R69" s="1">
        <v>0.19924999999999998</v>
      </c>
      <c r="S69" s="1">
        <v>7.8109999999999999</v>
      </c>
      <c r="T69" s="1">
        <v>4.29</v>
      </c>
      <c r="U69" s="1">
        <v>0.873</v>
      </c>
      <c r="V69" s="1">
        <v>1.9850000000000001</v>
      </c>
      <c r="W69" s="1">
        <v>31385</v>
      </c>
      <c r="X69" s="1">
        <v>27.7</v>
      </c>
      <c r="Y69" s="1">
        <v>29.9</v>
      </c>
      <c r="Z69" s="1">
        <v>1.8</v>
      </c>
      <c r="AA69" s="1">
        <v>3.7</v>
      </c>
      <c r="AB69" s="6">
        <f>VLOOKUP(A69,Feuil1!$F$5:$G$19,2)</f>
        <v>-5.2821364312454827E-3</v>
      </c>
    </row>
    <row r="70" spans="1:28" x14ac:dyDescent="0.45">
      <c r="A70" t="s">
        <v>18</v>
      </c>
      <c r="B70" s="3">
        <v>2018</v>
      </c>
      <c r="C70" s="1">
        <v>8132.21072</v>
      </c>
      <c r="D70" s="1">
        <v>1583.9376</v>
      </c>
      <c r="E70" s="1">
        <v>1020.35308</v>
      </c>
      <c r="F70" s="1">
        <v>2077.75344</v>
      </c>
      <c r="G70" s="1">
        <v>28433.723999999998</v>
      </c>
      <c r="H70" s="1">
        <v>6553.9386000000004</v>
      </c>
      <c r="I70" s="1">
        <v>10529.97</v>
      </c>
      <c r="J70" s="1">
        <v>6.7509317999999999E-2</v>
      </c>
      <c r="K70" s="1">
        <v>2.5999999999999999E-2</v>
      </c>
      <c r="L70" s="1">
        <v>0</v>
      </c>
      <c r="O70" s="1">
        <v>11505</v>
      </c>
      <c r="P70" s="1"/>
      <c r="Q70" s="1"/>
      <c r="R70" s="1"/>
      <c r="S70" s="1">
        <v>6.7649999999999997</v>
      </c>
      <c r="T70" s="1">
        <v>0</v>
      </c>
      <c r="U70" s="1">
        <v>2.617</v>
      </c>
      <c r="V70" s="1">
        <v>1.1499999999999999</v>
      </c>
      <c r="W70" s="1">
        <v>20000</v>
      </c>
      <c r="X70" s="1">
        <v>21.056000000000001</v>
      </c>
      <c r="Y70" s="1">
        <v>0</v>
      </c>
      <c r="Z70" s="1">
        <v>6.4610000000000003</v>
      </c>
      <c r="AA70" s="1">
        <v>3.3180000000000001</v>
      </c>
      <c r="AB70" s="6">
        <f>VLOOKUP(A70,Feuil1!$F$5:$G$19,2)</f>
        <v>5.2344632383330272E-2</v>
      </c>
    </row>
    <row r="71" spans="1:28" x14ac:dyDescent="0.45">
      <c r="A71" t="s">
        <v>26</v>
      </c>
      <c r="B71" s="3">
        <v>2018</v>
      </c>
      <c r="C71" s="1">
        <v>60596</v>
      </c>
      <c r="D71" s="1">
        <v>1629</v>
      </c>
      <c r="E71" s="1">
        <v>5126</v>
      </c>
      <c r="F71" s="1">
        <v>9236</v>
      </c>
      <c r="G71" s="1">
        <v>153702</v>
      </c>
      <c r="H71" s="1">
        <v>40941</v>
      </c>
      <c r="I71" s="1">
        <v>21102</v>
      </c>
      <c r="J71" s="1">
        <v>0.34084758100000001</v>
      </c>
      <c r="K71" s="1">
        <v>0.58769555699999998</v>
      </c>
      <c r="L71" s="1">
        <v>0.222489933</v>
      </c>
      <c r="O71" s="1"/>
      <c r="P71" s="1">
        <v>0.25469999999999998</v>
      </c>
      <c r="Q71" s="1">
        <v>0.69579999999999997</v>
      </c>
      <c r="R71" s="1">
        <v>4.9500000000000002E-2</v>
      </c>
      <c r="S71" s="1">
        <v>69.881</v>
      </c>
      <c r="T71" s="1">
        <v>6.258</v>
      </c>
      <c r="U71" s="1">
        <v>8.3439999999999994</v>
      </c>
      <c r="V71" s="1">
        <v>19.817</v>
      </c>
      <c r="W71" s="1">
        <v>160000</v>
      </c>
      <c r="X71" s="1">
        <v>298.2</v>
      </c>
      <c r="Y71" s="1">
        <v>29.4</v>
      </c>
      <c r="Z71" s="1">
        <v>21</v>
      </c>
      <c r="AA71" s="1">
        <v>71.400000000000006</v>
      </c>
      <c r="AB71" s="6">
        <f>VLOOKUP(A71,Feuil1!$F$5:$G$19,2)</f>
        <v>0.12234733650931139</v>
      </c>
    </row>
    <row r="72" spans="1:28" x14ac:dyDescent="0.45">
      <c r="A72" t="s">
        <v>20</v>
      </c>
      <c r="B72" s="3">
        <v>2018</v>
      </c>
      <c r="C72" s="1">
        <v>68976</v>
      </c>
      <c r="D72" s="1">
        <v>1191</v>
      </c>
      <c r="E72" s="1">
        <v>5282</v>
      </c>
      <c r="F72" s="1">
        <v>15265</v>
      </c>
      <c r="G72" s="1">
        <v>283169</v>
      </c>
      <c r="H72" s="1">
        <v>44469</v>
      </c>
      <c r="I72" s="1">
        <v>33388</v>
      </c>
      <c r="J72" s="1"/>
      <c r="K72" s="1"/>
      <c r="L72" s="1"/>
      <c r="O72" s="1"/>
      <c r="P72" s="1">
        <v>0.8367</v>
      </c>
      <c r="Q72" s="1">
        <v>0.15060000000000001</v>
      </c>
      <c r="R72" s="1">
        <v>1.2699999999999999E-2</v>
      </c>
      <c r="S72" s="1">
        <v>22.4</v>
      </c>
      <c r="T72" s="1">
        <v>72.900000000000006</v>
      </c>
      <c r="U72" s="1">
        <v>9.6</v>
      </c>
      <c r="V72" s="1">
        <v>21.5</v>
      </c>
      <c r="W72" s="1">
        <v>165790</v>
      </c>
      <c r="X72" s="1">
        <v>57.4</v>
      </c>
      <c r="Y72" s="1">
        <v>457.8</v>
      </c>
      <c r="Z72" s="1">
        <v>17.7</v>
      </c>
      <c r="AA72" s="1">
        <v>51.1</v>
      </c>
      <c r="AB72" s="6">
        <f>VLOOKUP(A72,Feuil1!$F$5:$G$19,2)</f>
        <v>9.4529970520799214E-2</v>
      </c>
    </row>
    <row r="73" spans="1:28" x14ac:dyDescent="0.45">
      <c r="A73" t="s">
        <v>19</v>
      </c>
      <c r="B73" s="3">
        <v>2018</v>
      </c>
      <c r="C73" s="1">
        <v>20617.5</v>
      </c>
      <c r="D73" s="1">
        <v>467.6</v>
      </c>
      <c r="E73" s="1">
        <v>957.5</v>
      </c>
      <c r="F73" s="1">
        <v>2157</v>
      </c>
      <c r="G73" s="1">
        <v>39609</v>
      </c>
      <c r="H73" s="1">
        <v>6273</v>
      </c>
      <c r="I73" s="1">
        <v>3738.4</v>
      </c>
      <c r="J73" s="1">
        <v>0.19331635699999999</v>
      </c>
      <c r="K73" s="1">
        <v>0</v>
      </c>
      <c r="L73" s="1">
        <v>0</v>
      </c>
      <c r="O73" s="1"/>
      <c r="P73" s="1"/>
      <c r="Q73" s="1"/>
      <c r="R73" s="1"/>
      <c r="S73" s="1">
        <v>6.1829999999999998</v>
      </c>
      <c r="T73" s="1">
        <v>2.9329999999999998</v>
      </c>
      <c r="U73" s="1">
        <v>3.738</v>
      </c>
      <c r="V73" s="1">
        <v>0.54500000000000004</v>
      </c>
      <c r="W73" s="1">
        <v>21775</v>
      </c>
      <c r="X73" s="1">
        <v>22.632000000000001</v>
      </c>
      <c r="Y73" s="1">
        <v>20.655999999999999</v>
      </c>
      <c r="Z73" s="1">
        <v>8.4139999999999997</v>
      </c>
      <c r="AA73" s="1">
        <v>1.79</v>
      </c>
      <c r="AB73" s="6">
        <f>VLOOKUP(A73,Feuil1!$F$5:$G$19,2)</f>
        <v>0.12772369031061659</v>
      </c>
    </row>
    <row r="74" spans="1:28" x14ac:dyDescent="0.45">
      <c r="A74" t="s">
        <v>16</v>
      </c>
      <c r="B74" s="3">
        <v>2018</v>
      </c>
      <c r="C74" s="1">
        <v>5242</v>
      </c>
      <c r="D74" s="1">
        <v>858</v>
      </c>
      <c r="E74" s="1">
        <v>1138</v>
      </c>
      <c r="F74" s="1">
        <v>1523</v>
      </c>
      <c r="G74" s="1">
        <v>22409</v>
      </c>
      <c r="H74" s="1">
        <v>12077</v>
      </c>
      <c r="I74" s="1">
        <v>5509</v>
      </c>
      <c r="J74" s="1">
        <v>0.72376955399999998</v>
      </c>
      <c r="K74" s="1">
        <v>0.30961465100000002</v>
      </c>
      <c r="L74" s="1"/>
      <c r="O74" s="1"/>
      <c r="P74" s="1">
        <v>0.50760000000000005</v>
      </c>
      <c r="Q74" s="1">
        <v>0.1293</v>
      </c>
      <c r="R74" s="1">
        <v>0.36309999999999998</v>
      </c>
      <c r="S74" s="1">
        <v>5.6289999999999996</v>
      </c>
      <c r="T74" s="1">
        <v>2.81</v>
      </c>
      <c r="U74" s="1">
        <v>0.60499999999999998</v>
      </c>
      <c r="V74" s="1">
        <v>4.6719999999999997</v>
      </c>
      <c r="W74" s="1">
        <v>8286</v>
      </c>
      <c r="X74" s="1">
        <v>32</v>
      </c>
      <c r="Y74" s="1">
        <v>22.8</v>
      </c>
      <c r="Z74" s="1">
        <v>0.4</v>
      </c>
      <c r="AA74" s="1">
        <v>19.100000000000001</v>
      </c>
      <c r="AB74" s="6">
        <f>VLOOKUP(A74,Feuil1!$F$5:$G$19,2)</f>
        <v>0.10636900853578464</v>
      </c>
    </row>
    <row r="75" spans="1:28" x14ac:dyDescent="0.45">
      <c r="A75" t="s">
        <v>23</v>
      </c>
      <c r="B75" s="3">
        <v>2018</v>
      </c>
      <c r="C75" s="1">
        <v>35076</v>
      </c>
      <c r="D75" s="1">
        <v>3014</v>
      </c>
      <c r="E75" s="1">
        <v>5439</v>
      </c>
      <c r="F75" s="1">
        <v>9348</v>
      </c>
      <c r="G75" s="1">
        <v>113038</v>
      </c>
      <c r="H75" s="1">
        <v>44154</v>
      </c>
      <c r="I75" s="1">
        <v>34149</v>
      </c>
      <c r="J75" s="1">
        <v>0.85403124643630968</v>
      </c>
      <c r="K75" s="1">
        <v>0.52</v>
      </c>
      <c r="L75" s="1">
        <v>0.52</v>
      </c>
      <c r="O75" s="1">
        <v>44898</v>
      </c>
      <c r="P75" s="1"/>
      <c r="Q75" s="1"/>
      <c r="R75" s="1"/>
      <c r="S75" s="1">
        <v>15.94</v>
      </c>
      <c r="T75" s="1">
        <v>3.2</v>
      </c>
      <c r="U75" s="1">
        <v>15.679999999999998</v>
      </c>
      <c r="V75" s="1">
        <v>12.53</v>
      </c>
      <c r="W75" s="1">
        <v>34078</v>
      </c>
      <c r="X75" s="1">
        <v>60.3</v>
      </c>
      <c r="Y75" s="1">
        <v>23.54</v>
      </c>
      <c r="Z75" s="1">
        <v>39.353999999999999</v>
      </c>
      <c r="AA75" s="1">
        <v>22.41</v>
      </c>
      <c r="AB75" s="6">
        <f>VLOOKUP(A75,Feuil1!$F$5:$G$19,2)</f>
        <v>0</v>
      </c>
    </row>
    <row r="76" spans="1:28" x14ac:dyDescent="0.45">
      <c r="A76" t="s">
        <v>28</v>
      </c>
      <c r="B76" s="3">
        <v>2018</v>
      </c>
      <c r="C76" s="1">
        <v>15278.084999999999</v>
      </c>
      <c r="D76" s="1">
        <v>519</v>
      </c>
      <c r="E76" s="1">
        <v>1584</v>
      </c>
      <c r="F76" s="1">
        <v>3317</v>
      </c>
      <c r="G76" s="1">
        <v>41626.961000000003</v>
      </c>
      <c r="H76" s="1">
        <v>13736.371999999999</v>
      </c>
      <c r="I76" s="1">
        <v>13480</v>
      </c>
      <c r="J76" s="1">
        <v>0.89885289899999998</v>
      </c>
      <c r="K76" s="1">
        <v>0.49386431600000003</v>
      </c>
      <c r="L76" s="1">
        <v>0.26775600500000002</v>
      </c>
      <c r="O76" s="1"/>
      <c r="P76" s="1"/>
      <c r="Q76" s="1"/>
      <c r="R76" s="1"/>
      <c r="S76" s="1">
        <v>6.9020000000000001</v>
      </c>
      <c r="T76" s="1">
        <v>0.156</v>
      </c>
      <c r="U76" s="1">
        <v>11.301</v>
      </c>
      <c r="V76" s="1">
        <v>8.7850000000000001</v>
      </c>
      <c r="W76" s="1">
        <v>11631</v>
      </c>
      <c r="X76" s="1">
        <v>23.113</v>
      </c>
      <c r="Y76" s="1">
        <v>1.196</v>
      </c>
      <c r="Z76" s="1">
        <v>28.359000000000002</v>
      </c>
      <c r="AA76" s="1">
        <v>19.387</v>
      </c>
      <c r="AB76" s="6">
        <f>VLOOKUP(A76,Feuil1!$F$5:$G$19,2)</f>
        <v>0.1172746457642448</v>
      </c>
    </row>
    <row r="77" spans="1:28" x14ac:dyDescent="0.45">
      <c r="A77" t="s">
        <v>22</v>
      </c>
      <c r="B77" s="3">
        <v>2018</v>
      </c>
      <c r="C77" s="1">
        <v>15287.585220000001</v>
      </c>
      <c r="D77" s="1">
        <v>1170.4715839999999</v>
      </c>
      <c r="E77" s="1">
        <v>1717.5430040000001</v>
      </c>
      <c r="F77" s="1">
        <v>3347.644264</v>
      </c>
      <c r="G77" s="1">
        <v>45111.362480000003</v>
      </c>
      <c r="H77" s="1">
        <v>10102.29356</v>
      </c>
      <c r="I77" s="1">
        <v>4654.2107109999997</v>
      </c>
      <c r="J77" s="1">
        <v>0.229964801</v>
      </c>
      <c r="K77" s="1">
        <v>0.69529536300000006</v>
      </c>
      <c r="L77" s="1">
        <v>4.9437585999999999E-2</v>
      </c>
      <c r="O77" s="1"/>
      <c r="P77" s="1"/>
      <c r="Q77" s="1"/>
      <c r="R77" s="1"/>
      <c r="S77" s="1">
        <v>9.4120000000000008</v>
      </c>
      <c r="T77" s="1">
        <v>7.2229999999999999</v>
      </c>
      <c r="U77" s="1">
        <v>2.8109999999999999</v>
      </c>
      <c r="V77" s="1">
        <v>11.686999999999999</v>
      </c>
      <c r="W77" s="1">
        <v>19910</v>
      </c>
      <c r="X77" s="1">
        <v>31.6</v>
      </c>
      <c r="Y77" s="1">
        <v>55</v>
      </c>
      <c r="Z77" s="1">
        <v>8.1999999999999993</v>
      </c>
      <c r="AA77" s="1">
        <v>35.5</v>
      </c>
      <c r="AB77" s="6">
        <f>VLOOKUP(A77,Feuil1!$F$5:$G$19,2)</f>
        <v>0.1973716595593443</v>
      </c>
    </row>
    <row r="78" spans="1:28" x14ac:dyDescent="0.45">
      <c r="A78" t="s">
        <v>24</v>
      </c>
      <c r="B78" s="3">
        <v>2018</v>
      </c>
      <c r="C78" s="1">
        <v>13388</v>
      </c>
      <c r="D78" s="1">
        <v>335</v>
      </c>
      <c r="E78" s="1">
        <v>619</v>
      </c>
      <c r="F78" s="1">
        <v>1538</v>
      </c>
      <c r="G78" s="1">
        <v>80108</v>
      </c>
      <c r="H78" s="1">
        <v>14257</v>
      </c>
      <c r="I78" s="1">
        <v>7419</v>
      </c>
      <c r="J78" s="1">
        <v>0.153645055</v>
      </c>
      <c r="K78" s="1">
        <v>0.33843740700000002</v>
      </c>
      <c r="L78" s="1">
        <v>3.5031370999999999E-2</v>
      </c>
      <c r="O78" s="1"/>
      <c r="P78" s="1">
        <v>0.86</v>
      </c>
      <c r="Q78" s="1">
        <v>0.13</v>
      </c>
      <c r="R78" s="1">
        <v>0.01</v>
      </c>
      <c r="S78" s="1">
        <v>31.795999999999999</v>
      </c>
      <c r="T78" s="1">
        <v>2.77</v>
      </c>
      <c r="U78" s="1">
        <v>4.2930000000000001</v>
      </c>
      <c r="V78" s="1">
        <v>2.8439999999999999</v>
      </c>
      <c r="W78" s="1">
        <v>17748</v>
      </c>
      <c r="X78" s="1">
        <v>141.80000000000001</v>
      </c>
      <c r="Y78" s="1">
        <v>21.8</v>
      </c>
      <c r="Z78" s="1">
        <v>9.9</v>
      </c>
      <c r="AA78" s="1">
        <v>2.5</v>
      </c>
      <c r="AB78" s="6">
        <f>VLOOKUP(A78,Feuil1!$F$5:$G$19,2)</f>
        <v>0.61833550065019505</v>
      </c>
    </row>
    <row r="79" spans="1:28" x14ac:dyDescent="0.45">
      <c r="A79" t="s">
        <v>30</v>
      </c>
      <c r="B79" s="3">
        <v>2018</v>
      </c>
      <c r="C79" s="1">
        <v>2671</v>
      </c>
      <c r="D79" s="1">
        <v>342</v>
      </c>
      <c r="E79" s="1">
        <v>655</v>
      </c>
      <c r="F79" s="1">
        <v>864</v>
      </c>
      <c r="G79" s="1">
        <v>11704</v>
      </c>
      <c r="H79" s="1">
        <v>5941</v>
      </c>
      <c r="I79" s="1">
        <v>2560</v>
      </c>
      <c r="J79" s="1">
        <v>0.75290153500000001</v>
      </c>
      <c r="K79" s="1">
        <v>0</v>
      </c>
      <c r="L79" s="1">
        <v>0</v>
      </c>
      <c r="O79" s="1"/>
      <c r="P79" s="1"/>
      <c r="Q79" s="1"/>
      <c r="R79" s="1"/>
      <c r="S79" s="1"/>
      <c r="T79" s="1"/>
      <c r="U79" s="1">
        <v>0.41799999999999998</v>
      </c>
      <c r="V79" s="1">
        <v>8.2149999999999999</v>
      </c>
      <c r="W79" s="1"/>
      <c r="X79" s="1">
        <v>0</v>
      </c>
      <c r="Y79" s="1">
        <v>0</v>
      </c>
      <c r="Z79" s="1">
        <v>0.83399999999999996</v>
      </c>
      <c r="AA79" s="1">
        <v>29.518000000000001</v>
      </c>
      <c r="AB79" s="6">
        <f>VLOOKUP(A79,Feuil1!$F$5:$G$19,2)</f>
        <v>0.36921296296296297</v>
      </c>
    </row>
    <row r="80" spans="1:28" x14ac:dyDescent="0.45">
      <c r="A80" t="s">
        <v>27</v>
      </c>
      <c r="B80" s="3">
        <v>2018</v>
      </c>
      <c r="C80" s="1">
        <v>75672</v>
      </c>
      <c r="D80" s="1">
        <v>6350</v>
      </c>
      <c r="E80" s="1">
        <v>9900</v>
      </c>
      <c r="F80" s="1">
        <v>16351</v>
      </c>
      <c r="G80" s="1">
        <v>165424</v>
      </c>
      <c r="H80" s="1">
        <v>47852</v>
      </c>
      <c r="I80" s="1">
        <v>41089</v>
      </c>
      <c r="J80" s="1">
        <v>0.56969552800000001</v>
      </c>
      <c r="K80" s="1">
        <v>0.63810920800000004</v>
      </c>
      <c r="L80" s="1">
        <v>0.237881911</v>
      </c>
      <c r="O80" s="1"/>
      <c r="P80" s="1"/>
      <c r="Q80" s="1"/>
      <c r="R80" s="1"/>
      <c r="S80" s="1">
        <v>43.098999999999997</v>
      </c>
      <c r="T80" s="1">
        <v>3.3180000000000001</v>
      </c>
      <c r="U80" s="1">
        <v>11.359</v>
      </c>
      <c r="V80" s="1">
        <v>27.844000000000001</v>
      </c>
      <c r="W80" s="1">
        <v>69272</v>
      </c>
      <c r="X80" s="1">
        <v>127.33199999999999</v>
      </c>
      <c r="Y80" s="1">
        <v>24.067</v>
      </c>
      <c r="Z80" s="1">
        <v>33.046999999999997</v>
      </c>
      <c r="AA80" s="1">
        <v>65.893000000000001</v>
      </c>
      <c r="AB80" s="6">
        <f>VLOOKUP(A80,Feuil1!$F$5:$G$19,2)</f>
        <v>8.2747232585162991E-2</v>
      </c>
    </row>
    <row r="81" spans="1:28" x14ac:dyDescent="0.45">
      <c r="A81" t="s">
        <v>25</v>
      </c>
      <c r="B81" s="3">
        <v>2018</v>
      </c>
      <c r="C81" s="1">
        <v>30253</v>
      </c>
      <c r="D81" s="1">
        <v>1505</v>
      </c>
      <c r="E81" s="1">
        <v>2989</v>
      </c>
      <c r="F81" s="1">
        <v>4840</v>
      </c>
      <c r="G81" s="1">
        <v>54324</v>
      </c>
      <c r="H81" s="1">
        <v>8518</v>
      </c>
      <c r="I81" s="1">
        <v>16580</v>
      </c>
      <c r="J81" s="1">
        <v>0.104221069</v>
      </c>
      <c r="K81" s="1">
        <v>0.558423958</v>
      </c>
      <c r="L81" s="1">
        <v>9.354444E-3</v>
      </c>
      <c r="O81" s="1"/>
      <c r="P81" s="1"/>
      <c r="Q81" s="1"/>
      <c r="R81" s="1"/>
      <c r="S81" s="1">
        <v>0</v>
      </c>
      <c r="T81" s="1">
        <v>4.1500000000000004</v>
      </c>
      <c r="U81" s="1">
        <v>5.3339999999999996</v>
      </c>
      <c r="V81" s="1">
        <v>0</v>
      </c>
      <c r="W81" s="1">
        <v>43302</v>
      </c>
      <c r="X81" s="1">
        <v>0</v>
      </c>
      <c r="Y81" s="1">
        <v>31.2</v>
      </c>
      <c r="Z81" s="1">
        <v>14.7</v>
      </c>
      <c r="AA81" s="1">
        <v>0</v>
      </c>
      <c r="AB81" s="6">
        <f>VLOOKUP(A81,Feuil1!$F$5:$G$19,2)</f>
        <v>0.14834710743801652</v>
      </c>
    </row>
    <row r="82" spans="1:28" x14ac:dyDescent="0.45">
      <c r="A82" t="s">
        <v>31</v>
      </c>
      <c r="B82" s="3">
        <v>2018</v>
      </c>
      <c r="C82" s="1">
        <v>35181</v>
      </c>
      <c r="D82" s="1">
        <v>-286</v>
      </c>
      <c r="E82" s="1">
        <v>2099</v>
      </c>
      <c r="F82" s="1">
        <v>3146</v>
      </c>
      <c r="G82" s="1">
        <v>49874</v>
      </c>
      <c r="H82" s="1">
        <v>9914</v>
      </c>
      <c r="I82" s="1">
        <v>13133</v>
      </c>
      <c r="J82" s="1">
        <v>0.714647111</v>
      </c>
      <c r="K82" s="1">
        <v>0.418862454</v>
      </c>
      <c r="L82" s="1">
        <v>2.8140190000000001E-3</v>
      </c>
      <c r="O82" s="1"/>
      <c r="P82" s="1"/>
      <c r="Q82" s="1"/>
      <c r="R82" s="1"/>
      <c r="S82" s="1">
        <v>7.4999999999999997E-2</v>
      </c>
      <c r="T82" s="1"/>
      <c r="U82" s="1">
        <v>2.9449999999999998</v>
      </c>
      <c r="V82" s="1">
        <v>0.54200000000000004</v>
      </c>
      <c r="W82" s="1">
        <v>37374</v>
      </c>
      <c r="X82" s="1">
        <v>1.2</v>
      </c>
      <c r="Y82" s="1">
        <v>0</v>
      </c>
      <c r="Z82" s="1">
        <v>7.2</v>
      </c>
      <c r="AA82" s="1">
        <v>2.4</v>
      </c>
      <c r="AB82" s="6">
        <f>VLOOKUP(A82,Feuil1!$F$5:$G$19,2)</f>
        <v>-7.8194532739987291E-2</v>
      </c>
    </row>
    <row r="83" spans="1:28" x14ac:dyDescent="0.45">
      <c r="A83" t="s">
        <v>29</v>
      </c>
      <c r="B83" s="3">
        <v>2018</v>
      </c>
      <c r="C83" s="1">
        <v>20195</v>
      </c>
      <c r="D83" s="1">
        <v>1417</v>
      </c>
      <c r="E83" s="1">
        <v>1919</v>
      </c>
      <c r="F83" s="1">
        <v>3627</v>
      </c>
      <c r="G83" s="1">
        <v>31656</v>
      </c>
      <c r="H83" s="1">
        <v>9181</v>
      </c>
      <c r="I83" s="1">
        <v>5770</v>
      </c>
      <c r="J83" s="1">
        <v>0.70002475900000005</v>
      </c>
      <c r="K83" s="1">
        <v>4.9962861999999997E-2</v>
      </c>
      <c r="L83" s="1"/>
      <c r="O83" s="1"/>
      <c r="P83" s="1"/>
      <c r="Q83" s="1">
        <v>0.2989</v>
      </c>
      <c r="R83" s="1">
        <v>0.70099999999999996</v>
      </c>
      <c r="S83" s="1">
        <v>12.872999999999999</v>
      </c>
      <c r="T83" s="1">
        <v>3.3180000000000001</v>
      </c>
      <c r="U83" s="1">
        <v>1.8149999999999999</v>
      </c>
      <c r="V83" s="1">
        <v>4.7119999999999997</v>
      </c>
      <c r="W83" s="1"/>
      <c r="X83" s="1">
        <v>28.997</v>
      </c>
      <c r="Y83" s="1">
        <v>24.067</v>
      </c>
      <c r="Z83" s="1">
        <v>3.7120000000000002</v>
      </c>
      <c r="AA83" s="1">
        <v>8.4589999999999996</v>
      </c>
      <c r="AB83" s="6">
        <f>VLOOKUP(A83,Feuil1!$F$5:$G$19,2)</f>
        <v>5.9001929969671907E-2</v>
      </c>
    </row>
    <row r="84" spans="1:28" x14ac:dyDescent="0.45">
      <c r="A84" t="s">
        <v>22</v>
      </c>
      <c r="B84" s="3">
        <v>2019</v>
      </c>
      <c r="C84" s="1">
        <v>15710.52326</v>
      </c>
      <c r="D84" s="1">
        <v>1403.426823</v>
      </c>
      <c r="E84" s="1">
        <v>2090.9274799999998</v>
      </c>
      <c r="F84" s="1">
        <v>4008.3743679999998</v>
      </c>
      <c r="G84" s="1">
        <v>43150.055520000002</v>
      </c>
      <c r="H84" s="1">
        <v>10388.06142</v>
      </c>
      <c r="I84" s="1">
        <v>6151.7402460000003</v>
      </c>
      <c r="J84" s="1">
        <v>0</v>
      </c>
      <c r="K84" s="1">
        <v>0</v>
      </c>
      <c r="L84" s="1">
        <v>0</v>
      </c>
      <c r="M84" s="3" t="s">
        <v>32</v>
      </c>
      <c r="N84" s="3" t="s">
        <v>32</v>
      </c>
      <c r="O84" s="1"/>
      <c r="P84" s="1"/>
      <c r="Q84" s="1"/>
      <c r="R84" s="1"/>
      <c r="S84" s="1">
        <v>0</v>
      </c>
      <c r="T84" s="1">
        <v>0</v>
      </c>
      <c r="U84" s="1">
        <v>0</v>
      </c>
      <c r="V84" s="1">
        <v>0</v>
      </c>
      <c r="W84" s="1"/>
      <c r="X84" s="1">
        <v>31.1</v>
      </c>
      <c r="Y84" s="1">
        <v>53.3</v>
      </c>
      <c r="Z84" s="1">
        <v>10.1</v>
      </c>
      <c r="AA84" s="1">
        <v>35.700000000000003</v>
      </c>
      <c r="AB84" s="6">
        <f>VLOOKUP(A84,Feuil1!$F$5:$G$19,2)</f>
        <v>0.1973716595593443</v>
      </c>
    </row>
    <row r="85" spans="1:28" x14ac:dyDescent="0.45">
      <c r="A85" t="s">
        <v>18</v>
      </c>
      <c r="B85" s="3">
        <v>2019</v>
      </c>
      <c r="C85" s="1">
        <v>8581.0088099999994</v>
      </c>
      <c r="D85" s="1">
        <v>1703.09205</v>
      </c>
      <c r="E85" s="1">
        <v>1603.5987</v>
      </c>
      <c r="F85" s="1">
        <v>2186.5126799999998</v>
      </c>
      <c r="G85" s="1">
        <v>29786.074489999999</v>
      </c>
      <c r="H85" s="1">
        <v>6865.3011239999996</v>
      </c>
      <c r="I85" s="1">
        <v>11031.37882</v>
      </c>
      <c r="J85" s="1">
        <v>8.4640398000000006E-2</v>
      </c>
      <c r="K85" s="1">
        <v>0</v>
      </c>
      <c r="L85" s="1">
        <v>0</v>
      </c>
      <c r="M85" s="3" t="s">
        <v>32</v>
      </c>
      <c r="N85" s="3" t="s">
        <v>32</v>
      </c>
      <c r="O85" s="1"/>
      <c r="P85" s="1"/>
      <c r="Q85" s="1"/>
      <c r="R85" s="1"/>
      <c r="S85" s="1">
        <v>6.7309999999999999</v>
      </c>
      <c r="T85" s="1">
        <v>0</v>
      </c>
      <c r="U85" s="1">
        <v>3.7669999999999999</v>
      </c>
      <c r="V85" s="1"/>
      <c r="W85" s="1">
        <v>20370</v>
      </c>
      <c r="X85" s="1">
        <v>21.1</v>
      </c>
      <c r="Y85" s="1">
        <v>0</v>
      </c>
      <c r="Z85" s="1">
        <v>9.7789999999999999</v>
      </c>
      <c r="AA85" s="1">
        <v>0</v>
      </c>
      <c r="AB85" s="6">
        <f>VLOOKUP(A85,Feuil1!$F$5:$G$19,2)</f>
        <v>5.2344632383330272E-2</v>
      </c>
    </row>
    <row r="86" spans="1:28" x14ac:dyDescent="0.45">
      <c r="A86" t="s">
        <v>20</v>
      </c>
      <c r="B86" s="3">
        <v>2019</v>
      </c>
      <c r="C86" s="1">
        <v>71317</v>
      </c>
      <c r="D86" s="1">
        <v>5155</v>
      </c>
      <c r="E86" s="1">
        <v>6760</v>
      </c>
      <c r="F86" s="1">
        <v>16708</v>
      </c>
      <c r="G86" s="1">
        <v>303284</v>
      </c>
      <c r="H86" s="1">
        <v>46466</v>
      </c>
      <c r="I86" s="1">
        <v>41133</v>
      </c>
      <c r="J86" s="1">
        <v>0.68269837499999997</v>
      </c>
      <c r="K86" s="1">
        <v>0.400844119</v>
      </c>
      <c r="L86" s="1"/>
      <c r="M86" s="3" t="s">
        <v>32</v>
      </c>
      <c r="N86" s="3" t="s">
        <v>32</v>
      </c>
      <c r="O86" s="1">
        <v>38400</v>
      </c>
      <c r="P86" s="1">
        <v>0.83579999999999999</v>
      </c>
      <c r="Q86" s="1">
        <v>0.15</v>
      </c>
      <c r="R86" s="1">
        <v>1.4E-2</v>
      </c>
      <c r="S86" s="1">
        <v>21.9</v>
      </c>
      <c r="T86" s="1">
        <v>73</v>
      </c>
      <c r="U86" s="1">
        <v>10.3</v>
      </c>
      <c r="V86" s="1">
        <v>21.6</v>
      </c>
      <c r="W86" s="1">
        <v>161522</v>
      </c>
      <c r="X86" s="1">
        <v>57.5</v>
      </c>
      <c r="Y86" s="1">
        <v>437.6</v>
      </c>
      <c r="Z86" s="1">
        <v>18.3</v>
      </c>
      <c r="AA86" s="1">
        <v>44.2</v>
      </c>
      <c r="AB86" s="6">
        <f>VLOOKUP(A86,Feuil1!$F$5:$G$19,2)</f>
        <v>9.4529970520799214E-2</v>
      </c>
    </row>
    <row r="87" spans="1:28" x14ac:dyDescent="0.45">
      <c r="A87" t="s">
        <v>19</v>
      </c>
      <c r="B87" s="3">
        <v>2019</v>
      </c>
      <c r="C87" s="1">
        <v>18765</v>
      </c>
      <c r="D87" s="1">
        <v>786.8</v>
      </c>
      <c r="E87" s="1">
        <v>944.7</v>
      </c>
      <c r="F87" s="1">
        <v>2432.5</v>
      </c>
      <c r="G87" s="1">
        <v>43288</v>
      </c>
      <c r="H87" s="1">
        <v>7445</v>
      </c>
      <c r="I87" s="1">
        <v>6021</v>
      </c>
      <c r="J87" s="1">
        <v>0.220522249</v>
      </c>
      <c r="K87" s="1">
        <v>0</v>
      </c>
      <c r="L87" s="1">
        <v>0</v>
      </c>
      <c r="M87" s="3" t="s">
        <v>33</v>
      </c>
      <c r="N87" s="3" t="s">
        <v>33</v>
      </c>
      <c r="O87" s="1"/>
      <c r="P87" s="1"/>
      <c r="Q87" s="1"/>
      <c r="R87" s="1"/>
      <c r="S87" s="1">
        <v>6.5179999999999998</v>
      </c>
      <c r="T87" s="1">
        <v>2.9329999999999998</v>
      </c>
      <c r="U87" s="1">
        <v>3.3919999999999999</v>
      </c>
      <c r="V87" s="1">
        <v>1.006</v>
      </c>
      <c r="W87" s="1">
        <v>23293</v>
      </c>
      <c r="X87" s="1">
        <v>16.786000000000001</v>
      </c>
      <c r="Y87" s="1">
        <v>21.033000000000001</v>
      </c>
      <c r="Z87" s="1">
        <v>9.0289999999999999</v>
      </c>
      <c r="AA87" s="1">
        <v>0.95899999999999996</v>
      </c>
      <c r="AB87" s="6">
        <f>VLOOKUP(A87,Feuil1!$F$5:$G$19,2)</f>
        <v>0.12772369031061659</v>
      </c>
    </row>
    <row r="88" spans="1:28" x14ac:dyDescent="0.45">
      <c r="A88" t="s">
        <v>16</v>
      </c>
      <c r="B88" s="3">
        <v>2019</v>
      </c>
      <c r="C88" s="1">
        <v>5447</v>
      </c>
      <c r="D88" s="1">
        <v>1482</v>
      </c>
      <c r="E88" s="1">
        <v>1110</v>
      </c>
      <c r="F88" s="1">
        <v>1685</v>
      </c>
      <c r="G88" s="1">
        <v>23364</v>
      </c>
      <c r="H88" s="1">
        <v>13235</v>
      </c>
      <c r="I88" s="1">
        <v>5260</v>
      </c>
      <c r="J88" s="1">
        <v>0.73196254800000005</v>
      </c>
      <c r="K88" s="1">
        <v>0.31338351399999997</v>
      </c>
      <c r="L88" s="1"/>
      <c r="M88" s="3" t="s">
        <v>32</v>
      </c>
      <c r="N88" s="3" t="s">
        <v>32</v>
      </c>
      <c r="O88" s="1"/>
      <c r="P88" s="1">
        <v>0.50760000000000005</v>
      </c>
      <c r="Q88" s="1">
        <v>0.43140000000000001</v>
      </c>
      <c r="R88" s="1">
        <v>6.0999999999999999E-2</v>
      </c>
      <c r="S88" s="1">
        <v>5.6890000000000001</v>
      </c>
      <c r="T88" s="1">
        <v>2.8210000000000002</v>
      </c>
      <c r="U88" s="1">
        <v>1.044</v>
      </c>
      <c r="V88" s="1">
        <v>4.6769999999999996</v>
      </c>
      <c r="W88" s="1">
        <v>8191</v>
      </c>
      <c r="X88" s="1">
        <v>27.8</v>
      </c>
      <c r="Y88" s="1">
        <v>23.5</v>
      </c>
      <c r="Z88" s="1">
        <v>0.4</v>
      </c>
      <c r="AA88" s="1">
        <v>20.3</v>
      </c>
      <c r="AB88" s="6">
        <f>VLOOKUP(A88,Feuil1!$F$5:$G$19,2)</f>
        <v>0.10636900853578464</v>
      </c>
    </row>
    <row r="89" spans="1:28" x14ac:dyDescent="0.45">
      <c r="A89" t="s">
        <v>21</v>
      </c>
      <c r="B89" s="3">
        <v>2019</v>
      </c>
      <c r="C89" s="1">
        <v>8032.2549229660508</v>
      </c>
      <c r="D89" s="1">
        <v>564.85070411561912</v>
      </c>
      <c r="E89" s="1">
        <v>1029.5475351083928</v>
      </c>
      <c r="F89" s="1">
        <v>2344.1304220798193</v>
      </c>
      <c r="G89" s="1">
        <v>27446.835862176427</v>
      </c>
      <c r="H89" s="1">
        <v>9947.7610486745489</v>
      </c>
      <c r="I89" s="1">
        <v>6281.4514715334717</v>
      </c>
      <c r="J89" s="1">
        <v>0.5346861177931248</v>
      </c>
      <c r="K89" s="1">
        <v>0.32914953053464735</v>
      </c>
      <c r="L89" s="1">
        <v>4.5093893070536198E-2</v>
      </c>
      <c r="O89" s="1"/>
      <c r="P89" s="1">
        <v>0.69799999999999995</v>
      </c>
      <c r="Q89" s="1">
        <v>0.1027</v>
      </c>
      <c r="R89" s="1">
        <v>0.19924999999999998</v>
      </c>
      <c r="S89" s="1">
        <v>7.8109999999999999</v>
      </c>
      <c r="T89" s="1">
        <v>4.29</v>
      </c>
      <c r="U89" s="1">
        <v>0.873</v>
      </c>
      <c r="V89" s="1">
        <v>1.9850000000000001</v>
      </c>
      <c r="W89" s="1">
        <v>32400</v>
      </c>
      <c r="X89" s="1">
        <v>29.413</v>
      </c>
      <c r="Y89" s="1">
        <v>30.245000000000001</v>
      </c>
      <c r="Z89" s="1">
        <v>2.649</v>
      </c>
      <c r="AA89" s="1">
        <v>2.3149999999999999</v>
      </c>
      <c r="AB89" s="6">
        <f>VLOOKUP(A89,Feuil1!$F$5:$G$19,2)</f>
        <v>-5.2821364312454827E-3</v>
      </c>
    </row>
    <row r="90" spans="1:28" x14ac:dyDescent="0.45">
      <c r="A90" t="s">
        <v>17</v>
      </c>
      <c r="B90" s="3">
        <v>2019</v>
      </c>
      <c r="C90" s="1">
        <v>26540.14374</v>
      </c>
      <c r="D90" s="1">
        <v>490.44369</v>
      </c>
      <c r="E90" s="1">
        <v>1054.62951</v>
      </c>
      <c r="F90" s="1">
        <v>2480.3106899999998</v>
      </c>
      <c r="G90" s="1">
        <v>21337.558059999999</v>
      </c>
      <c r="H90" s="1">
        <v>2109.7783800000002</v>
      </c>
      <c r="I90" s="1">
        <v>3738.8328839999999</v>
      </c>
      <c r="J90" s="1">
        <v>3.5163623999999997E-2</v>
      </c>
      <c r="K90" s="1">
        <v>0.46030695999999999</v>
      </c>
      <c r="L90" s="1">
        <v>0.49122342800000002</v>
      </c>
      <c r="M90" s="3" t="s">
        <v>34</v>
      </c>
      <c r="N90" s="3" t="s">
        <v>34</v>
      </c>
      <c r="O90" s="1">
        <v>0</v>
      </c>
      <c r="P90" s="1"/>
      <c r="Q90" s="1"/>
      <c r="R90" s="1"/>
      <c r="S90" s="1">
        <v>0</v>
      </c>
      <c r="T90" s="1">
        <v>0</v>
      </c>
      <c r="U90" s="1">
        <v>2.7</v>
      </c>
      <c r="V90" s="1">
        <v>0</v>
      </c>
      <c r="W90" s="1">
        <v>26932</v>
      </c>
      <c r="X90" s="1">
        <v>4.2</v>
      </c>
      <c r="Y90" s="1">
        <v>10.199999999999999</v>
      </c>
      <c r="Z90" s="1">
        <v>0</v>
      </c>
      <c r="AA90" s="1">
        <v>0</v>
      </c>
      <c r="AB90" s="6">
        <f>VLOOKUP(A90,Feuil1!$F$5:$G$19,2)</f>
        <v>-5.2821364312454827E-3</v>
      </c>
    </row>
    <row r="91" spans="1:28" x14ac:dyDescent="0.45">
      <c r="A91" t="s">
        <v>28</v>
      </c>
      <c r="B91" s="3">
        <v>2019</v>
      </c>
      <c r="C91" s="1">
        <v>14333.009</v>
      </c>
      <c r="D91" s="1">
        <v>512</v>
      </c>
      <c r="E91" s="1">
        <v>1838</v>
      </c>
      <c r="F91" s="1">
        <v>3706</v>
      </c>
      <c r="G91" s="1">
        <v>42361.646000000001</v>
      </c>
      <c r="H91" s="1">
        <v>12632</v>
      </c>
      <c r="I91" s="1">
        <v>13827</v>
      </c>
      <c r="J91" s="1">
        <v>0.86004941499999998</v>
      </c>
      <c r="K91" s="1">
        <v>0.53776181999999995</v>
      </c>
      <c r="L91" s="1">
        <v>0.31041276800000001</v>
      </c>
      <c r="M91" s="3" t="s">
        <v>32</v>
      </c>
      <c r="N91" s="3" t="s">
        <v>32</v>
      </c>
      <c r="O91" s="1"/>
      <c r="P91" s="1"/>
      <c r="Q91" s="1"/>
      <c r="R91" s="1"/>
      <c r="S91" s="1">
        <v>6.8840000000000003</v>
      </c>
      <c r="T91" s="1">
        <v>0.2</v>
      </c>
      <c r="U91" s="1">
        <v>10.811999999999999</v>
      </c>
      <c r="V91" s="1">
        <v>8.7850000000000001</v>
      </c>
      <c r="W91" s="1"/>
      <c r="X91" s="1">
        <v>22.533000000000001</v>
      </c>
      <c r="Y91" s="1">
        <v>1.196</v>
      </c>
      <c r="Z91" s="1">
        <v>30.041</v>
      </c>
      <c r="AA91" s="1">
        <v>14.096</v>
      </c>
      <c r="AB91" s="6">
        <f>VLOOKUP(A91,Feuil1!$F$5:$G$19,2)</f>
        <v>0.1172746457642448</v>
      </c>
    </row>
    <row r="92" spans="1:28" x14ac:dyDescent="0.45">
      <c r="A92" t="s">
        <v>31</v>
      </c>
      <c r="B92" s="3">
        <v>2019</v>
      </c>
      <c r="C92" s="1">
        <v>35434</v>
      </c>
      <c r="D92" s="1">
        <v>664</v>
      </c>
      <c r="E92" s="1">
        <v>1615</v>
      </c>
      <c r="F92" s="1">
        <v>2900</v>
      </c>
      <c r="G92" s="1">
        <v>48464</v>
      </c>
      <c r="H92" s="1">
        <v>8824</v>
      </c>
      <c r="I92" s="1">
        <v>14161</v>
      </c>
      <c r="J92" s="1">
        <v>0.723147259694079</v>
      </c>
      <c r="K92" s="1">
        <v>0.42563639442343498</v>
      </c>
      <c r="L92" s="1">
        <v>1.8908393068803901E-3</v>
      </c>
      <c r="M92" s="3" t="s">
        <v>34</v>
      </c>
      <c r="N92" s="3" t="s">
        <v>34</v>
      </c>
      <c r="O92" s="1"/>
      <c r="P92" s="1"/>
      <c r="Q92" s="1">
        <v>0.1</v>
      </c>
      <c r="R92" s="1">
        <v>0.9</v>
      </c>
      <c r="S92" s="1">
        <v>0.1</v>
      </c>
      <c r="T92" s="1"/>
      <c r="U92" s="1">
        <v>3.1839999999999899</v>
      </c>
      <c r="V92" s="1">
        <v>0.53500000000000003</v>
      </c>
      <c r="W92" s="1">
        <v>34523</v>
      </c>
      <c r="X92" s="1">
        <v>1.1000000000000001</v>
      </c>
      <c r="Y92" s="1">
        <v>0</v>
      </c>
      <c r="Z92" s="1">
        <v>7.8999999999999897</v>
      </c>
      <c r="AA92" s="1">
        <v>2.7</v>
      </c>
      <c r="AB92" s="6">
        <f>VLOOKUP(A92,Feuil1!$F$5:$G$19,2)</f>
        <v>-7.8194532739987291E-2</v>
      </c>
    </row>
    <row r="93" spans="1:28" x14ac:dyDescent="0.45">
      <c r="A93" t="s">
        <v>24</v>
      </c>
      <c r="B93" s="3">
        <v>2019</v>
      </c>
      <c r="C93" s="1">
        <v>13125</v>
      </c>
      <c r="D93" s="1">
        <v>8498</v>
      </c>
      <c r="E93" s="1">
        <v>1267</v>
      </c>
      <c r="F93" s="1">
        <v>2489</v>
      </c>
      <c r="G93" s="1">
        <v>64192</v>
      </c>
      <c r="H93" s="1">
        <v>17448</v>
      </c>
      <c r="I93" s="1">
        <v>9298</v>
      </c>
      <c r="J93" s="1">
        <v>0.15733333299999999</v>
      </c>
      <c r="K93" s="1">
        <v>0.368761905</v>
      </c>
      <c r="L93" s="1">
        <v>3.032381E-2</v>
      </c>
      <c r="M93" s="3" t="s">
        <v>32</v>
      </c>
      <c r="N93" s="3" t="s">
        <v>32</v>
      </c>
      <c r="O93" s="1"/>
      <c r="P93" s="1">
        <v>0.86</v>
      </c>
      <c r="Q93" s="1">
        <v>0.13</v>
      </c>
      <c r="R93" s="1">
        <v>0.01</v>
      </c>
      <c r="S93" s="1">
        <v>28.184999999999999</v>
      </c>
      <c r="T93" s="1">
        <v>2.77</v>
      </c>
      <c r="U93" s="1">
        <v>9.18</v>
      </c>
      <c r="V93" s="1">
        <v>2.3580000000000001</v>
      </c>
      <c r="W93" s="1">
        <v>19792</v>
      </c>
      <c r="X93" s="1">
        <v>113.3</v>
      </c>
      <c r="Y93" s="1">
        <v>21.2</v>
      </c>
      <c r="Z93" s="1">
        <v>16.399999999999999</v>
      </c>
      <c r="AA93" s="1">
        <v>1.8</v>
      </c>
      <c r="AB93" s="6">
        <f>VLOOKUP(A93,Feuil1!$F$5:$G$19,2)</f>
        <v>0.61833550065019505</v>
      </c>
    </row>
    <row r="94" spans="1:28" x14ac:dyDescent="0.45">
      <c r="A94" t="s">
        <v>23</v>
      </c>
      <c r="B94" s="3">
        <v>2019</v>
      </c>
      <c r="C94" s="1">
        <v>36437.908000000003</v>
      </c>
      <c r="D94" s="1">
        <v>3406.3110000000001</v>
      </c>
      <c r="E94" s="1">
        <v>5877</v>
      </c>
      <c r="F94" s="1">
        <v>10104</v>
      </c>
      <c r="G94" s="1">
        <v>122369</v>
      </c>
      <c r="H94" s="1">
        <v>32539.98</v>
      </c>
      <c r="I94" s="1">
        <v>38395.199999999997</v>
      </c>
      <c r="J94" s="1"/>
      <c r="K94" s="1">
        <v>0.6</v>
      </c>
      <c r="L94" s="1">
        <v>0.56999999999999995</v>
      </c>
      <c r="M94" s="3" t="s">
        <v>32</v>
      </c>
      <c r="N94" s="3" t="s">
        <v>32</v>
      </c>
      <c r="O94" s="1"/>
      <c r="P94" s="1">
        <v>7.7399999999999997E-2</v>
      </c>
      <c r="Q94" s="1"/>
      <c r="R94" s="1"/>
      <c r="S94" s="1">
        <v>16.773</v>
      </c>
      <c r="T94" s="1">
        <v>3.177</v>
      </c>
      <c r="U94" s="1">
        <v>18.872</v>
      </c>
      <c r="V94" s="1">
        <v>13.17</v>
      </c>
      <c r="W94" s="1">
        <v>35374</v>
      </c>
      <c r="X94" s="1">
        <v>68.677000000000007</v>
      </c>
      <c r="Y94" s="1">
        <v>23.736999999999998</v>
      </c>
      <c r="Z94" s="1">
        <v>40.741</v>
      </c>
      <c r="AA94" s="1">
        <v>18.559000000000001</v>
      </c>
      <c r="AB94" s="6">
        <f>VLOOKUP(A94,Feuil1!$F$5:$G$19,2)</f>
        <v>0</v>
      </c>
    </row>
    <row r="95" spans="1:28" x14ac:dyDescent="0.45">
      <c r="A95" t="s">
        <v>30</v>
      </c>
      <c r="B95" s="3">
        <v>2019</v>
      </c>
      <c r="C95" s="1">
        <v>3895</v>
      </c>
      <c r="D95" s="1">
        <v>549</v>
      </c>
      <c r="E95" s="1">
        <v>865</v>
      </c>
      <c r="F95" s="1">
        <v>1183</v>
      </c>
      <c r="G95" s="1">
        <v>11838</v>
      </c>
      <c r="H95" s="1">
        <v>6568</v>
      </c>
      <c r="I95" s="1">
        <v>2256</v>
      </c>
      <c r="J95" s="1">
        <v>0.81899871599999996</v>
      </c>
      <c r="K95" s="1"/>
      <c r="L95" s="1"/>
      <c r="M95" s="3" t="s">
        <v>35</v>
      </c>
      <c r="N95" s="3" t="s">
        <v>33</v>
      </c>
      <c r="O95" s="1"/>
      <c r="P95" s="1">
        <v>0.51</v>
      </c>
      <c r="Q95" s="1">
        <v>0.2</v>
      </c>
      <c r="R95" s="1">
        <v>0.28999999999999998</v>
      </c>
      <c r="S95" s="1"/>
      <c r="T95" s="1"/>
      <c r="U95" s="1">
        <v>0.41799999999999998</v>
      </c>
      <c r="V95" s="1">
        <v>8.2200000000000006</v>
      </c>
      <c r="W95" s="1">
        <v>3417</v>
      </c>
      <c r="X95" s="1">
        <v>0</v>
      </c>
      <c r="Y95" s="1">
        <v>0</v>
      </c>
      <c r="Z95" s="1">
        <v>0.92900000000000005</v>
      </c>
      <c r="AA95" s="1">
        <v>30.66</v>
      </c>
      <c r="AB95" s="6">
        <f>VLOOKUP(A95,Feuil1!$F$5:$G$19,2)</f>
        <v>0.36921296296296297</v>
      </c>
    </row>
    <row r="96" spans="1:28" x14ac:dyDescent="0.45">
      <c r="A96" t="s">
        <v>27</v>
      </c>
      <c r="B96" s="3">
        <v>2019</v>
      </c>
      <c r="C96" s="1">
        <v>80327</v>
      </c>
      <c r="D96" s="1">
        <v>3476</v>
      </c>
      <c r="E96" s="1">
        <v>6878</v>
      </c>
      <c r="F96" s="1">
        <v>17704</v>
      </c>
      <c r="G96" s="1">
        <v>171426</v>
      </c>
      <c r="H96" s="1">
        <v>46938</v>
      </c>
      <c r="I96" s="1">
        <v>45175</v>
      </c>
      <c r="J96" s="1">
        <v>0.49852478</v>
      </c>
      <c r="K96" s="1">
        <v>0.67109440200000003</v>
      </c>
      <c r="L96" s="1">
        <v>0.20268402899999999</v>
      </c>
      <c r="M96" s="3" t="s">
        <v>34</v>
      </c>
      <c r="N96" s="3" t="s">
        <v>34</v>
      </c>
      <c r="O96" s="1"/>
      <c r="P96" s="1"/>
      <c r="Q96" s="1"/>
      <c r="R96" s="1"/>
      <c r="S96" s="1">
        <v>38.86</v>
      </c>
      <c r="T96" s="1">
        <v>3.29</v>
      </c>
      <c r="U96" s="1">
        <v>14.33</v>
      </c>
      <c r="V96" s="1">
        <v>27.82</v>
      </c>
      <c r="W96" s="1">
        <v>68253</v>
      </c>
      <c r="X96" s="1">
        <v>103.32</v>
      </c>
      <c r="Y96" s="1">
        <v>26.34</v>
      </c>
      <c r="Z96" s="1">
        <v>36.89</v>
      </c>
      <c r="AA96" s="1">
        <v>62.54</v>
      </c>
      <c r="AB96" s="6">
        <f>VLOOKUP(A96,Feuil1!$F$5:$G$19,2)</f>
        <v>8.2747232585162991E-2</v>
      </c>
    </row>
    <row r="97" spans="1:28" x14ac:dyDescent="0.45">
      <c r="A97" t="s">
        <v>25</v>
      </c>
      <c r="B97" s="3">
        <v>2019</v>
      </c>
      <c r="C97" s="1">
        <v>41484</v>
      </c>
      <c r="D97" s="1">
        <v>1536</v>
      </c>
      <c r="E97" s="1">
        <v>3235</v>
      </c>
      <c r="F97" s="1">
        <v>5558</v>
      </c>
      <c r="G97" s="1">
        <v>98566</v>
      </c>
      <c r="H97" s="1">
        <v>13085</v>
      </c>
      <c r="I97" s="1">
        <v>39430</v>
      </c>
      <c r="J97" s="1">
        <v>6.6772732000000001E-2</v>
      </c>
      <c r="K97" s="1">
        <v>0.51311348999999995</v>
      </c>
      <c r="L97" s="1">
        <v>6.8460129999999998E-3</v>
      </c>
      <c r="M97" s="3" t="s">
        <v>32</v>
      </c>
      <c r="N97" s="3" t="s">
        <v>32</v>
      </c>
      <c r="O97" s="1"/>
      <c r="P97" s="1"/>
      <c r="Q97" s="1"/>
      <c r="R97" s="1"/>
      <c r="S97" s="1"/>
      <c r="T97" s="1">
        <v>3.8279999999999998</v>
      </c>
      <c r="U97" s="1">
        <v>5.742</v>
      </c>
      <c r="V97" s="1"/>
      <c r="W97" s="1">
        <v>78948</v>
      </c>
      <c r="X97" s="1">
        <v>0</v>
      </c>
      <c r="Y97" s="1">
        <v>30.1</v>
      </c>
      <c r="Z97" s="1">
        <v>10.9</v>
      </c>
      <c r="AA97" s="1">
        <v>0</v>
      </c>
      <c r="AB97" s="6">
        <f>VLOOKUP(A97,Feuil1!$F$5:$G$19,2)</f>
        <v>0.14834710743801652</v>
      </c>
    </row>
    <row r="98" spans="1:28" x14ac:dyDescent="0.45">
      <c r="A98" t="s">
        <v>26</v>
      </c>
      <c r="B98" s="3">
        <v>2019</v>
      </c>
      <c r="C98" s="1">
        <v>60058</v>
      </c>
      <c r="D98" s="1">
        <v>2683</v>
      </c>
      <c r="E98" s="1">
        <v>5726</v>
      </c>
      <c r="F98" s="1">
        <v>10366</v>
      </c>
      <c r="G98" s="1">
        <v>159793</v>
      </c>
      <c r="H98" s="1">
        <v>38037</v>
      </c>
      <c r="I98" s="1">
        <v>25919</v>
      </c>
      <c r="J98" s="1"/>
      <c r="K98" s="1">
        <v>0.59334310199999996</v>
      </c>
      <c r="L98" s="1">
        <v>0.21312730999999999</v>
      </c>
      <c r="M98" s="3" t="s">
        <v>32</v>
      </c>
      <c r="N98" s="3" t="s">
        <v>32</v>
      </c>
      <c r="O98" s="1"/>
      <c r="P98" s="1">
        <v>0.2364</v>
      </c>
      <c r="Q98" s="1">
        <v>0.6865</v>
      </c>
      <c r="R98" s="1">
        <v>7.7100000000000002E-2</v>
      </c>
      <c r="S98" s="1">
        <v>60.015999999999998</v>
      </c>
      <c r="T98" s="1">
        <v>5.8079999999999998</v>
      </c>
      <c r="U98" s="1">
        <v>11.616</v>
      </c>
      <c r="V98" s="1">
        <v>19.36</v>
      </c>
      <c r="W98" s="1">
        <v>160000</v>
      </c>
      <c r="X98" s="1">
        <v>283.56</v>
      </c>
      <c r="Y98" s="1">
        <v>41.7</v>
      </c>
      <c r="Z98" s="1">
        <v>25.02</v>
      </c>
      <c r="AA98" s="1">
        <v>70.89</v>
      </c>
      <c r="AB98" s="6">
        <f>VLOOKUP(A98,Feuil1!$F$5:$G$19,2)</f>
        <v>0.12234733650931139</v>
      </c>
    </row>
    <row r="99" spans="1:28" x14ac:dyDescent="0.45">
      <c r="A99" t="s">
        <v>29</v>
      </c>
      <c r="B99" s="3">
        <v>2019</v>
      </c>
      <c r="C99" s="1">
        <v>20158</v>
      </c>
      <c r="D99" s="1">
        <v>171</v>
      </c>
      <c r="E99" s="1">
        <v>388</v>
      </c>
      <c r="F99" s="1">
        <v>3841</v>
      </c>
      <c r="G99" s="1">
        <v>31981</v>
      </c>
      <c r="H99" s="1">
        <v>7837</v>
      </c>
      <c r="I99" s="1">
        <v>6377</v>
      </c>
      <c r="J99" s="1">
        <v>0.68464133299999996</v>
      </c>
      <c r="K99" s="1">
        <v>5.3775176000000001E-2</v>
      </c>
      <c r="L99" s="1"/>
      <c r="M99" s="3" t="s">
        <v>32</v>
      </c>
      <c r="N99" s="3" t="s">
        <v>32</v>
      </c>
      <c r="O99" s="1"/>
      <c r="P99" s="1"/>
      <c r="Q99" s="1">
        <v>0.2989</v>
      </c>
      <c r="R99" s="1">
        <v>0.70099999999999996</v>
      </c>
      <c r="S99" s="1">
        <v>11.178000000000001</v>
      </c>
      <c r="T99" s="1">
        <v>3.3180000000000001</v>
      </c>
      <c r="U99" s="1">
        <v>2.74</v>
      </c>
      <c r="V99" s="1">
        <v>4.6680000000000001</v>
      </c>
      <c r="W99" s="1">
        <v>9706</v>
      </c>
      <c r="X99" s="1">
        <v>13.346</v>
      </c>
      <c r="Y99" s="1">
        <v>26.279</v>
      </c>
      <c r="Z99" s="1">
        <v>4.2279999999999998</v>
      </c>
      <c r="AA99" s="1">
        <v>5.8609999999999998</v>
      </c>
      <c r="AB99" s="6">
        <f>VLOOKUP(A99,Feuil1!$F$5:$G$19,2)</f>
        <v>5.9001929969671907E-2</v>
      </c>
    </row>
    <row r="100" spans="1:28" x14ac:dyDescent="0.45">
      <c r="A100" t="s">
        <v>52</v>
      </c>
      <c r="B100" s="3">
        <v>2019</v>
      </c>
      <c r="C100">
        <v>9.080108963999999</v>
      </c>
      <c r="D100">
        <v>0.80894104799999988</v>
      </c>
      <c r="E100">
        <v>1.3453797839999999</v>
      </c>
      <c r="F100">
        <v>2.3400935280000001</v>
      </c>
      <c r="G100">
        <v>25.812768120000001</v>
      </c>
      <c r="H100">
        <v>11.987157203999999</v>
      </c>
      <c r="I100">
        <v>2.3060976599999998</v>
      </c>
      <c r="J100">
        <v>0.60266501577194076</v>
      </c>
      <c r="K100">
        <v>0.75521063647887743</v>
      </c>
      <c r="L100">
        <v>0.98</v>
      </c>
      <c r="M100" s="3" t="s">
        <v>34</v>
      </c>
      <c r="N100" s="3" t="s">
        <v>34</v>
      </c>
      <c r="S100" s="1">
        <v>0</v>
      </c>
      <c r="T100" s="1">
        <v>0</v>
      </c>
      <c r="U100">
        <v>9.9</v>
      </c>
      <c r="V100" s="1">
        <v>0</v>
      </c>
      <c r="X100" s="1">
        <v>0</v>
      </c>
      <c r="Y100" s="1">
        <v>0</v>
      </c>
      <c r="Z100">
        <v>20.100000000000001</v>
      </c>
      <c r="AA100" s="1">
        <v>0</v>
      </c>
      <c r="AB100" s="6">
        <f>VLOOKUP(A100,Feuil1!$F$5:$G$19,2)</f>
        <v>-7.8194532739987291E-2</v>
      </c>
    </row>
    <row r="101" spans="1:28" x14ac:dyDescent="0.45">
      <c r="A101" s="3" t="s">
        <v>22</v>
      </c>
      <c r="B101" s="3">
        <v>2020</v>
      </c>
      <c r="C101" s="10">
        <f>158847*0.09954</f>
        <v>15811.630380000001</v>
      </c>
      <c r="D101" s="10">
        <f>25790*0.09954</f>
        <v>2567.1366000000003</v>
      </c>
      <c r="F101" s="10">
        <f>46507*0.09954</f>
        <v>4629.3067799999999</v>
      </c>
      <c r="I101" s="10">
        <f>48178*0.09954</f>
        <v>4795.6381200000005</v>
      </c>
      <c r="J101" s="7">
        <v>0.56742022197460451</v>
      </c>
      <c r="K101" s="7">
        <v>0.63470509358061522</v>
      </c>
      <c r="L101" s="7">
        <v>0</v>
      </c>
      <c r="S101" s="7">
        <f>(1548+1410+725+684+564+444+440+300+268+164+151+144+12.5)/1000</f>
        <v>6.8544999999999998</v>
      </c>
      <c r="T101" s="10">
        <v>6.3179999999999996</v>
      </c>
      <c r="U101" s="12">
        <v>3.6</v>
      </c>
      <c r="V101" s="10">
        <v>11.475</v>
      </c>
      <c r="X101" s="12">
        <v>23.4</v>
      </c>
      <c r="Y101" s="10">
        <v>39.299999999999997</v>
      </c>
      <c r="Z101" s="10">
        <v>10.8</v>
      </c>
      <c r="AA101" s="10">
        <v>39.700000000000003</v>
      </c>
      <c r="AB101" s="6">
        <f>VLOOKUP(A101,Feuil1!$F$5:$G$19,2)</f>
        <v>0.1973716595593443</v>
      </c>
    </row>
    <row r="102" spans="1:28" x14ac:dyDescent="0.45">
      <c r="A102" s="3" t="s">
        <v>18</v>
      </c>
      <c r="B102" s="3">
        <v>2020</v>
      </c>
      <c r="C102" s="11"/>
      <c r="D102" s="11"/>
      <c r="F102" s="11"/>
      <c r="I102" s="11"/>
      <c r="J102" s="11"/>
      <c r="K102" s="11"/>
      <c r="L102" s="11"/>
      <c r="S102" s="11"/>
      <c r="T102" s="11"/>
      <c r="U102" s="11"/>
      <c r="V102" s="11"/>
      <c r="X102" s="11"/>
      <c r="Y102" s="11"/>
      <c r="Z102" s="11"/>
      <c r="AA102" s="11"/>
      <c r="AB102" s="6">
        <f>VLOOKUP(A102,Feuil1!$F$5:$G$19,2)</f>
        <v>5.2344632383330272E-2</v>
      </c>
    </row>
    <row r="103" spans="1:28" x14ac:dyDescent="0.45">
      <c r="A103" s="3" t="s">
        <v>20</v>
      </c>
      <c r="B103" s="3">
        <v>2020</v>
      </c>
      <c r="C103" s="10">
        <v>69031</v>
      </c>
      <c r="D103" s="10">
        <v>650</v>
      </c>
      <c r="F103" s="10">
        <v>16174</v>
      </c>
      <c r="I103" s="10">
        <v>42290</v>
      </c>
      <c r="J103" s="7">
        <v>0.66436818241080098</v>
      </c>
      <c r="K103" s="7">
        <v>0.35407280786892847</v>
      </c>
      <c r="L103" s="7">
        <v>3.5056713650388954E-2</v>
      </c>
      <c r="S103" s="10">
        <v>19.632999999999999</v>
      </c>
      <c r="T103" s="10">
        <v>71.191999999999993</v>
      </c>
      <c r="U103" s="10">
        <v>8.4700000000000006</v>
      </c>
      <c r="V103" s="10">
        <v>21.23</v>
      </c>
      <c r="X103" s="10">
        <v>48.8</v>
      </c>
      <c r="Y103" s="10">
        <v>384</v>
      </c>
      <c r="Z103" s="10">
        <v>20.2</v>
      </c>
      <c r="AA103" s="10">
        <v>48.8</v>
      </c>
      <c r="AB103" s="6">
        <f>VLOOKUP(A103,Feuil1!$F$5:$G$19,2)</f>
        <v>9.4529970520799214E-2</v>
      </c>
    </row>
    <row r="104" spans="1:28" x14ac:dyDescent="0.45">
      <c r="A104" s="3" t="s">
        <v>19</v>
      </c>
      <c r="B104" s="3">
        <v>2020</v>
      </c>
      <c r="C104" s="8">
        <v>19900</v>
      </c>
      <c r="D104" s="8">
        <v>596</v>
      </c>
      <c r="F104" s="8">
        <v>2460</v>
      </c>
      <c r="I104" s="8">
        <v>8487</v>
      </c>
      <c r="J104" s="8"/>
      <c r="K104" s="8">
        <f>1-0.831</f>
        <v>0.16900000000000004</v>
      </c>
      <c r="L104" s="8">
        <v>7.4999999999999997E-2</v>
      </c>
      <c r="S104" s="8"/>
      <c r="T104" s="8">
        <v>1.2</v>
      </c>
      <c r="U104" s="14">
        <v>4.8650000000000002</v>
      </c>
      <c r="V104" s="8">
        <v>0.35699999999999998</v>
      </c>
      <c r="X104" s="8"/>
      <c r="Y104" s="8"/>
      <c r="Z104" s="8"/>
      <c r="AA104" s="8"/>
      <c r="AB104" s="6">
        <f>VLOOKUP(A104,Feuil1!$F$5:$G$19,2)</f>
        <v>0.12772369031061659</v>
      </c>
    </row>
    <row r="105" spans="1:28" x14ac:dyDescent="0.45">
      <c r="A105" s="3" t="s">
        <v>16</v>
      </c>
      <c r="B105" s="3">
        <v>2020</v>
      </c>
      <c r="C105" s="10">
        <v>49015</v>
      </c>
      <c r="D105" s="10">
        <v>1832</v>
      </c>
      <c r="F105" s="10">
        <v>2688</v>
      </c>
      <c r="I105" s="10">
        <v>7023</v>
      </c>
      <c r="J105" s="7">
        <v>0.41739600648895475</v>
      </c>
      <c r="K105" s="11"/>
      <c r="L105" s="7">
        <v>0.45743139855146386</v>
      </c>
      <c r="S105" s="10">
        <v>36.588999999999999</v>
      </c>
      <c r="T105" s="10">
        <v>4.8479999999999999</v>
      </c>
      <c r="U105" s="10">
        <v>0.42</v>
      </c>
      <c r="V105" s="10">
        <v>8.44</v>
      </c>
      <c r="X105" s="10">
        <v>77.7</v>
      </c>
      <c r="Y105" s="10">
        <v>28.6</v>
      </c>
      <c r="Z105" s="10">
        <v>2.7</v>
      </c>
      <c r="AA105" s="10">
        <v>32.5</v>
      </c>
      <c r="AB105" s="6">
        <f>VLOOKUP(A105,Feuil1!$F$5:$G$19,2)</f>
        <v>0.10636900853578464</v>
      </c>
    </row>
    <row r="106" spans="1:28" x14ac:dyDescent="0.45">
      <c r="A106" s="3" t="s">
        <v>21</v>
      </c>
      <c r="B106" s="3">
        <v>2020</v>
      </c>
      <c r="C106" s="8">
        <v>8260</v>
      </c>
      <c r="D106" s="8">
        <v>210</v>
      </c>
      <c r="F106" s="8">
        <v>2504</v>
      </c>
      <c r="I106" s="8">
        <v>5546</v>
      </c>
      <c r="J106" s="8">
        <v>0.53400000000000003</v>
      </c>
      <c r="K106" s="8">
        <f>1-0.703</f>
        <v>0.29700000000000004</v>
      </c>
      <c r="L106" s="8">
        <v>2.8000000000000001E-2</v>
      </c>
      <c r="S106" s="8">
        <f>1.447+5.088</f>
        <v>6.5350000000000001</v>
      </c>
      <c r="T106" s="8">
        <v>4.29</v>
      </c>
      <c r="U106" s="8">
        <f>0.13+0.27+0.72</f>
        <v>1.1200000000000001</v>
      </c>
      <c r="V106" s="14">
        <v>2.274</v>
      </c>
      <c r="X106" s="8"/>
      <c r="Y106" s="8">
        <v>30.2</v>
      </c>
      <c r="Z106" s="8"/>
      <c r="AA106" s="8"/>
      <c r="AB106" s="6">
        <f>VLOOKUP(A106,Feuil1!$F$5:$G$19,2)</f>
        <v>-5.2821364312454827E-3</v>
      </c>
    </row>
    <row r="107" spans="1:28" x14ac:dyDescent="0.45">
      <c r="A107" s="3" t="s">
        <v>17</v>
      </c>
      <c r="B107" s="3">
        <v>2020</v>
      </c>
      <c r="C107" s="10">
        <f>12249*1.1207</f>
        <v>13727.454300000001</v>
      </c>
      <c r="D107" s="10">
        <f>957*1.1207</f>
        <v>1072.5099</v>
      </c>
      <c r="F107" s="10">
        <f>1635*1.1207</f>
        <v>1832.3445000000002</v>
      </c>
      <c r="I107" s="10">
        <f>2998*1.1207</f>
        <v>3359.8586</v>
      </c>
      <c r="J107" s="7">
        <v>5.8012899012164262E-2</v>
      </c>
      <c r="K107" s="7">
        <v>0.20099599967344273</v>
      </c>
      <c r="L107" s="7">
        <v>0.12017307535309005</v>
      </c>
      <c r="S107" s="10">
        <v>0</v>
      </c>
      <c r="T107" s="10">
        <v>0</v>
      </c>
      <c r="U107" s="10">
        <v>2.6</v>
      </c>
      <c r="V107" s="10">
        <v>0</v>
      </c>
      <c r="X107" s="10">
        <v>3.1</v>
      </c>
      <c r="Y107" s="10">
        <v>9.1</v>
      </c>
      <c r="Z107" s="10">
        <v>0</v>
      </c>
      <c r="AA107" s="10">
        <v>0</v>
      </c>
      <c r="AB107" s="6">
        <f>VLOOKUP(A107,Feuil1!$F$5:$G$19,2)</f>
        <v>-5.2821364312454827E-3</v>
      </c>
    </row>
    <row r="108" spans="1:28" x14ac:dyDescent="0.45">
      <c r="A108" s="3" t="s">
        <v>28</v>
      </c>
      <c r="B108" s="3">
        <v>2020</v>
      </c>
      <c r="C108" s="10">
        <v>12448</v>
      </c>
      <c r="D108" s="10">
        <v>801</v>
      </c>
      <c r="F108" s="10">
        <v>3657</v>
      </c>
      <c r="I108" s="10">
        <v>12243</v>
      </c>
      <c r="J108" s="10">
        <v>0.86</v>
      </c>
      <c r="K108" s="7">
        <f>1-0.462</f>
        <v>0.53800000000000003</v>
      </c>
      <c r="L108" s="7">
        <f>0.247+0.043+0.021</f>
        <v>0.311</v>
      </c>
      <c r="S108" s="10">
        <v>1.97</v>
      </c>
      <c r="T108" s="8">
        <v>0.156</v>
      </c>
      <c r="U108" s="10">
        <f>23.68-V108</f>
        <v>16.553999999999998</v>
      </c>
      <c r="V108" s="10">
        <v>7.1260000000000003</v>
      </c>
      <c r="X108" s="7">
        <f>1.16+0.521+1.475+2.665</f>
        <v>5.8209999999999997</v>
      </c>
      <c r="Y108" s="7">
        <f>0.331+0.19+0.336+0.339</f>
        <v>1.196</v>
      </c>
      <c r="Z108" s="10">
        <f>64.318</f>
        <v>64.317999999999998</v>
      </c>
      <c r="AA108" s="7">
        <f>6.731+4.346+2.479+5.236</f>
        <v>18.792000000000002</v>
      </c>
      <c r="AB108" s="6">
        <f>VLOOKUP(A108,Feuil1!$F$5:$G$19,2)</f>
        <v>0.1172746457642448</v>
      </c>
    </row>
    <row r="109" spans="1:28" x14ac:dyDescent="0.45">
      <c r="A109" s="3" t="s">
        <v>24</v>
      </c>
      <c r="B109" s="3">
        <v>2020</v>
      </c>
      <c r="C109" s="8">
        <v>13688</v>
      </c>
      <c r="D109" s="8">
        <v>995</v>
      </c>
      <c r="F109" s="8">
        <v>3235</v>
      </c>
      <c r="I109" s="13">
        <v>4432</v>
      </c>
      <c r="J109" s="8"/>
      <c r="K109" s="8">
        <f>1-0.369</f>
        <v>0.63100000000000001</v>
      </c>
      <c r="L109" s="8">
        <v>0.41399999999999998</v>
      </c>
      <c r="S109" s="11"/>
      <c r="T109" s="8">
        <v>2.77</v>
      </c>
      <c r="U109" s="14">
        <f>10.148-V109</f>
        <v>9.5459999999999994</v>
      </c>
      <c r="V109" s="9">
        <v>0.60199999999999998</v>
      </c>
      <c r="X109" s="8">
        <f>50.14+36.649+7.375</f>
        <v>94.164000000000001</v>
      </c>
      <c r="Y109" s="14">
        <v>20.681999999999999</v>
      </c>
      <c r="Z109" s="9">
        <f>29.7-AA109</f>
        <v>27.718999999999998</v>
      </c>
      <c r="AA109" s="9">
        <v>1.9810000000000001</v>
      </c>
      <c r="AB109" s="6">
        <f>VLOOKUP(A109,Feuil1!$F$5:$G$19,2)</f>
        <v>0.61833550065019505</v>
      </c>
    </row>
    <row r="110" spans="1:28" x14ac:dyDescent="0.45">
      <c r="A110" s="3" t="s">
        <v>23</v>
      </c>
      <c r="B110" s="3">
        <v>2020</v>
      </c>
      <c r="C110" s="8">
        <v>37310</v>
      </c>
      <c r="D110" s="8">
        <v>3611</v>
      </c>
      <c r="F110" s="8">
        <v>10715</v>
      </c>
      <c r="I110" s="8">
        <v>35925</v>
      </c>
      <c r="J110" s="8"/>
      <c r="K110" s="8">
        <v>0.36599999999999999</v>
      </c>
      <c r="L110" s="8">
        <v>0.63400000000000001</v>
      </c>
      <c r="S110" s="8"/>
      <c r="T110" s="8">
        <v>3.1760000000000002</v>
      </c>
      <c r="U110" s="14">
        <f>35.104-V110</f>
        <v>21.942</v>
      </c>
      <c r="V110" s="8">
        <v>13.162000000000001</v>
      </c>
      <c r="X110" s="8"/>
      <c r="Y110" s="8"/>
      <c r="Z110" s="8"/>
      <c r="AA110" s="8"/>
      <c r="AB110" s="6">
        <f>VLOOKUP(A110,Feuil1!$F$5:$G$19,2)</f>
        <v>0</v>
      </c>
    </row>
    <row r="111" spans="1:28" x14ac:dyDescent="0.45">
      <c r="A111" s="3" t="s">
        <v>30</v>
      </c>
      <c r="B111" s="3">
        <v>2020</v>
      </c>
      <c r="C111" s="10">
        <v>3235</v>
      </c>
      <c r="D111" s="10">
        <v>631</v>
      </c>
      <c r="F111" s="10">
        <v>1293</v>
      </c>
      <c r="I111" s="10">
        <v>1237</v>
      </c>
      <c r="J111" s="10">
        <v>0.79200000000000004</v>
      </c>
      <c r="K111" s="10">
        <v>0.502</v>
      </c>
      <c r="L111" s="10">
        <v>4.2999999999999997E-2</v>
      </c>
      <c r="S111" s="11"/>
      <c r="T111" s="11"/>
      <c r="U111" s="7">
        <f>0.418+0.002+0.848</f>
        <v>1.268</v>
      </c>
      <c r="V111" s="10">
        <v>8.2669999999999995</v>
      </c>
      <c r="X111" s="11"/>
      <c r="Y111" s="11"/>
      <c r="Z111" s="7">
        <f>0.924+0.001+0.687</f>
        <v>1.6120000000000001</v>
      </c>
      <c r="AA111" s="12">
        <v>31.524999999999999</v>
      </c>
      <c r="AB111" s="6">
        <f>VLOOKUP(A111,Feuil1!$F$5:$G$19,2)</f>
        <v>0.36921296296296297</v>
      </c>
    </row>
    <row r="112" spans="1:28" x14ac:dyDescent="0.45">
      <c r="A112" s="3" t="s">
        <v>27</v>
      </c>
      <c r="B112" s="3">
        <v>2020</v>
      </c>
      <c r="C112" s="10">
        <v>64985</v>
      </c>
      <c r="D112" s="10">
        <v>2174</v>
      </c>
      <c r="F112" s="10">
        <v>8368</v>
      </c>
      <c r="I112" s="10">
        <v>45415</v>
      </c>
      <c r="J112" s="11"/>
      <c r="K112" s="7">
        <f>1-0.34</f>
        <v>0.65999999999999992</v>
      </c>
      <c r="L112" s="7">
        <f>0.1+0.042+0.029+0.017+0.016</f>
        <v>0.20400000000000001</v>
      </c>
      <c r="S112" s="11"/>
      <c r="T112" s="11"/>
      <c r="U112" s="11"/>
      <c r="V112" s="11"/>
      <c r="X112" s="10">
        <v>103</v>
      </c>
      <c r="Y112" s="11"/>
      <c r="Z112" s="10">
        <v>99</v>
      </c>
      <c r="AA112" s="11"/>
      <c r="AB112" s="6">
        <f>VLOOKUP(A112,Feuil1!$F$5:$G$19,2)</f>
        <v>8.2747232585162991E-2</v>
      </c>
    </row>
    <row r="113" spans="1:28" x14ac:dyDescent="0.45">
      <c r="A113" s="3" t="s">
        <v>25</v>
      </c>
      <c r="B113" s="3">
        <v>2020</v>
      </c>
      <c r="C113" s="10">
        <v>60944</v>
      </c>
      <c r="D113" s="10">
        <v>1017</v>
      </c>
      <c r="F113" s="10">
        <v>6905</v>
      </c>
      <c r="I113" s="10" t="s">
        <v>57</v>
      </c>
      <c r="J113" s="10">
        <v>0.73599999999999999</v>
      </c>
      <c r="K113" s="7">
        <f>1-0.344-0.169</f>
        <v>0.48699999999999999</v>
      </c>
      <c r="L113" s="7">
        <f>0.23+0.027+0.01</f>
        <v>0.26700000000000002</v>
      </c>
      <c r="S113" s="11"/>
      <c r="T113" s="11"/>
      <c r="U113" s="11"/>
      <c r="V113" s="11"/>
      <c r="X113" s="11"/>
      <c r="Y113" s="11"/>
      <c r="Z113" s="11"/>
      <c r="AA113" s="11"/>
      <c r="AB113" s="6">
        <f>VLOOKUP(A113,Feuil1!$F$5:$G$19,2)</f>
        <v>0.14834710743801652</v>
      </c>
    </row>
    <row r="114" spans="1:28" x14ac:dyDescent="0.45">
      <c r="A114" s="3" t="s">
        <v>26</v>
      </c>
      <c r="B114" s="3">
        <v>2020</v>
      </c>
      <c r="C114" s="10">
        <v>55751</v>
      </c>
      <c r="D114" s="10">
        <v>-1536</v>
      </c>
      <c r="F114" s="10">
        <v>9276</v>
      </c>
      <c r="I114" s="10">
        <v>22458</v>
      </c>
      <c r="J114" s="11"/>
      <c r="K114" s="7">
        <f>1-0.403</f>
        <v>0.59699999999999998</v>
      </c>
      <c r="L114" s="7">
        <f>0.088+0.016+0.079+0.064+0.007</f>
        <v>0.254</v>
      </c>
      <c r="S114" s="12">
        <v>29.6</v>
      </c>
      <c r="T114" s="11"/>
      <c r="U114" s="12">
        <v>23.1</v>
      </c>
      <c r="V114" s="12">
        <v>32.6</v>
      </c>
      <c r="X114" s="11"/>
      <c r="Y114" s="11"/>
      <c r="Z114" s="11"/>
      <c r="AA114" s="11"/>
      <c r="AB114" s="6">
        <f>VLOOKUP(A114,Feuil1!$F$5:$G$19,2)</f>
        <v>0.12234733650931139</v>
      </c>
    </row>
    <row r="115" spans="1:28" x14ac:dyDescent="0.45">
      <c r="A115" s="3" t="s">
        <v>29</v>
      </c>
      <c r="B115" s="3">
        <v>2020</v>
      </c>
      <c r="C115" s="12">
        <v>2866</v>
      </c>
      <c r="D115" s="10">
        <v>2312</v>
      </c>
      <c r="F115" s="10">
        <v>2452</v>
      </c>
      <c r="I115" s="10">
        <v>3425</v>
      </c>
      <c r="J115" s="11"/>
      <c r="K115" s="11"/>
      <c r="L115" s="11"/>
      <c r="S115" s="10">
        <v>11.186999999999999</v>
      </c>
      <c r="T115" s="10">
        <v>3.4529999999999998</v>
      </c>
      <c r="U115" s="10">
        <v>3.032</v>
      </c>
      <c r="V115" s="10">
        <v>4.7930000000000001</v>
      </c>
      <c r="X115" s="10">
        <v>17.015000000000001</v>
      </c>
      <c r="Y115" s="10">
        <v>25.838999999999999</v>
      </c>
      <c r="Z115" s="10">
        <v>5.734</v>
      </c>
      <c r="AA115" s="10">
        <v>7.681</v>
      </c>
      <c r="AB115" s="6">
        <f>VLOOKUP(A115,Feuil1!$F$5:$G$19,2)</f>
        <v>5.9001929969671907E-2</v>
      </c>
    </row>
    <row r="116" spans="1:28" x14ac:dyDescent="0.45">
      <c r="A116" s="3" t="s">
        <v>52</v>
      </c>
      <c r="B116" s="3">
        <v>2020</v>
      </c>
      <c r="C116" s="10">
        <f>52601*134380/1000000</f>
        <v>7068.5223800000003</v>
      </c>
      <c r="D116" s="10">
        <f>19178*134380/1000000</f>
        <v>2577.1396399999999</v>
      </c>
      <c r="F116" s="10">
        <f>18124*134380/1000000</f>
        <v>2435.5031199999999</v>
      </c>
      <c r="I116" s="10">
        <f>12343*134380/1000000</f>
        <v>1658.6523400000001</v>
      </c>
      <c r="J116" s="11"/>
      <c r="K116" s="11"/>
      <c r="L116" s="11"/>
      <c r="S116" s="10">
        <v>4.4000000000000004</v>
      </c>
      <c r="T116" s="10">
        <v>0</v>
      </c>
      <c r="U116" s="10">
        <v>9.24</v>
      </c>
      <c r="V116" s="10">
        <v>0</v>
      </c>
      <c r="X116" s="10">
        <v>4.4379999999999997</v>
      </c>
      <c r="Y116" s="10">
        <v>0</v>
      </c>
      <c r="Z116" s="10">
        <v>20.9</v>
      </c>
      <c r="AA116" s="10">
        <v>0</v>
      </c>
      <c r="AB116" s="6">
        <f>VLOOKUP(A116,Feuil1!$F$5:$G$19,2)</f>
        <v>-7.8194532739987291E-2</v>
      </c>
    </row>
    <row r="117" spans="1:28" x14ac:dyDescent="0.45">
      <c r="A117" s="3" t="s">
        <v>53</v>
      </c>
      <c r="B117" s="3">
        <v>2020</v>
      </c>
      <c r="C117" s="7">
        <f>3905*0.92362</f>
        <v>3606.7361000000001</v>
      </c>
      <c r="D117" s="7">
        <f>110*0.92362</f>
        <v>101.59820000000001</v>
      </c>
      <c r="F117" s="7">
        <f>262*0.92362</f>
        <v>241.98844</v>
      </c>
      <c r="I117" s="7">
        <f>249*0.92362</f>
        <v>229.98138</v>
      </c>
      <c r="J117" s="11"/>
      <c r="K117" s="11"/>
      <c r="L117" s="11"/>
      <c r="S117" s="10">
        <v>1.3169999999999999</v>
      </c>
      <c r="T117" s="10">
        <v>0.67600000000000005</v>
      </c>
      <c r="U117" s="10">
        <v>0.32600000000000001</v>
      </c>
      <c r="V117" s="10">
        <v>2.91</v>
      </c>
      <c r="X117" s="10">
        <v>3.1339999999999999</v>
      </c>
      <c r="Y117" s="10">
        <v>5.3330000000000002</v>
      </c>
      <c r="Z117" s="10">
        <v>0.52100000000000002</v>
      </c>
      <c r="AA117" s="10">
        <v>4.702</v>
      </c>
      <c r="AB117" s="6" t="e">
        <f>VLOOKUP(A117,Feuil1!$F$5:$G$19,2)</f>
        <v>#N/A</v>
      </c>
    </row>
    <row r="118" spans="1:28" x14ac:dyDescent="0.45">
      <c r="A118" s="3" t="s">
        <v>54</v>
      </c>
      <c r="B118" s="3">
        <v>2020</v>
      </c>
      <c r="C118" s="8">
        <v>1560</v>
      </c>
      <c r="D118" s="8">
        <v>37</v>
      </c>
      <c r="F118" s="8">
        <v>116</v>
      </c>
      <c r="I118" s="8"/>
      <c r="J118" s="8"/>
      <c r="K118" s="8"/>
      <c r="L118" s="8"/>
      <c r="S118" s="8"/>
      <c r="T118" s="8"/>
      <c r="U118" s="8"/>
      <c r="V118" s="8"/>
      <c r="X118" s="8">
        <v>1.1619999999999999</v>
      </c>
      <c r="Y118" s="8">
        <v>0.216</v>
      </c>
      <c r="Z118" s="8">
        <v>0.23200000000000001</v>
      </c>
      <c r="AA118" s="8">
        <v>1.341</v>
      </c>
      <c r="AB118" s="6">
        <f>VLOOKUP(A118,Feuil1!$F$5:$G$19,2)</f>
        <v>-7.8194532739987291E-2</v>
      </c>
    </row>
    <row r="119" spans="1:28" x14ac:dyDescent="0.45">
      <c r="A119" s="3" t="s">
        <v>55</v>
      </c>
      <c r="B119" s="3">
        <v>2020</v>
      </c>
      <c r="C119" s="10">
        <f>2935700000*0.92362/1000000</f>
        <v>2711.4712340000001</v>
      </c>
      <c r="D119" s="10">
        <f>382400000*0.92362/1000000</f>
        <v>353.19228800000002</v>
      </c>
      <c r="F119" s="10">
        <f>679000000*0.92362/1000000</f>
        <v>627.13797999999997</v>
      </c>
      <c r="I119" s="10">
        <f>502000000*0.92362/1000000</f>
        <v>463.65724</v>
      </c>
      <c r="J119" s="11"/>
      <c r="K119" s="11"/>
      <c r="L119" s="11"/>
      <c r="S119" s="10">
        <v>62.4</v>
      </c>
      <c r="T119" s="10">
        <v>373</v>
      </c>
      <c r="U119" s="10">
        <v>531.6</v>
      </c>
      <c r="V119" s="10">
        <v>203.4</v>
      </c>
      <c r="X119" s="10">
        <v>1.2</v>
      </c>
      <c r="Y119" s="10">
        <v>2.2000000000000002</v>
      </c>
      <c r="Z119" s="10">
        <v>1.8</v>
      </c>
      <c r="AA119" s="10">
        <v>3.8</v>
      </c>
      <c r="AB119" s="6" t="e">
        <f>VLOOKUP(A119,Feuil1!$F$5:$G$19,2)</f>
        <v>#N/A</v>
      </c>
    </row>
    <row r="120" spans="1:28" x14ac:dyDescent="0.45">
      <c r="A120" s="3" t="s">
        <v>56</v>
      </c>
      <c r="B120" s="3">
        <v>2020</v>
      </c>
      <c r="C120" s="11"/>
      <c r="F120" s="11"/>
      <c r="S120" s="11"/>
      <c r="T120" s="11"/>
      <c r="U120" s="11"/>
      <c r="V120" s="11"/>
      <c r="X120" s="11"/>
      <c r="Y120" s="11"/>
      <c r="Z120" s="11"/>
      <c r="AA120" s="11"/>
    </row>
  </sheetData>
  <autoFilter ref="B1:B98" xr:uid="{9094F259-C9FC-4219-928B-FA701ED9060D}"/>
  <hyperlinks>
    <hyperlink ref="U104" r:id="rId1" display="https://www.enbw.com/company/the-group/about-us/company-profile/" xr:uid="{1CD5C0FE-3F2A-4AFF-9502-7485423865DD}"/>
    <hyperlink ref="V106" r:id="rId2" display="https://www.cez.cz/en/energy-generation" xr:uid="{B30D2218-5338-4DF5-BC5D-B9C0640F6024}"/>
    <hyperlink ref="Y109" r:id="rId3" display="https://docs.google.com/spreadsheets/d/1XU4u3bx4CQiAlJuA7CY6r0evypoWZxcH/2021-03-16-rwe-annual-report-2020.pdf" xr:uid="{B0DD507F-3EDB-4EC2-8DD7-21987EBBD07F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C20D-6BCB-40E7-98A1-A2CEEF164C92}">
  <dimension ref="A1:AB2"/>
  <sheetViews>
    <sheetView workbookViewId="0">
      <selection activeCell="A2" sqref="A2:XFD2"/>
    </sheetView>
  </sheetViews>
  <sheetFormatPr baseColWidth="10"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t="s">
        <v>14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15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</row>
    <row r="2" spans="1:28" x14ac:dyDescent="0.45">
      <c r="A2" t="s">
        <v>16</v>
      </c>
      <c r="B2" s="3">
        <v>2012</v>
      </c>
      <c r="C2" s="1">
        <v>6159</v>
      </c>
      <c r="D2" s="1">
        <v>1503</v>
      </c>
      <c r="E2" s="1">
        <v>1861</v>
      </c>
      <c r="F2" s="1">
        <v>1416</v>
      </c>
      <c r="G2" s="1">
        <v>24628</v>
      </c>
      <c r="H2" s="1">
        <v>10821</v>
      </c>
      <c r="I2" s="1">
        <v>7814</v>
      </c>
      <c r="J2" s="1"/>
      <c r="K2" s="1">
        <v>0.25</v>
      </c>
      <c r="L2" s="1"/>
      <c r="M2" s="3"/>
      <c r="N2" s="3"/>
      <c r="O2" s="1">
        <v>12570</v>
      </c>
      <c r="P2" s="1">
        <v>0.50760000000000005</v>
      </c>
      <c r="Q2" s="1"/>
      <c r="R2" s="1">
        <v>0.82622399999999996</v>
      </c>
      <c r="S2" s="1">
        <v>5.0229999999999997</v>
      </c>
      <c r="T2" s="1">
        <v>3.2469999999999999</v>
      </c>
      <c r="U2" s="1">
        <v>1.778</v>
      </c>
      <c r="V2" s="1">
        <v>4.6269999999999998</v>
      </c>
      <c r="W2" s="1">
        <v>10371</v>
      </c>
      <c r="X2" s="1">
        <v>23</v>
      </c>
      <c r="Y2" s="1">
        <v>25.2</v>
      </c>
      <c r="Z2" s="1">
        <v>1.4</v>
      </c>
      <c r="AA2" s="1">
        <v>25.2</v>
      </c>
      <c r="AB2" s="6">
        <f>VLOOKUP(A2,Feuil1!$F$5:$G$19,2)</f>
        <v>0.10636900853578464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E396-4089-4728-B94B-E1853A3B5466}">
  <dimension ref="A1:AB3"/>
  <sheetViews>
    <sheetView workbookViewId="0">
      <selection activeCell="A2" sqref="A2:XFD3"/>
    </sheetView>
  </sheetViews>
  <sheetFormatPr baseColWidth="10"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t="s">
        <v>14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15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</row>
    <row r="2" spans="1:28" x14ac:dyDescent="0.45">
      <c r="A2" t="s">
        <v>29</v>
      </c>
      <c r="B2" s="3">
        <v>2019</v>
      </c>
      <c r="C2" s="1">
        <v>20158</v>
      </c>
      <c r="D2" s="1">
        <v>171</v>
      </c>
      <c r="E2" s="1">
        <v>388</v>
      </c>
      <c r="F2" s="1">
        <v>3841</v>
      </c>
      <c r="G2" s="1">
        <v>31981</v>
      </c>
      <c r="H2" s="1">
        <v>7837</v>
      </c>
      <c r="I2" s="1">
        <v>6377</v>
      </c>
      <c r="J2" s="1">
        <v>0.68464133299999996</v>
      </c>
      <c r="K2" s="1">
        <v>5.3775176000000001E-2</v>
      </c>
      <c r="L2" s="1"/>
      <c r="M2" s="3" t="s">
        <v>32</v>
      </c>
      <c r="N2" s="3" t="s">
        <v>32</v>
      </c>
      <c r="O2" s="1"/>
      <c r="P2" s="1"/>
      <c r="Q2" s="1">
        <v>0.2989</v>
      </c>
      <c r="R2" s="1">
        <v>0.70099999999999996</v>
      </c>
      <c r="S2" s="1">
        <v>11.178000000000001</v>
      </c>
      <c r="T2" s="1">
        <v>3.3180000000000001</v>
      </c>
      <c r="U2" s="1">
        <v>2.74</v>
      </c>
      <c r="V2" s="1">
        <v>4.6680000000000001</v>
      </c>
      <c r="W2" s="1">
        <v>9706</v>
      </c>
      <c r="X2" s="1">
        <v>13.346</v>
      </c>
      <c r="Y2" s="1">
        <v>26.279</v>
      </c>
      <c r="Z2" s="1">
        <v>4.2279999999999998</v>
      </c>
      <c r="AA2" s="1">
        <v>5.8609999999999998</v>
      </c>
      <c r="AB2" s="6">
        <f>VLOOKUP(A2,Feuil1!$F$5:$G$19,2)</f>
        <v>5.9001929969671907E-2</v>
      </c>
    </row>
    <row r="3" spans="1:28" x14ac:dyDescent="0.45">
      <c r="A3" t="s">
        <v>29</v>
      </c>
      <c r="B3" s="3">
        <v>2018</v>
      </c>
      <c r="C3" s="1">
        <v>20195</v>
      </c>
      <c r="D3" s="1">
        <v>1417</v>
      </c>
      <c r="E3" s="1">
        <v>1919</v>
      </c>
      <c r="F3" s="1">
        <v>3627</v>
      </c>
      <c r="G3" s="1">
        <v>31656</v>
      </c>
      <c r="H3" s="1">
        <v>9181</v>
      </c>
      <c r="I3" s="1">
        <v>5770</v>
      </c>
      <c r="J3" s="1">
        <v>0.70002475900000005</v>
      </c>
      <c r="K3" s="1">
        <v>4.9962861999999997E-2</v>
      </c>
      <c r="L3" s="1"/>
      <c r="M3" s="3"/>
      <c r="N3" s="3"/>
      <c r="O3" s="1"/>
      <c r="P3" s="1"/>
      <c r="Q3" s="1">
        <v>0.2989</v>
      </c>
      <c r="R3" s="1">
        <v>0.70099999999999996</v>
      </c>
      <c r="S3" s="1">
        <v>12.872999999999999</v>
      </c>
      <c r="T3" s="1">
        <v>3.3180000000000001</v>
      </c>
      <c r="U3" s="1">
        <v>1.8149999999999999</v>
      </c>
      <c r="V3" s="1">
        <v>4.7119999999999997</v>
      </c>
      <c r="W3" s="1"/>
      <c r="X3" s="1">
        <v>28.997</v>
      </c>
      <c r="Y3" s="1">
        <v>24.067</v>
      </c>
      <c r="Z3" s="1">
        <v>3.7120000000000002</v>
      </c>
      <c r="AA3" s="1">
        <v>8.4589999999999996</v>
      </c>
      <c r="AB3" s="6">
        <f>VLOOKUP(A3,Feuil1!$F$5:$G$19,2)</f>
        <v>5.9001929969671907E-2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database</vt:lpstr>
      <vt:lpstr>2012</vt:lpstr>
      <vt:lpstr>Endesa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SANKARI</dc:creator>
  <cp:lastModifiedBy>Rémi SANKARI</cp:lastModifiedBy>
  <dcterms:created xsi:type="dcterms:W3CDTF">2020-06-30T14:52:38Z</dcterms:created>
  <dcterms:modified xsi:type="dcterms:W3CDTF">2021-05-11T13:52:24Z</dcterms:modified>
</cp:coreProperties>
</file>