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ppa\Documents\Fall 2021\System Admin\"/>
    </mc:Choice>
  </mc:AlternateContent>
  <xr:revisionPtr revIDLastSave="0" documentId="8_{EEB55CBF-8FDB-49F4-9964-76883CB9ECF8}" xr6:coauthVersionLast="47" xr6:coauthVersionMax="47" xr10:uidLastSave="{00000000-0000-0000-0000-000000000000}"/>
  <bookViews>
    <workbookView xWindow="-10320" yWindow="5490" windowWidth="21600" windowHeight="11385" tabRatio="703" firstSheet="3" activeTab="5" xr2:uid="{00000000-000D-0000-FFFF-FFFF00000000}"/>
    <workbookView minimized="1" xWindow="-11895" yWindow="3960" windowWidth="21600" windowHeight="11385" xr2:uid="{B10738CB-5D30-4047-935E-2407AAAD4C1D}"/>
  </bookViews>
  <sheets>
    <sheet name="Constants" sheetId="6" r:id="rId1"/>
    <sheet name="Current Cost Structure" sheetId="1" r:id="rId2"/>
    <sheet name="Current - Variables" sheetId="4" r:id="rId3"/>
    <sheet name="Proposed - Variables" sheetId="7" r:id="rId4"/>
    <sheet name="Virtualized Cost Structure" sheetId="2" r:id="rId5"/>
    <sheet name="Project Cost Summary" sheetId="3" r:id="rId6"/>
  </sheets>
  <definedNames>
    <definedName name="adminCostOnVirtualServer">'Proposed - Variables'!#REF!</definedName>
    <definedName name="administrativeCostPerHourYear1">'Current - Variables'!#REF!</definedName>
    <definedName name="administrativeRateIncrease">'Current - Variables'!#REF!</definedName>
    <definedName name="alpha">'Proposed - Variables'!#REF!</definedName>
    <definedName name="backupTImeGroup1V">'Proposed - Variables'!#REF!</definedName>
    <definedName name="backupTimeGroup2V">'Proposed - Variables'!#REF!</definedName>
    <definedName name="backupTimeGroup3V">'Proposed - Variables'!#REF!</definedName>
    <definedName name="backupTimeGroup4V">'Proposed - Variables'!#REF!</definedName>
    <definedName name="beta">'Proposed - Variables'!#REF!</definedName>
    <definedName name="costGroup1ServerMaintenanceYear1">'Proposed - Variables'!#REF!</definedName>
    <definedName name="costGroup2ServerMaintenanceYear1">'Proposed - Variables'!#REF!</definedName>
    <definedName name="costGroup3ServerMaintenanceYear1">'Proposed - Variables'!#REF!</definedName>
    <definedName name="costkwHYear1">'Current - Variables'!#REF!</definedName>
    <definedName name="costNewGroup1Server">'Proposed - Variables'!#REF!</definedName>
    <definedName name="costNewGroup2Server">'Proposed - Variables'!#REF!</definedName>
    <definedName name="costNewGroup3Server">'Proposed - Variables'!#REF!</definedName>
    <definedName name="costNewGroup4Server">'Proposed - Variables'!#REF!</definedName>
    <definedName name="dataStorageMonthlyChargeYears1And2">'Current - Variables'!#REF!</definedName>
    <definedName name="dataStorageMonthlyChargeYears3Thru5">'Current - Variables'!#REF!</definedName>
    <definedName name="daysInAYear">Constants!#REF!</definedName>
    <definedName name="empsTrainedYears1And2">'Proposed - Variables'!#REF!</definedName>
    <definedName name="empsTrainedYears3Thru5">'Proposed - Variables'!#REF!</definedName>
    <definedName name="hoursInAWeek">Constants!#REF!</definedName>
    <definedName name="hoursInAYear">Constants!#REF!</definedName>
    <definedName name="hoursPerBackupGroup1">'Current - Variables'!#REF!</definedName>
    <definedName name="hoursPerBackupGroup1A">'Current - Variables'!#REF!</definedName>
    <definedName name="hoursPerBackupGroup1B">'Current - Variables'!#REF!</definedName>
    <definedName name="hoursPerBackupGroup2">'Current - Variables'!#REF!</definedName>
    <definedName name="hoursPerBackupGroup3">'Current - Variables'!#REF!</definedName>
    <definedName name="hoursPerBackupGroup3A">'Current - Variables'!#REF!</definedName>
    <definedName name="hoursPerBackupGroup3B">'Current - Variables'!#REF!</definedName>
    <definedName name="hoursPerBackupGroup4A">'Current - Variables'!#REF!</definedName>
    <definedName name="hoursPerBackupGroup4B">'Current - Variables'!#REF!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enanceCostYear1Group1">'Current - Variables'!#REF!</definedName>
    <definedName name="maintenanceCostYear1Group1A">'Current - Variables'!#REF!</definedName>
    <definedName name="maintenanceCostYear1Group1B">'Current - Variables'!#REF!</definedName>
    <definedName name="maintenanceCostYear1Group2">'Current - Variables'!#REF!</definedName>
    <definedName name="maintenanceCostYear1Group3">'Current - Variables'!#REF!</definedName>
    <definedName name="maintenanceCostYear1Group3A">'Current - Variables'!#REF!</definedName>
    <definedName name="maintenanceCostYear1Group3B">'Current - Variables'!#REF!</definedName>
    <definedName name="maintenanceCostYear1Group4A">'Current - Variables'!#REF!</definedName>
    <definedName name="maintenanceCostYear1Group4B">'Current - Variables'!#REF!</definedName>
    <definedName name="maintenanceRateIncrease">'Current - Variables'!#REF!</definedName>
    <definedName name="monthsInAYear">Constants!#REF!</definedName>
    <definedName name="newServerPowerGroup1">'Proposed - Variables'!#REF!</definedName>
    <definedName name="newServerPowerGroup2">'Proposed - Variables'!#REF!</definedName>
    <definedName name="newServerPowerGroup3">'Proposed - Variables'!#REF!</definedName>
    <definedName name="newServerPowerGroup4">'Proposed - Variables'!#REF!</definedName>
    <definedName name="numberOfBackUpsGroup1V">'Proposed - Variables'!#REF!</definedName>
    <definedName name="numberOfBackUpsGroup2V">'Proposed - Variables'!#REF!</definedName>
    <definedName name="numberOfBackUpsGroup3V">'Proposed - Variables'!#REF!</definedName>
    <definedName name="numberOfBackupsGroup4V">'Proposed - Variables'!#REF!</definedName>
    <definedName name="numberOfBackupsPerYearGroup1">'Current - Variables'!#REF!</definedName>
    <definedName name="numberOfBackupsPerYearGroup1A">'Current - Variables'!#REF!</definedName>
    <definedName name="numberOfBackupsPerYearGroup1B">'Current - Variables'!#REF!</definedName>
    <definedName name="numberOfBackupsPerYearGroup2">'Current - Variables'!#REF!</definedName>
    <definedName name="numberOfBackupsPerYearGroup3">'Current - Variables'!#REF!</definedName>
    <definedName name="numberOfBackupsPerYearGroup3A">'Current - Variables'!#REF!</definedName>
    <definedName name="numberOfBackupsPerYearGroup3B">'Current - Variables'!#REF!</definedName>
    <definedName name="numberOfBackupsPerYearGroup4A">'Current - Variables'!#REF!</definedName>
    <definedName name="numberOfBackupsPerYearGroup4B">'Current - Variables'!#REF!</definedName>
    <definedName name="numNewServersGroup1">'Proposed - Variables'!#REF!</definedName>
    <definedName name="numNewServersGroup2">'Proposed - Variables'!#REF!</definedName>
    <definedName name="numNewServersGroup3">'Proposed - Variables'!#REF!</definedName>
    <definedName name="numNewServersGroup4">'Proposed - Variables'!#REF!</definedName>
    <definedName name="numServersGroup1">'Current - Variables'!#REF!</definedName>
    <definedName name="numServersGroup1A">'Current - Variables'!#REF!</definedName>
    <definedName name="numServersGroup1B">'Current - Variables'!#REF!</definedName>
    <definedName name="numServersGroup2">'Current - Variables'!#REF!</definedName>
    <definedName name="numServersGroup3">'Current - Variables'!#REF!</definedName>
    <definedName name="numServersGroup3A">'Current - Variables'!#REF!</definedName>
    <definedName name="numServersGroup3B">'Current - Variables'!#REF!</definedName>
    <definedName name="numServersGroup4A">'Current - Variables'!#REF!</definedName>
    <definedName name="numServersGroup4B">'Current - Variables'!#REF!</definedName>
    <definedName name="numVirtualServersGroup1">'Proposed - Variables'!#REF!</definedName>
    <definedName name="numVirtualServersGroup2">'Proposed - Variables'!#REF!</definedName>
    <definedName name="numVirtualServersGroup3">'Proposed - Variables'!#REF!</definedName>
    <definedName name="numVirtualServersGroup4">'Proposed - Variables'!#REF!</definedName>
    <definedName name="powerRateIncrease">'Current - Variables'!#REF!</definedName>
    <definedName name="securityFirmMonthlyCharge">'Current - Variables'!#REF!</definedName>
    <definedName name="serverLoadGroup1">'Current - Variables'!#REF!</definedName>
    <definedName name="serverLoadGroup1A">'Current - Variables'!#REF!</definedName>
    <definedName name="serverLoadGroup1B">'Current - Variables'!#REF!</definedName>
    <definedName name="serverLoadGroup2">'Current - Variables'!#REF!</definedName>
    <definedName name="serverLoadGroup3">'Current - Variables'!#REF!</definedName>
    <definedName name="serverLoadGroup3A">'Current - Variables'!#REF!</definedName>
    <definedName name="serverLoadGroup3B">'Current - Variables'!#REF!</definedName>
    <definedName name="serverLoadGroup4A">'Current - Variables'!#REF!</definedName>
    <definedName name="serverLoadGroup4B">'Current - Variables'!#REF!</definedName>
    <definedName name="serverMaintenanceRateIncrease">'Proposed - Variables'!#REF!</definedName>
    <definedName name="serverPowerGroup1">'Current - Variables'!#REF!</definedName>
    <definedName name="serverPowerGroup1A">'Current - Variables'!#REF!</definedName>
    <definedName name="serverPowerGroup1B">'Current - Variables'!#REF!</definedName>
    <definedName name="serverPowerGroup2">'Current - Variables'!#REF!</definedName>
    <definedName name="serverPowerGroup3">'Current - Variables'!#REF!</definedName>
    <definedName name="serverPowerGroup3A">'Current - Variables'!#REF!</definedName>
    <definedName name="serverPowerGroup3B">'Current - Variables'!#REF!</definedName>
    <definedName name="serverPowerGroup4A">'Current - Variables'!#REF!</definedName>
    <definedName name="serverPowerGroup4B">'Current - Variables'!#REF!</definedName>
    <definedName name="trainingCostPerEmployee">'Proposed - Variables'!#REF!</definedName>
    <definedName name="virtualizationSoftwareCost">'Proposed - Variables'!#REF!</definedName>
    <definedName name="virtualizationSoftwareMaintenanceRate">'Proposed - Variables'!#REF!</definedName>
    <definedName name="wattsInAKilowatt">Constants!#REF!</definedName>
    <definedName name="weeksAdministrativeTimeGroup1">'Current - Variables'!#REF!</definedName>
    <definedName name="weeksAdministrativeTimeGroup1A">'Current - Variables'!#REF!</definedName>
    <definedName name="weeksAdministrativeTimeGroup1B">'Current - Variables'!#REF!</definedName>
    <definedName name="weeksAdministrativeTimeGroup2">'Current - Variables'!#REF!</definedName>
    <definedName name="weeksAdministrativeTImeGroup3">'Current - Variables'!#REF!</definedName>
    <definedName name="weeksAdministrativeTimeGroup3A">'Current - Variables'!#REF!</definedName>
    <definedName name="weeksAdministrativeTimeGroup3B">'Current - Variables'!#REF!</definedName>
    <definedName name="weeksAdministrativeTimeGroup4A">'Current - Variables'!#REF!</definedName>
    <definedName name="weeksAdministrativeTimeGroup4B">'Current - Variables'!#REF!</definedName>
    <definedName name="weeksAdminTimeNewServers">'Proposed - Variables'!#REF!</definedName>
    <definedName name="weeksInAYear">Constants!#REF!</definedName>
    <definedName name="year1Group1ServerMaintenance">'Proposed - Variables'!#REF!</definedName>
    <definedName name="year1Group2ServerMaintenance">'Proposed - Variables'!#REF!</definedName>
    <definedName name="year1Group3ServerMaintenance">'Proposed - Variables'!#REF!</definedName>
    <definedName name="year1Group4ServerMaintenance">'Proposed - Variables'!#REF!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B17" i="3"/>
  <c r="B10" i="3"/>
  <c r="C16" i="3"/>
  <c r="G15" i="3"/>
  <c r="F15" i="3"/>
  <c r="E15" i="3"/>
  <c r="D15" i="3"/>
  <c r="C15" i="3"/>
  <c r="C14" i="3"/>
  <c r="G13" i="3"/>
  <c r="F13" i="3"/>
  <c r="E13" i="3"/>
  <c r="D13" i="3"/>
  <c r="C13" i="3"/>
  <c r="C9" i="3"/>
  <c r="G8" i="3"/>
  <c r="F8" i="3"/>
  <c r="E8" i="3"/>
  <c r="D8" i="3"/>
  <c r="C8" i="3"/>
  <c r="C7" i="3"/>
  <c r="G23" i="1"/>
  <c r="G6" i="3"/>
  <c r="F6" i="3"/>
  <c r="E6" i="3"/>
  <c r="D6" i="3"/>
  <c r="C6" i="3"/>
  <c r="B47" i="2"/>
  <c r="G45" i="2"/>
  <c r="F45" i="2"/>
  <c r="E45" i="2"/>
  <c r="D45" i="2"/>
  <c r="C45" i="2"/>
  <c r="B45" i="2"/>
  <c r="G41" i="2"/>
  <c r="F41" i="2"/>
  <c r="E41" i="2"/>
  <c r="D41" i="2"/>
  <c r="C41" i="2"/>
  <c r="B41" i="2"/>
  <c r="G39" i="2"/>
  <c r="F39" i="2"/>
  <c r="E39" i="2"/>
  <c r="D39" i="2"/>
  <c r="C39" i="2"/>
  <c r="B39" i="2"/>
  <c r="G38" i="2"/>
  <c r="G37" i="2"/>
  <c r="G36" i="2"/>
  <c r="G35" i="2"/>
  <c r="B38" i="2"/>
  <c r="B37" i="2"/>
  <c r="B36" i="2"/>
  <c r="B35" i="2"/>
  <c r="C35" i="2" s="1"/>
  <c r="D35" i="2" s="1"/>
  <c r="E35" i="2" s="1"/>
  <c r="F35" i="2" s="1"/>
  <c r="C38" i="2"/>
  <c r="D38" i="2" s="1"/>
  <c r="E38" i="2" s="1"/>
  <c r="F38" i="2" s="1"/>
  <c r="C37" i="2"/>
  <c r="D37" i="2" s="1"/>
  <c r="E37" i="2" s="1"/>
  <c r="F37" i="2" s="1"/>
  <c r="C36" i="2"/>
  <c r="D36" i="2" s="1"/>
  <c r="E36" i="2" s="1"/>
  <c r="F36" i="2" s="1"/>
  <c r="G33" i="2"/>
  <c r="G32" i="2"/>
  <c r="G31" i="2"/>
  <c r="G30" i="2"/>
  <c r="G29" i="2"/>
  <c r="G28" i="2"/>
  <c r="G27" i="2"/>
  <c r="G26" i="2"/>
  <c r="G25" i="2"/>
  <c r="F33" i="2"/>
  <c r="E33" i="2"/>
  <c r="D33" i="2"/>
  <c r="C33" i="2"/>
  <c r="B33" i="2"/>
  <c r="C32" i="2"/>
  <c r="D32" i="2" s="1"/>
  <c r="E32" i="2" s="1"/>
  <c r="F32" i="2" s="1"/>
  <c r="C31" i="2"/>
  <c r="D31" i="2" s="1"/>
  <c r="E31" i="2" s="1"/>
  <c r="F31" i="2" s="1"/>
  <c r="C30" i="2"/>
  <c r="D30" i="2" s="1"/>
  <c r="E30" i="2" s="1"/>
  <c r="F30" i="2" s="1"/>
  <c r="C29" i="2"/>
  <c r="D29" i="2" s="1"/>
  <c r="E29" i="2" s="1"/>
  <c r="F29" i="2" s="1"/>
  <c r="C28" i="2"/>
  <c r="D28" i="2" s="1"/>
  <c r="E28" i="2" s="1"/>
  <c r="F28" i="2" s="1"/>
  <c r="C27" i="2"/>
  <c r="D27" i="2" s="1"/>
  <c r="E27" i="2" s="1"/>
  <c r="F27" i="2" s="1"/>
  <c r="C26" i="2"/>
  <c r="D26" i="2" s="1"/>
  <c r="E26" i="2" s="1"/>
  <c r="F26" i="2" s="1"/>
  <c r="D25" i="2"/>
  <c r="E25" i="2" s="1"/>
  <c r="F25" i="2" s="1"/>
  <c r="C25" i="2"/>
  <c r="B32" i="2"/>
  <c r="B30" i="2"/>
  <c r="B28" i="2"/>
  <c r="B26" i="2"/>
  <c r="B31" i="2"/>
  <c r="B29" i="2"/>
  <c r="B27" i="2"/>
  <c r="B25" i="2"/>
  <c r="B22" i="2"/>
  <c r="G20" i="2"/>
  <c r="F20" i="2"/>
  <c r="E20" i="2"/>
  <c r="D20" i="2"/>
  <c r="C20" i="2"/>
  <c r="B20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C15" i="2"/>
  <c r="D15" i="2" s="1"/>
  <c r="E15" i="2" s="1"/>
  <c r="F15" i="2" s="1"/>
  <c r="E14" i="2"/>
  <c r="F14" i="2" s="1"/>
  <c r="D14" i="2"/>
  <c r="C14" i="2"/>
  <c r="C13" i="2"/>
  <c r="D13" i="2" s="1"/>
  <c r="E13" i="2" s="1"/>
  <c r="F13" i="2" s="1"/>
  <c r="C12" i="2"/>
  <c r="D12" i="2" s="1"/>
  <c r="E12" i="2" s="1"/>
  <c r="F12" i="2" s="1"/>
  <c r="B15" i="2"/>
  <c r="B14" i="2"/>
  <c r="B13" i="2"/>
  <c r="B12" i="2"/>
  <c r="D11" i="2"/>
  <c r="E11" i="2" s="1"/>
  <c r="F11" i="2" s="1"/>
  <c r="C11" i="2"/>
  <c r="B11" i="2"/>
  <c r="C10" i="2"/>
  <c r="D10" i="2" s="1"/>
  <c r="E10" i="2" s="1"/>
  <c r="F10" i="2" s="1"/>
  <c r="B10" i="2"/>
  <c r="F9" i="2"/>
  <c r="E9" i="2"/>
  <c r="D9" i="2"/>
  <c r="C9" i="2"/>
  <c r="B9" i="2"/>
  <c r="F8" i="2"/>
  <c r="E8" i="2"/>
  <c r="D8" i="2"/>
  <c r="C8" i="2"/>
  <c r="B8" i="2"/>
  <c r="B6" i="1"/>
  <c r="B11" i="1" s="1"/>
  <c r="B23" i="1" s="1"/>
  <c r="B47" i="1" s="1"/>
  <c r="F7" i="2"/>
  <c r="E7" i="2"/>
  <c r="D7" i="2"/>
  <c r="C7" i="2"/>
  <c r="B7" i="2"/>
  <c r="B6" i="2"/>
  <c r="B5" i="2"/>
  <c r="B48" i="7"/>
  <c r="B47" i="7"/>
  <c r="B46" i="7"/>
  <c r="B45" i="7"/>
  <c r="B15" i="7"/>
  <c r="B12" i="7"/>
  <c r="B9" i="7"/>
  <c r="B6" i="7"/>
  <c r="E43" i="1"/>
  <c r="B45" i="1"/>
  <c r="F43" i="1"/>
  <c r="D43" i="1"/>
  <c r="C43" i="1"/>
  <c r="B43" i="1"/>
  <c r="G41" i="1"/>
  <c r="F41" i="1"/>
  <c r="E41" i="1"/>
  <c r="D41" i="1"/>
  <c r="C41" i="1"/>
  <c r="B41" i="1"/>
  <c r="G40" i="1"/>
  <c r="G39" i="1"/>
  <c r="G38" i="1"/>
  <c r="G37" i="1"/>
  <c r="G36" i="1"/>
  <c r="B36" i="1"/>
  <c r="B37" i="1"/>
  <c r="C37" i="1" s="1"/>
  <c r="D37" i="1" s="1"/>
  <c r="E37" i="1" s="1"/>
  <c r="F37" i="1" s="1"/>
  <c r="B38" i="1"/>
  <c r="C38" i="1" s="1"/>
  <c r="D38" i="1" s="1"/>
  <c r="E38" i="1" s="1"/>
  <c r="F38" i="1" s="1"/>
  <c r="B39" i="1"/>
  <c r="C39" i="1" s="1"/>
  <c r="D39" i="1" s="1"/>
  <c r="E39" i="1" s="1"/>
  <c r="F39" i="1" s="1"/>
  <c r="B40" i="1"/>
  <c r="C40" i="1"/>
  <c r="D40" i="1" s="1"/>
  <c r="E40" i="1" s="1"/>
  <c r="F40" i="1" s="1"/>
  <c r="C36" i="1"/>
  <c r="D36" i="1" s="1"/>
  <c r="E36" i="1" s="1"/>
  <c r="F36" i="1" s="1"/>
  <c r="C28" i="1"/>
  <c r="B28" i="1"/>
  <c r="G32" i="1"/>
  <c r="G31" i="1"/>
  <c r="G30" i="1"/>
  <c r="G29" i="1"/>
  <c r="C32" i="1"/>
  <c r="D32" i="1" s="1"/>
  <c r="E32" i="1" s="1"/>
  <c r="F32" i="1" s="1"/>
  <c r="F31" i="1"/>
  <c r="E31" i="1"/>
  <c r="D31" i="1"/>
  <c r="C31" i="1"/>
  <c r="F30" i="1"/>
  <c r="E30" i="1"/>
  <c r="D30" i="1"/>
  <c r="C30" i="1"/>
  <c r="F29" i="1"/>
  <c r="E29" i="1"/>
  <c r="D29" i="1"/>
  <c r="C29" i="1"/>
  <c r="C9" i="1"/>
  <c r="B32" i="1"/>
  <c r="B31" i="1"/>
  <c r="B30" i="1"/>
  <c r="B29" i="1"/>
  <c r="G21" i="1"/>
  <c r="F21" i="1"/>
  <c r="E21" i="1"/>
  <c r="D21" i="1"/>
  <c r="C21" i="1"/>
  <c r="B21" i="1"/>
  <c r="G20" i="1"/>
  <c r="F20" i="1"/>
  <c r="E20" i="1"/>
  <c r="D20" i="1"/>
  <c r="C20" i="1"/>
  <c r="B20" i="1"/>
  <c r="E18" i="1"/>
  <c r="F18" i="1" s="1"/>
  <c r="D18" i="1"/>
  <c r="C18" i="1"/>
  <c r="G18" i="1" s="1"/>
  <c r="B18" i="1"/>
  <c r="G17" i="1"/>
  <c r="G16" i="1"/>
  <c r="G15" i="1"/>
  <c r="G14" i="1"/>
  <c r="G13" i="1"/>
  <c r="C17" i="1"/>
  <c r="D17" i="1" s="1"/>
  <c r="E17" i="1" s="1"/>
  <c r="F17" i="1" s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B17" i="1"/>
  <c r="B16" i="1"/>
  <c r="B15" i="1"/>
  <c r="B14" i="1"/>
  <c r="B13" i="1"/>
  <c r="G10" i="1"/>
  <c r="F10" i="1"/>
  <c r="E10" i="1"/>
  <c r="D10" i="1"/>
  <c r="C10" i="1"/>
  <c r="D9" i="1"/>
  <c r="E9" i="1" s="1"/>
  <c r="G8" i="1"/>
  <c r="F8" i="1"/>
  <c r="E8" i="1"/>
  <c r="D8" i="1"/>
  <c r="C8" i="1"/>
  <c r="G7" i="1"/>
  <c r="F7" i="1"/>
  <c r="E7" i="1"/>
  <c r="D7" i="1"/>
  <c r="C7" i="1"/>
  <c r="B10" i="1"/>
  <c r="B9" i="1"/>
  <c r="B8" i="1"/>
  <c r="B7" i="1"/>
  <c r="B48" i="4"/>
  <c r="B47" i="4"/>
  <c r="B46" i="4"/>
  <c r="B45" i="4"/>
  <c r="B44" i="4"/>
  <c r="B26" i="4"/>
  <c r="B28" i="4"/>
  <c r="B27" i="4"/>
  <c r="B25" i="4"/>
  <c r="B24" i="4"/>
  <c r="C6" i="1" l="1"/>
  <c r="D6" i="1" s="1"/>
  <c r="D11" i="1" s="1"/>
  <c r="D23" i="1" s="1"/>
  <c r="D47" i="1" s="1"/>
  <c r="E11" i="1"/>
  <c r="E23" i="1" s="1"/>
  <c r="E47" i="1" s="1"/>
  <c r="G43" i="1"/>
  <c r="C33" i="1"/>
  <c r="D28" i="1"/>
  <c r="B33" i="1"/>
  <c r="G9" i="1"/>
  <c r="F9" i="1"/>
  <c r="C11" i="1" l="1"/>
  <c r="C23" i="1" s="1"/>
  <c r="C47" i="1" s="1"/>
  <c r="E6" i="1"/>
  <c r="F6" i="1" s="1"/>
  <c r="F11" i="1"/>
  <c r="F23" i="1" s="1"/>
  <c r="F47" i="1" s="1"/>
  <c r="G47" i="1" s="1"/>
  <c r="D33" i="1"/>
  <c r="E28" i="1"/>
  <c r="G11" i="1" l="1"/>
  <c r="B25" i="1" s="1"/>
  <c r="G6" i="1"/>
  <c r="E33" i="1"/>
  <c r="F28" i="1"/>
  <c r="F33" i="1" s="1"/>
  <c r="G33" i="1" l="1"/>
  <c r="G28" i="1"/>
</calcChain>
</file>

<file path=xl/sharedStrings.xml><?xml version="1.0" encoding="utf-8"?>
<sst xmlns="http://schemas.openxmlformats.org/spreadsheetml/2006/main" count="296" uniqueCount="243">
  <si>
    <t>Category</t>
  </si>
  <si>
    <t>Hard Costs</t>
  </si>
  <si>
    <t>Total Yearly Hard Costs</t>
  </si>
  <si>
    <t>Soft Costs</t>
  </si>
  <si>
    <t>Total Yearly Soft Costs</t>
  </si>
  <si>
    <t>Cost</t>
  </si>
  <si>
    <t>Year 1</t>
  </si>
  <si>
    <t>Year 2</t>
  </si>
  <si>
    <t>Year 3</t>
  </si>
  <si>
    <t>Year 4</t>
  </si>
  <si>
    <t>Year 5</t>
  </si>
  <si>
    <t>Total Five Year Hard Costs =</t>
  </si>
  <si>
    <t>Total Five Year Soft Costs =</t>
  </si>
  <si>
    <t>Machine Purchases</t>
  </si>
  <si>
    <t>Software Purchases</t>
  </si>
  <si>
    <t>Software Maintenance</t>
  </si>
  <si>
    <t>Training</t>
  </si>
  <si>
    <t>Virtualization Project Cost Summary</t>
  </si>
  <si>
    <t>Current Infrastructure Costs</t>
  </si>
  <si>
    <t>Virtualized Infrastructure Costs</t>
  </si>
  <si>
    <t>Total Five Year Hard Costs</t>
  </si>
  <si>
    <t>Total Five Year Soft Costs</t>
  </si>
  <si>
    <t>Net Five Year Hard Cost Savings</t>
  </si>
  <si>
    <t>Net Five Year Soft Cost Savings</t>
  </si>
  <si>
    <t>Net Five Year Overall Cost Savings</t>
  </si>
  <si>
    <t>Value</t>
  </si>
  <si>
    <t>Variable Description</t>
  </si>
  <si>
    <t>Variable Name</t>
  </si>
  <si>
    <t>number of hours in 1 year (24 hrs/day * 365 days/yr)</t>
  </si>
  <si>
    <t>number of hours in 1 administrative day</t>
  </si>
  <si>
    <t>cost per month for security auditing service - outside vendor</t>
  </si>
  <si>
    <t>cost per month for storing archival backups - years 3,4 5 - outside vendor</t>
  </si>
  <si>
    <t>cost per month for storing archival backups - years 1 &amp; 2 - outside vendor</t>
  </si>
  <si>
    <t>Power - Group 2</t>
  </si>
  <si>
    <t>Server Maintenance - Group 2</t>
  </si>
  <si>
    <t>Security Auditing Costs</t>
  </si>
  <si>
    <t>Archival/Storage Costs</t>
  </si>
  <si>
    <t>Server Administration - Group 2</t>
  </si>
  <si>
    <t>administrative pay increase amount</t>
  </si>
  <si>
    <t>number of months in a year</t>
  </si>
  <si>
    <t>number of weeks in a year</t>
  </si>
  <si>
    <t>number of hours in 1 administrative week</t>
  </si>
  <si>
    <t>hours per backup of server in Group 2</t>
  </si>
  <si>
    <t>number of backups performed on servers in Group 2 in 1 year</t>
  </si>
  <si>
    <t>first year service maintenance cost for server in group 2</t>
  </si>
  <si>
    <t>number of new physical servers in Group 1</t>
  </si>
  <si>
    <t>number of new physical servers in Group 2</t>
  </si>
  <si>
    <t>cost of a new group 1 server</t>
  </si>
  <si>
    <t>first year service maintenance cost for server in group 1</t>
  </si>
  <si>
    <t>cost of a new group 3 server</t>
  </si>
  <si>
    <t>first year service maintenance cost for server in group 3</t>
  </si>
  <si>
    <t>number of new physical servers in Group 3</t>
  </si>
  <si>
    <t>cost in dollars for virtualization software for 1 server.</t>
  </si>
  <si>
    <t>% of original cost to maintain virtualization software</t>
  </si>
  <si>
    <t>cost per year to train one employee on virtualized system</t>
  </si>
  <si>
    <t>number of employees trained in years 1 and 2 of the study</t>
  </si>
  <si>
    <t>number of employees trained in years 3 through 5 of the study</t>
  </si>
  <si>
    <t>estimated number of weeks/year of administrative time per new physical server</t>
  </si>
  <si>
    <t>Server Administration Group 1 - Physical</t>
  </si>
  <si>
    <t>Server Administration Group 2 - Physical</t>
  </si>
  <si>
    <t>ServerAdministration Group 3 - Physical</t>
  </si>
  <si>
    <t>Server Admin Group 1 - Virtual Systems</t>
  </si>
  <si>
    <t>Server Admin Group 2 - Virtual Systems</t>
  </si>
  <si>
    <t>Server Admin Group 3 - Virtual Systems</t>
  </si>
  <si>
    <t>percentage of regular admin cost associated with a virtual server</t>
  </si>
  <si>
    <t>Group 1 Backup</t>
  </si>
  <si>
    <t>Group 2 Backup</t>
  </si>
  <si>
    <t>Group 3 Backup</t>
  </si>
  <si>
    <t>number of days in 1 year</t>
  </si>
  <si>
    <t>number of watts in one kilowatt</t>
  </si>
  <si>
    <t>average load of the servers in group 2</t>
  </si>
  <si>
    <t>cost of maintenance contract year 1 - servers in group 2</t>
  </si>
  <si>
    <t>hours per backup of physical servers + virtual servers - Group 1</t>
  </si>
  <si>
    <t>hours per backup of physical servers + virtual servers - Group 2</t>
  </si>
  <si>
    <t>hours per backup of physical servers + virtual servers - Group 3</t>
  </si>
  <si>
    <t>number of backup of physical servers + virtual servers per year - Group 1</t>
  </si>
  <si>
    <t>number of backup of physical servers + virtual servers per year - Group 2</t>
  </si>
  <si>
    <t>number of backup of physical servers + virtual servers per year - Group 3</t>
  </si>
  <si>
    <t>number of virtualized servers in Group 1</t>
  </si>
  <si>
    <t>number of virtualized servers in Group 2</t>
  </si>
  <si>
    <t>number of virtualized servers in Group 3</t>
  </si>
  <si>
    <t>power in watts of a server in group 1</t>
  </si>
  <si>
    <t xml:space="preserve">power in watts of a server in group 2 </t>
  </si>
  <si>
    <t>power in watts of a server in group 3</t>
  </si>
  <si>
    <t>Total Power Costs/Year</t>
  </si>
  <si>
    <t>Total Server Maintenance Costs/Year</t>
  </si>
  <si>
    <t>5 Year Totals</t>
  </si>
  <si>
    <t>Total Server Administration Costs/Year</t>
  </si>
  <si>
    <t>Total Server Backup Costs/Year</t>
  </si>
  <si>
    <t>Total Current Cost/Year</t>
  </si>
  <si>
    <t>Total 5 Year Cost</t>
  </si>
  <si>
    <t>Virtualized Infrastructure Yearly Costs - Proposed Project Costs</t>
  </si>
  <si>
    <t>Total Administration Cost/Year</t>
  </si>
  <si>
    <t>Total Backup Cost/Year</t>
  </si>
  <si>
    <t>Total Proposed Project Costs/Year</t>
  </si>
  <si>
    <t>Total 5 Year Proposed Project Cost</t>
  </si>
  <si>
    <t>Total 5 YearCurrent Cost</t>
  </si>
  <si>
    <t>Power - Group 1</t>
  </si>
  <si>
    <t>Power - Group 3</t>
  </si>
  <si>
    <t>Server Maintenance - Group 1</t>
  </si>
  <si>
    <t>Server Maintenance - Group 3</t>
  </si>
  <si>
    <t>Group 3 consists of this many 2800W servers</t>
  </si>
  <si>
    <t>Group 4A consists of this many 3800W servers - backup servers</t>
  </si>
  <si>
    <t>power in watts of the servers in group 3</t>
  </si>
  <si>
    <t>power in watts of the servers in group 1</t>
  </si>
  <si>
    <t>power in watts of the servers in group 2</t>
  </si>
  <si>
    <t>power in watts of the servers in group 4A</t>
  </si>
  <si>
    <t>power in watts of the servers in group 4B</t>
  </si>
  <si>
    <t>average load of the servers in group 1</t>
  </si>
  <si>
    <t>average load of the servers in group 3</t>
  </si>
  <si>
    <t>average load of servers in group 4A</t>
  </si>
  <si>
    <t>average load of servers in group 4B</t>
  </si>
  <si>
    <t>cost of maintenance contract year 1 - servers in group 1</t>
  </si>
  <si>
    <t>cost of maintenance contract year 1 - servers in group 3</t>
  </si>
  <si>
    <t>cost of maintenance contract year 1 - servers in group 4A</t>
  </si>
  <si>
    <t>cost of maintenance contract year 1 - servers in group 4B</t>
  </si>
  <si>
    <t>weeks of administrative time per server Group 1</t>
  </si>
  <si>
    <t>weeks of administrative time per server Group 3</t>
  </si>
  <si>
    <t>weeks of administrative time per server Group 4A</t>
  </si>
  <si>
    <t>weeks of administrative time per server Group 4B</t>
  </si>
  <si>
    <t>hours per backup of server in Group 1</t>
  </si>
  <si>
    <t>hours per backup of server in Group 3</t>
  </si>
  <si>
    <t>hours per backup of server in Group 4A</t>
  </si>
  <si>
    <t>hours per backup of server in Group 4B</t>
  </si>
  <si>
    <t>number of backups performed on servers in Group 1 in 1 year</t>
  </si>
  <si>
    <t>number of backups performed on servers in Group 3 in 1 year</t>
  </si>
  <si>
    <t>number of backups performed on servers in Group 4A in 1 year</t>
  </si>
  <si>
    <t>number of backups performed on servers in Group 4B in 1 year</t>
  </si>
  <si>
    <t>Power - Group 4A</t>
  </si>
  <si>
    <t>Power - Group 4B</t>
  </si>
  <si>
    <t>Server Maintenance - Group 4A</t>
  </si>
  <si>
    <t>Server Maintenance - Group 4B</t>
  </si>
  <si>
    <t>Server Administration - Group 1</t>
  </si>
  <si>
    <t>Server Administration - Group 3</t>
  </si>
  <si>
    <t>Server Administration - Group 4A</t>
  </si>
  <si>
    <t>Server Administration - Group 4B</t>
  </si>
  <si>
    <t>Server Backup - Group 1</t>
  </si>
  <si>
    <t>Server Backup - Group 3</t>
  </si>
  <si>
    <t>Server Backup - Group 4A</t>
  </si>
  <si>
    <t>Server Backup - Group 4B</t>
  </si>
  <si>
    <t>cost of a new group4 server</t>
  </si>
  <si>
    <t>first year service maintenance cost for server in group 4</t>
  </si>
  <si>
    <t>number of virtualized servers in Group 4</t>
  </si>
  <si>
    <t>number of new physical servers in Group 4</t>
  </si>
  <si>
    <t>power in watts of a server in group 4</t>
  </si>
  <si>
    <t>number of backup of physical servers + virtual servers per year - Group 4</t>
  </si>
  <si>
    <t>hours per backup of physical servers + virtual servers - Group 4</t>
  </si>
  <si>
    <t>Powert Group 4</t>
  </si>
  <si>
    <t>Server Maintenance - Group 4</t>
  </si>
  <si>
    <t>Server Administration Group 4 - Physical</t>
  </si>
  <si>
    <t>Server Administration Group 4 - Virtual</t>
  </si>
  <si>
    <t>Group 4 Backup</t>
  </si>
  <si>
    <t>These are numbers will are constants for both scenarios (current and proposed).  Do not add any values here which vary between the two scenarios</t>
  </si>
  <si>
    <t>Description</t>
  </si>
  <si>
    <t>CONSTANTS WORKSHEET</t>
  </si>
  <si>
    <t>CURRENT SCENARIO VARIABLES WORKSHEET</t>
  </si>
  <si>
    <t>CURRENT SCENARIO WORKSHEET</t>
  </si>
  <si>
    <t>PROPOSED SCENARIO VARIABLES WORKSHEET</t>
  </si>
  <si>
    <t xml:space="preserve">cost of a new group 2 server </t>
  </si>
  <si>
    <t>Group 4B consists of this many 3300W servers - backup servers</t>
  </si>
  <si>
    <t>Group 1 consists of this many 3500W servers</t>
  </si>
  <si>
    <t>weeks of administrative time per server Group 2</t>
  </si>
  <si>
    <t>numServersGroup1</t>
  </si>
  <si>
    <t>numServersGroup2</t>
  </si>
  <si>
    <t>numServersGroup3</t>
  </si>
  <si>
    <t>numServersGroup4A</t>
  </si>
  <si>
    <t>numServersGroup4B</t>
  </si>
  <si>
    <t>serverPowerGroup1</t>
  </si>
  <si>
    <t>serverPowerGroup2</t>
  </si>
  <si>
    <t>serverPowerGroup3</t>
  </si>
  <si>
    <t>serverPower4B</t>
  </si>
  <si>
    <t>serverPower4A</t>
  </si>
  <si>
    <t>serverLoadGroup1</t>
  </si>
  <si>
    <t>serverLoadGroup2</t>
  </si>
  <si>
    <t>serverLoadGroup3</t>
  </si>
  <si>
    <t>serverLoadGroup4A</t>
  </si>
  <si>
    <t>serverLoadGroup4B</t>
  </si>
  <si>
    <t>maintainenceCostYear1Group1</t>
  </si>
  <si>
    <t>maintainenceCostYear1Group2</t>
  </si>
  <si>
    <t>maintainenceCostYear1Group3</t>
  </si>
  <si>
    <t>maintainenceCostYear1Group4A</t>
  </si>
  <si>
    <t>maintainenceCostYear1Group4B</t>
  </si>
  <si>
    <t>numAdminDays</t>
  </si>
  <si>
    <t>numAdminWeeks</t>
  </si>
  <si>
    <t>numHoursYear</t>
  </si>
  <si>
    <t>numMonths</t>
  </si>
  <si>
    <t>numWeeks</t>
  </si>
  <si>
    <t>numDays</t>
  </si>
  <si>
    <t>numWatts</t>
  </si>
  <si>
    <t>Group 2 consists of this many 4500W servers</t>
  </si>
  <si>
    <t>securityAuditCost</t>
  </si>
  <si>
    <t>storageArchiveCostYear1-2</t>
  </si>
  <si>
    <t>storageArchiveCostYear3</t>
  </si>
  <si>
    <t>adminPayIncrease%</t>
  </si>
  <si>
    <t>weekOfAdminTimeGroup1</t>
  </si>
  <si>
    <t>weekOfAdminTimeGroup2</t>
  </si>
  <si>
    <t>weekOfAdminTimeGroup3</t>
  </si>
  <si>
    <t>weekOfAdminTimeGroup4A</t>
  </si>
  <si>
    <t>weekOfAdminTimeGroup4B</t>
  </si>
  <si>
    <t>hoursBackupServerGroup1</t>
  </si>
  <si>
    <t>hoursBackupServerGroup2</t>
  </si>
  <si>
    <t>hoursBackupServerGroup3</t>
  </si>
  <si>
    <t>hoursBackupServerGroup4A</t>
  </si>
  <si>
    <t>hoursBackupServerGroup4B</t>
  </si>
  <si>
    <t>numBackups1YearGroup1</t>
  </si>
  <si>
    <t>numBackups1YearGroup2</t>
  </si>
  <si>
    <t>numBackups1YearGroup3</t>
  </si>
  <si>
    <t>numBackups1YearGroup4A</t>
  </si>
  <si>
    <t>numBackups1YearGroup4B</t>
  </si>
  <si>
    <t>costNewServerGroup1</t>
  </si>
  <si>
    <t>costNewServerGroup2</t>
  </si>
  <si>
    <t>costNewServerGroup3</t>
  </si>
  <si>
    <t>costNewServerGroup4</t>
  </si>
  <si>
    <t>numNewPhysicalServerGroup1</t>
  </si>
  <si>
    <t>numNewPhysicalServerGroup2</t>
  </si>
  <si>
    <t>numNewPhysicalServerGroup3</t>
  </si>
  <si>
    <t>numNewPhysicalServerGroup4</t>
  </si>
  <si>
    <t>numVirtualServerGroup1</t>
  </si>
  <si>
    <t>numVirtualServerGroup2</t>
  </si>
  <si>
    <t>numVirtualServerGroup3</t>
  </si>
  <si>
    <t>firstYearServiceGroup1</t>
  </si>
  <si>
    <t>firstYearServiceGroup2</t>
  </si>
  <si>
    <t>firstYearServiceGroup4</t>
  </si>
  <si>
    <t>firstYearServiceGroup3</t>
  </si>
  <si>
    <t>powerWattsGroup1</t>
  </si>
  <si>
    <t>powerWattsGroup2</t>
  </si>
  <si>
    <t>powerWattsGroup3</t>
  </si>
  <si>
    <t>powerWattsGroup4</t>
  </si>
  <si>
    <t>costForVirtualization</t>
  </si>
  <si>
    <t>percentageForVirtualization</t>
  </si>
  <si>
    <t>trainingCostVirtualization</t>
  </si>
  <si>
    <t>numEmployeeTrainedYear1&amp;2</t>
  </si>
  <si>
    <t>numEmployeeTrainedYear3-4</t>
  </si>
  <si>
    <t>numAdminTime</t>
  </si>
  <si>
    <t>percentAdminCost</t>
  </si>
  <si>
    <t>hourBackupGroup1</t>
  </si>
  <si>
    <t>hourBackupGroup2</t>
  </si>
  <si>
    <t>hourBackupGroup3</t>
  </si>
  <si>
    <t>hourBackupGroup4</t>
  </si>
  <si>
    <t>numBackupServerGroup1</t>
  </si>
  <si>
    <t>numBackupServerGroup2</t>
  </si>
  <si>
    <t>numBackupServerGroup3</t>
  </si>
  <si>
    <t>numBackupServerGroup5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</si>
</sst>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4DD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" fontId="0" fillId="6" borderId="1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1" xfId="0" applyFill="1" applyBorder="1"/>
    <xf numFmtId="4" fontId="0" fillId="7" borderId="1" xfId="0" applyNumberFormat="1" applyFill="1" applyBorder="1" applyAlignment="1">
      <alignment horizontal="right"/>
    </xf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4" fontId="0" fillId="7" borderId="1" xfId="0" applyNumberFormat="1" applyFill="1" applyBorder="1"/>
    <xf numFmtId="4" fontId="0" fillId="0" borderId="0" xfId="0" applyNumberFormat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4" fontId="0" fillId="8" borderId="1" xfId="0" applyNumberFormat="1" applyFill="1" applyBorder="1" applyAlignment="1">
      <alignment horizontal="right"/>
    </xf>
    <xf numFmtId="0" fontId="0" fillId="9" borderId="1" xfId="0" applyFill="1" applyBorder="1"/>
    <xf numFmtId="4" fontId="0" fillId="9" borderId="1" xfId="0" applyNumberFormat="1" applyFill="1" applyBorder="1"/>
    <xf numFmtId="4" fontId="0" fillId="10" borderId="1" xfId="0" applyNumberFormat="1" applyFill="1" applyBorder="1"/>
    <xf numFmtId="0" fontId="1" fillId="7" borderId="1" xfId="0" applyFont="1" applyFill="1" applyBorder="1"/>
    <xf numFmtId="4" fontId="0" fillId="7" borderId="9" xfId="0" applyNumberFormat="1" applyFill="1" applyBorder="1"/>
    <xf numFmtId="4" fontId="0" fillId="7" borderId="10" xfId="0" applyNumberFormat="1" applyFill="1" applyBorder="1"/>
    <xf numFmtId="4" fontId="0" fillId="8" borderId="1" xfId="0" applyNumberFormat="1" applyFill="1" applyBorder="1"/>
    <xf numFmtId="4" fontId="0" fillId="11" borderId="1" xfId="0" applyNumberFormat="1" applyFill="1" applyBorder="1"/>
    <xf numFmtId="0" fontId="1" fillId="8" borderId="1" xfId="0" applyFont="1" applyFill="1" applyBorder="1"/>
    <xf numFmtId="4" fontId="0" fillId="7" borderId="11" xfId="0" applyNumberFormat="1" applyFill="1" applyBorder="1" applyAlignment="1"/>
    <xf numFmtId="4" fontId="0" fillId="7" borderId="6" xfId="0" applyNumberFormat="1" applyFill="1" applyBorder="1" applyAlignment="1"/>
    <xf numFmtId="4" fontId="0" fillId="7" borderId="7" xfId="0" applyNumberFormat="1" applyFill="1" applyBorder="1" applyAlignment="1"/>
    <xf numFmtId="0" fontId="1" fillId="7" borderId="8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2" xfId="0" applyFont="1" applyFill="1" applyBorder="1"/>
    <xf numFmtId="0" fontId="4" fillId="5" borderId="5" xfId="0" applyFont="1" applyFill="1" applyBorder="1"/>
    <xf numFmtId="0" fontId="1" fillId="8" borderId="8" xfId="0" applyFont="1" applyFill="1" applyBorder="1" applyAlignment="1">
      <alignment horizontal="left"/>
    </xf>
    <xf numFmtId="0" fontId="1" fillId="11" borderId="1" xfId="0" applyFont="1" applyFill="1" applyBorder="1"/>
    <xf numFmtId="0" fontId="0" fillId="0" borderId="0" xfId="0" applyBorder="1"/>
    <xf numFmtId="4" fontId="0" fillId="4" borderId="0" xfId="0" applyNumberFormat="1" applyFill="1" applyBorder="1"/>
    <xf numFmtId="4" fontId="0" fillId="12" borderId="1" xfId="0" applyNumberFormat="1" applyFill="1" applyBorder="1"/>
    <xf numFmtId="0" fontId="0" fillId="7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5" fillId="9" borderId="1" xfId="0" applyNumberFormat="1" applyFont="1" applyFill="1" applyBorder="1"/>
    <xf numFmtId="4" fontId="5" fillId="13" borderId="1" xfId="0" applyNumberFormat="1" applyFont="1" applyFill="1" applyBorder="1"/>
    <xf numFmtId="0" fontId="4" fillId="11" borderId="1" xfId="0" applyFont="1" applyFill="1" applyBorder="1" applyAlignment="1">
      <alignment horizontal="right"/>
    </xf>
    <xf numFmtId="4" fontId="4" fillId="11" borderId="1" xfId="0" applyNumberFormat="1" applyFont="1" applyFill="1" applyBorder="1"/>
    <xf numFmtId="0" fontId="0" fillId="0" borderId="0" xfId="0" applyFill="1"/>
    <xf numFmtId="4" fontId="0" fillId="0" borderId="13" xfId="0" applyNumberFormat="1" applyFill="1" applyBorder="1" applyAlignment="1">
      <alignment horizontal="right"/>
    </xf>
    <xf numFmtId="0" fontId="0" fillId="8" borderId="1" xfId="0" applyFont="1" applyFill="1" applyBorder="1"/>
    <xf numFmtId="0" fontId="0" fillId="8" borderId="1" xfId="0" applyFill="1" applyBorder="1"/>
    <xf numFmtId="0" fontId="0" fillId="7" borderId="13" xfId="0" applyFill="1" applyBorder="1" applyAlignment="1">
      <alignment horizontal="right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1" fillId="15" borderId="1" xfId="0" applyFont="1" applyFill="1" applyBorder="1"/>
    <xf numFmtId="0" fontId="0" fillId="15" borderId="8" xfId="0" applyFill="1" applyBorder="1" applyAlignment="1"/>
    <xf numFmtId="0" fontId="0" fillId="15" borderId="10" xfId="0" applyFill="1" applyBorder="1" applyAlignment="1"/>
    <xf numFmtId="0" fontId="9" fillId="0" borderId="0" xfId="0" applyFont="1"/>
    <xf numFmtId="0" fontId="9" fillId="16" borderId="0" xfId="0" applyFont="1" applyFill="1"/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/>
    <xf numFmtId="0" fontId="11" fillId="16" borderId="0" xfId="0" applyFont="1" applyFill="1"/>
    <xf numFmtId="0" fontId="10" fillId="16" borderId="0" xfId="0" applyFont="1" applyFill="1"/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1" fillId="9" borderId="12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7" borderId="8" xfId="0" applyNumberFormat="1" applyFill="1" applyBorder="1" applyAlignment="1">
      <alignment horizontal="center"/>
    </xf>
    <xf numFmtId="4" fontId="0" fillId="7" borderId="9" xfId="0" applyNumberFormat="1" applyFill="1" applyBorder="1" applyAlignment="1">
      <alignment horizontal="center"/>
    </xf>
    <xf numFmtId="4" fontId="0" fillId="7" borderId="10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right"/>
    </xf>
    <xf numFmtId="0" fontId="5" fillId="13" borderId="1" xfId="0" applyFont="1" applyFill="1" applyBorder="1" applyAlignment="1">
      <alignment horizontal="right"/>
    </xf>
    <xf numFmtId="0" fontId="7" fillId="14" borderId="12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4" fontId="0" fillId="7" borderId="8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/>
    <xf numFmtId="164" fontId="0" fillId="8" borderId="1" xfId="0" applyNumberFormat="1" applyFill="1" applyBorder="1" applyAlignment="1">
      <alignment horizontal="right"/>
    </xf>
    <xf numFmtId="164" fontId="0" fillId="10" borderId="1" xfId="0" applyNumberFormat="1" applyFill="1" applyBorder="1"/>
    <xf numFmtId="164" fontId="0" fillId="7" borderId="1" xfId="0" applyNumberFormat="1" applyFill="1" applyBorder="1"/>
    <xf numFmtId="164" fontId="0" fillId="5" borderId="1" xfId="0" applyNumberFormat="1" applyFill="1" applyBorder="1"/>
    <xf numFmtId="164" fontId="1" fillId="5" borderId="1" xfId="0" applyNumberFormat="1" applyFont="1" applyFill="1" applyBorder="1" applyAlignment="1">
      <alignment horizontal="left"/>
    </xf>
    <xf numFmtId="164" fontId="0" fillId="7" borderId="12" xfId="0" applyNumberFormat="1" applyFill="1" applyBorder="1" applyAlignment="1">
      <alignment horizontal="right"/>
    </xf>
    <xf numFmtId="164" fontId="0" fillId="7" borderId="3" xfId="0" applyNumberFormat="1" applyFill="1" applyBorder="1" applyAlignment="1">
      <alignment horizontal="right"/>
    </xf>
    <xf numFmtId="164" fontId="0" fillId="7" borderId="4" xfId="0" applyNumberFormat="1" applyFill="1" applyBorder="1" applyAlignment="1">
      <alignment horizontal="right"/>
    </xf>
    <xf numFmtId="164" fontId="0" fillId="7" borderId="11" xfId="0" applyNumberFormat="1" applyFill="1" applyBorder="1" applyAlignment="1">
      <alignment horizontal="right"/>
    </xf>
    <xf numFmtId="164" fontId="0" fillId="7" borderId="6" xfId="0" applyNumberFormat="1" applyFill="1" applyBorder="1" applyAlignment="1">
      <alignment horizontal="right"/>
    </xf>
    <xf numFmtId="164" fontId="0" fillId="7" borderId="7" xfId="0" applyNumberFormat="1" applyFill="1" applyBorder="1" applyAlignment="1">
      <alignment horizontal="right"/>
    </xf>
    <xf numFmtId="164" fontId="0" fillId="7" borderId="8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8" fontId="0" fillId="0" borderId="1" xfId="0" applyNumberFormat="1" applyBorder="1"/>
    <xf numFmtId="164" fontId="0" fillId="0" borderId="1" xfId="0" applyNumberFormat="1" applyBorder="1"/>
    <xf numFmtId="6" fontId="0" fillId="0" borderId="1" xfId="0" applyNumberFormat="1" applyBorder="1"/>
    <xf numFmtId="2" fontId="1" fillId="8" borderId="1" xfId="0" applyNumberFormat="1" applyFont="1" applyFill="1" applyBorder="1"/>
    <xf numFmtId="2" fontId="0" fillId="8" borderId="1" xfId="0" applyNumberFormat="1" applyFill="1" applyBorder="1"/>
    <xf numFmtId="2" fontId="0" fillId="10" borderId="1" xfId="0" applyNumberFormat="1" applyFill="1" applyBorder="1"/>
    <xf numFmtId="2" fontId="1" fillId="7" borderId="8" xfId="0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2" fontId="0" fillId="9" borderId="1" xfId="0" applyNumberFormat="1" applyFill="1" applyBorder="1"/>
    <xf numFmtId="2" fontId="1" fillId="7" borderId="8" xfId="0" applyNumberFormat="1" applyFont="1" applyFill="1" applyBorder="1" applyAlignment="1">
      <alignment horizontal="right"/>
    </xf>
    <xf numFmtId="2" fontId="0" fillId="7" borderId="8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left"/>
    </xf>
    <xf numFmtId="2" fontId="1" fillId="7" borderId="1" xfId="0" applyNumberFormat="1" applyFont="1" applyFill="1" applyBorder="1" applyAlignment="1">
      <alignment horizontal="left"/>
    </xf>
    <xf numFmtId="2" fontId="0" fillId="7" borderId="1" xfId="0" applyNumberFormat="1" applyFill="1" applyBorder="1"/>
    <xf numFmtId="2" fontId="0" fillId="7" borderId="12" xfId="0" applyNumberFormat="1" applyFill="1" applyBorder="1"/>
    <xf numFmtId="2" fontId="0" fillId="7" borderId="3" xfId="0" applyNumberFormat="1" applyFill="1" applyBorder="1"/>
    <xf numFmtId="2" fontId="0" fillId="7" borderId="4" xfId="0" applyNumberFormat="1" applyFill="1" applyBorder="1"/>
    <xf numFmtId="2" fontId="1" fillId="11" borderId="1" xfId="0" applyNumberFormat="1" applyFont="1" applyFill="1" applyBorder="1" applyAlignment="1">
      <alignment horizontal="right"/>
    </xf>
    <xf numFmtId="2" fontId="0" fillId="11" borderId="1" xfId="0" applyNumberFormat="1" applyFill="1" applyBorder="1"/>
    <xf numFmtId="2" fontId="0" fillId="7" borderId="11" xfId="0" applyNumberFormat="1" applyFill="1" applyBorder="1"/>
    <xf numFmtId="2" fontId="0" fillId="7" borderId="6" xfId="0" applyNumberFormat="1" applyFill="1" applyBorder="1"/>
    <xf numFmtId="2" fontId="0" fillId="7" borderId="7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4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8"/>
  <sheetViews>
    <sheetView zoomScale="95" zoomScaleNormal="150" workbookViewId="0">
      <selection activeCell="C13" sqref="C13"/>
    </sheetView>
    <sheetView tabSelected="1" workbookViewId="1">
      <selection activeCell="B13" sqref="B13"/>
    </sheetView>
  </sheetViews>
  <sheetFormatPr defaultColWidth="8.85546875" defaultRowHeight="15" x14ac:dyDescent="0.25"/>
  <cols>
    <col min="1" max="2" width="12.42578125" customWidth="1"/>
    <col min="3" max="3" width="29.85546875" customWidth="1"/>
    <col min="4" max="4" width="63" customWidth="1"/>
  </cols>
  <sheetData>
    <row r="1" spans="1:4" ht="23.25" x14ac:dyDescent="0.35">
      <c r="A1" s="68" t="s">
        <v>154</v>
      </c>
      <c r="B1" s="68"/>
      <c r="C1" s="69"/>
      <c r="D1" s="70"/>
    </row>
    <row r="2" spans="1:4" ht="14.1" customHeight="1" x14ac:dyDescent="0.35">
      <c r="A2" s="84"/>
      <c r="B2" s="85"/>
      <c r="C2" s="85"/>
      <c r="D2" s="86"/>
    </row>
    <row r="3" spans="1:4" x14ac:dyDescent="0.25">
      <c r="A3" s="81" t="s">
        <v>152</v>
      </c>
      <c r="B3" s="82"/>
      <c r="C3" s="82"/>
      <c r="D3" s="83"/>
    </row>
    <row r="4" spans="1:4" x14ac:dyDescent="0.25">
      <c r="A4" s="17"/>
      <c r="B4" s="17"/>
      <c r="C4" s="17"/>
      <c r="D4" s="17"/>
    </row>
    <row r="5" spans="1:4" ht="18.75" x14ac:dyDescent="0.3">
      <c r="A5" s="66"/>
      <c r="B5" s="66" t="s">
        <v>25</v>
      </c>
      <c r="C5" s="66" t="s">
        <v>27</v>
      </c>
      <c r="D5" s="66" t="s">
        <v>153</v>
      </c>
    </row>
    <row r="6" spans="1:4" ht="18.75" x14ac:dyDescent="0.3">
      <c r="A6" s="65"/>
      <c r="B6" s="65"/>
      <c r="C6" s="4"/>
      <c r="D6" s="4"/>
    </row>
    <row r="7" spans="1:4" x14ac:dyDescent="0.25">
      <c r="A7" s="4"/>
      <c r="B7" s="4">
        <v>10</v>
      </c>
      <c r="C7" s="4" t="s">
        <v>182</v>
      </c>
      <c r="D7" s="4" t="s">
        <v>29</v>
      </c>
    </row>
    <row r="8" spans="1:4" x14ac:dyDescent="0.25">
      <c r="A8" s="4"/>
      <c r="B8" s="4">
        <v>7</v>
      </c>
      <c r="C8" s="4" t="s">
        <v>183</v>
      </c>
      <c r="D8" s="4" t="s">
        <v>41</v>
      </c>
    </row>
    <row r="9" spans="1:4" x14ac:dyDescent="0.25">
      <c r="A9" s="4"/>
      <c r="B9" s="4">
        <v>8760</v>
      </c>
      <c r="C9" s="4" t="s">
        <v>184</v>
      </c>
      <c r="D9" s="4" t="s">
        <v>28</v>
      </c>
    </row>
    <row r="10" spans="1:4" x14ac:dyDescent="0.25">
      <c r="A10" s="4"/>
      <c r="B10" s="4">
        <v>12</v>
      </c>
      <c r="C10" s="4" t="s">
        <v>185</v>
      </c>
      <c r="D10" s="4" t="s">
        <v>39</v>
      </c>
    </row>
    <row r="11" spans="1:4" x14ac:dyDescent="0.25">
      <c r="A11" s="4"/>
      <c r="B11" s="4">
        <v>52</v>
      </c>
      <c r="C11" s="4" t="s">
        <v>186</v>
      </c>
      <c r="D11" s="4" t="s">
        <v>40</v>
      </c>
    </row>
    <row r="12" spans="1:4" x14ac:dyDescent="0.25">
      <c r="A12" s="4"/>
      <c r="B12" s="4">
        <v>365</v>
      </c>
      <c r="C12" s="4" t="s">
        <v>187</v>
      </c>
      <c r="D12" s="4" t="s">
        <v>68</v>
      </c>
    </row>
    <row r="13" spans="1:4" x14ac:dyDescent="0.25">
      <c r="A13" s="4"/>
      <c r="B13" s="4">
        <v>1000</v>
      </c>
      <c r="C13" s="4" t="s">
        <v>188</v>
      </c>
      <c r="D13" s="4" t="s">
        <v>69</v>
      </c>
    </row>
    <row r="14" spans="1:4" x14ac:dyDescent="0.25">
      <c r="A14" s="4"/>
      <c r="B14" s="4"/>
      <c r="C14" s="4"/>
      <c r="D14" s="78"/>
    </row>
    <row r="15" spans="1:4" x14ac:dyDescent="0.25">
      <c r="A15" s="4"/>
      <c r="B15" s="4"/>
      <c r="C15" s="4"/>
      <c r="D15" s="78"/>
    </row>
    <row r="16" spans="1:4" x14ac:dyDescent="0.25">
      <c r="A16" s="4"/>
      <c r="B16" s="4"/>
      <c r="C16" s="7"/>
      <c r="D16" s="7"/>
    </row>
    <row r="17" spans="1:4" x14ac:dyDescent="0.25">
      <c r="A17" s="4"/>
      <c r="B17" s="4"/>
      <c r="C17" s="7"/>
      <c r="D17" s="7"/>
    </row>
    <row r="18" spans="1:4" x14ac:dyDescent="0.25">
      <c r="A18" s="4"/>
      <c r="B18" s="4"/>
      <c r="C18" s="7"/>
      <c r="D18" s="7"/>
    </row>
  </sheetData>
  <mergeCells count="2">
    <mergeCell ref="A3:D3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49"/>
  <sheetViews>
    <sheetView topLeftCell="D4" zoomScale="80" zoomScaleNormal="150" workbookViewId="0">
      <selection activeCell="A42" sqref="A42:F42"/>
    </sheetView>
    <sheetView topLeftCell="A19" workbookViewId="1">
      <selection activeCell="A19" sqref="A19:F19"/>
    </sheetView>
  </sheetViews>
  <sheetFormatPr defaultColWidth="8.85546875" defaultRowHeight="15" x14ac:dyDescent="0.25"/>
  <cols>
    <col min="1" max="1" width="38" customWidth="1"/>
    <col min="2" max="2" width="15.140625" customWidth="1"/>
    <col min="3" max="3" width="15" customWidth="1"/>
    <col min="4" max="4" width="14.42578125" customWidth="1"/>
    <col min="5" max="5" width="14.28515625" customWidth="1"/>
    <col min="6" max="6" width="14.7109375" customWidth="1"/>
    <col min="7" max="7" width="17.42578125" customWidth="1"/>
    <col min="8" max="9" width="13.85546875" bestFit="1" customWidth="1"/>
  </cols>
  <sheetData>
    <row r="1" spans="1:8" ht="21" customHeight="1" x14ac:dyDescent="0.25">
      <c r="A1" s="95" t="s">
        <v>156</v>
      </c>
      <c r="B1" s="95"/>
      <c r="C1" s="95"/>
      <c r="D1" s="95"/>
      <c r="E1" s="95"/>
      <c r="F1" s="95"/>
      <c r="G1" s="95"/>
    </row>
    <row r="2" spans="1:8" ht="21" customHeight="1" x14ac:dyDescent="0.25">
      <c r="A2" s="96"/>
      <c r="B2" s="96"/>
      <c r="C2" s="96"/>
      <c r="D2" s="96"/>
      <c r="E2" s="96"/>
      <c r="F2" s="96"/>
      <c r="G2" s="96"/>
    </row>
    <row r="3" spans="1:8" x14ac:dyDescent="0.25">
      <c r="A3" s="73" t="s">
        <v>0</v>
      </c>
      <c r="B3" s="92" t="s">
        <v>5</v>
      </c>
      <c r="C3" s="93"/>
      <c r="D3" s="93"/>
      <c r="E3" s="93"/>
      <c r="F3" s="94"/>
      <c r="G3" s="97" t="s">
        <v>86</v>
      </c>
    </row>
    <row r="4" spans="1:8" x14ac:dyDescent="0.25">
      <c r="A4" s="34"/>
      <c r="B4" s="73" t="s">
        <v>6</v>
      </c>
      <c r="C4" s="73" t="s">
        <v>7</v>
      </c>
      <c r="D4" s="73" t="s">
        <v>8</v>
      </c>
      <c r="E4" s="73" t="s">
        <v>9</v>
      </c>
      <c r="F4" s="73" t="s">
        <v>10</v>
      </c>
      <c r="G4" s="98"/>
    </row>
    <row r="5" spans="1:8" ht="18.75" x14ac:dyDescent="0.3">
      <c r="A5" s="44" t="s">
        <v>1</v>
      </c>
      <c r="B5" s="74"/>
      <c r="C5" s="74"/>
      <c r="D5" s="74"/>
      <c r="E5" s="74"/>
      <c r="F5" s="74"/>
      <c r="G5" s="74"/>
    </row>
    <row r="6" spans="1:8" x14ac:dyDescent="0.25">
      <c r="A6" s="22" t="s">
        <v>97</v>
      </c>
      <c r="B6" s="115">
        <f>((((('Current - Variables'!B12*'Current - Variables'!B18%)/Constants!B13)*24)*'Current - Variables'!B6)*0.13)*365</f>
        <v>896805.00000000012</v>
      </c>
      <c r="C6" s="115">
        <f>B6*0.02 +  B6</f>
        <v>914741.10000000009</v>
      </c>
      <c r="D6" s="115">
        <f>C6*0.02+C6</f>
        <v>933035.92200000014</v>
      </c>
      <c r="E6" s="115">
        <f>D6*0.02 + D6</f>
        <v>951696.6404400001</v>
      </c>
      <c r="F6" s="115">
        <f>E6*0.02 +E6</f>
        <v>970730.57324880012</v>
      </c>
      <c r="G6" s="116">
        <f>B6+C6+D6+E6+F6</f>
        <v>4667009.2356888009</v>
      </c>
      <c r="H6" s="24"/>
    </row>
    <row r="7" spans="1:8" x14ac:dyDescent="0.25">
      <c r="A7" s="22" t="s">
        <v>33</v>
      </c>
      <c r="B7" s="115">
        <f>((((('Current - Variables'!B13*'Current - Variables'!B19%)/Constants!B13)*24)*'Current - Variables'!B7)*0.13)*365</f>
        <v>901929.6</v>
      </c>
      <c r="C7" s="115">
        <f>B7*0.02 +B7</f>
        <v>919968.19199999992</v>
      </c>
      <c r="D7" s="115">
        <f>C7*0.02 +C7</f>
        <v>938367.55583999993</v>
      </c>
      <c r="E7" s="115">
        <f>D7*0.02 +D7</f>
        <v>957134.90695679991</v>
      </c>
      <c r="F7" s="115">
        <f>E7*0.02 +E7</f>
        <v>976277.60509593587</v>
      </c>
      <c r="G7" s="116">
        <f>SUM(B7:F7)</f>
        <v>4693677.8598927353</v>
      </c>
    </row>
    <row r="8" spans="1:8" x14ac:dyDescent="0.25">
      <c r="A8" s="22" t="s">
        <v>98</v>
      </c>
      <c r="B8" s="115">
        <f>((((('Current - Variables'!B14*'Current - Variables'!B20%)/Constants!B13)*24)*'Current - Variables'!B8)*0.13)*365</f>
        <v>31886.400000000005</v>
      </c>
      <c r="C8" s="115">
        <f>B8*0.02 +B8</f>
        <v>32524.128000000004</v>
      </c>
      <c r="D8" s="115">
        <f>C8*0.02 +C8</f>
        <v>33174.610560000001</v>
      </c>
      <c r="E8" s="115">
        <f>D8*0.02 +D8</f>
        <v>33838.1027712</v>
      </c>
      <c r="F8" s="115">
        <f>E8*0.02 +E8</f>
        <v>34514.864826623998</v>
      </c>
      <c r="G8" s="116">
        <f>SUM(B8:F8)</f>
        <v>165938.10615782399</v>
      </c>
    </row>
    <row r="9" spans="1:8" x14ac:dyDescent="0.25">
      <c r="A9" s="22" t="s">
        <v>128</v>
      </c>
      <c r="B9" s="115">
        <f>((((('Current - Variables'!B15*'Current - Variables'!B21%)/Constants!B13)*24)*'Current - Variables'!B9)*0.13)*365</f>
        <v>12982.32</v>
      </c>
      <c r="C9" s="115">
        <f>B9*0.02 + B9</f>
        <v>13241.966399999999</v>
      </c>
      <c r="D9" s="115">
        <f>C9*0.02 +C9</f>
        <v>13506.805727999999</v>
      </c>
      <c r="E9" s="115">
        <f>D9*0.02 +D9</f>
        <v>13776.94184256</v>
      </c>
      <c r="F9" s="115">
        <f>E9*0.02 +E9</f>
        <v>14052.480679411199</v>
      </c>
      <c r="G9" s="116">
        <f>SUM(B9:F9)</f>
        <v>67560.514649971199</v>
      </c>
      <c r="H9" s="60"/>
    </row>
    <row r="10" spans="1:8" x14ac:dyDescent="0.25">
      <c r="A10" s="22" t="s">
        <v>129</v>
      </c>
      <c r="B10" s="115">
        <f>((((('Current - Variables'!B16*'Current - Variables'!B22%)/Constants!B13)*24)*'Current - Variables'!B10)*0.13)*365</f>
        <v>11274.120000000003</v>
      </c>
      <c r="C10" s="115">
        <f>B10*0.02 +B10</f>
        <v>11499.602400000003</v>
      </c>
      <c r="D10" s="115">
        <f>C10*0.02 +C10</f>
        <v>11729.594448000003</v>
      </c>
      <c r="E10" s="115">
        <f>D10*0.02 +D10</f>
        <v>11964.186336960003</v>
      </c>
      <c r="F10" s="115">
        <f>E10*0.02 +E10</f>
        <v>12203.470063699204</v>
      </c>
      <c r="G10" s="116">
        <f>SUM(B10:F10)</f>
        <v>58670.973248659218</v>
      </c>
      <c r="H10" s="60"/>
    </row>
    <row r="11" spans="1:8" x14ac:dyDescent="0.25">
      <c r="A11" s="29" t="s">
        <v>84</v>
      </c>
      <c r="B11" s="117">
        <f>SUM(B6:B10)</f>
        <v>1854877.4400000002</v>
      </c>
      <c r="C11" s="117">
        <f>SUM(C6:C10)</f>
        <v>1891974.9887999999</v>
      </c>
      <c r="D11" s="117">
        <f>SUM(D6:D10)</f>
        <v>1929814.4885759999</v>
      </c>
      <c r="E11" s="117">
        <f>D11*0.02 +D11</f>
        <v>1968410.7783475199</v>
      </c>
      <c r="F11" s="117">
        <f>E11*0.02 +E11</f>
        <v>2007778.9939144703</v>
      </c>
      <c r="G11" s="118">
        <f>SUM(B11:F11)</f>
        <v>9652856.6896379907</v>
      </c>
      <c r="H11" s="61"/>
    </row>
    <row r="12" spans="1:8" ht="14.25" customHeight="1" x14ac:dyDescent="0.25">
      <c r="A12" s="89"/>
      <c r="B12" s="90"/>
      <c r="C12" s="90"/>
      <c r="D12" s="90"/>
      <c r="E12" s="90"/>
      <c r="F12" s="91"/>
      <c r="G12" s="17"/>
      <c r="H12" s="60"/>
    </row>
    <row r="13" spans="1:8" x14ac:dyDescent="0.25">
      <c r="A13" s="22" t="s">
        <v>99</v>
      </c>
      <c r="B13" s="115">
        <f>'Current - Variables'!B24</f>
        <v>2250000</v>
      </c>
      <c r="C13" s="115">
        <f>B13*0.03 +B13</f>
        <v>2317500</v>
      </c>
      <c r="D13" s="115">
        <f>C13*0.03 +C13</f>
        <v>2387025</v>
      </c>
      <c r="E13" s="115">
        <f>D13*0.03 +D13</f>
        <v>2458635.75</v>
      </c>
      <c r="F13" s="115">
        <f>E13*0.03 +E13</f>
        <v>2532394.8224999998</v>
      </c>
      <c r="G13" s="116">
        <f>B13+C13+D13+E13+F13</f>
        <v>11945555.5725</v>
      </c>
      <c r="H13" s="60"/>
    </row>
    <row r="14" spans="1:8" x14ac:dyDescent="0.25">
      <c r="A14" s="22" t="s">
        <v>34</v>
      </c>
      <c r="B14" s="115">
        <f>'Current - Variables'!B25</f>
        <v>1400000</v>
      </c>
      <c r="C14" s="115">
        <f>B14*0.03 +B14</f>
        <v>1442000</v>
      </c>
      <c r="D14" s="115">
        <f>C14*0.03 +C14</f>
        <v>1485260</v>
      </c>
      <c r="E14" s="115">
        <f>D14*0.03 +D14</f>
        <v>1529817.8</v>
      </c>
      <c r="F14" s="115">
        <f>E14*0.03 +E14</f>
        <v>1575712.334</v>
      </c>
      <c r="G14" s="116">
        <f>SUM(B14:F14)</f>
        <v>7432790.1339999996</v>
      </c>
      <c r="H14" s="24"/>
    </row>
    <row r="15" spans="1:8" x14ac:dyDescent="0.25">
      <c r="A15" s="22" t="s">
        <v>100</v>
      </c>
      <c r="B15" s="115">
        <f>'Current - Variables'!B26</f>
        <v>100000</v>
      </c>
      <c r="C15" s="115">
        <f>B15*0.03 +B15</f>
        <v>103000</v>
      </c>
      <c r="D15" s="115">
        <f>C15*0.03 +C15</f>
        <v>106090</v>
      </c>
      <c r="E15" s="115">
        <f>D15*0.03 +D15</f>
        <v>109272.7</v>
      </c>
      <c r="F15" s="115">
        <f>E15*0.03 +E15</f>
        <v>112550.88099999999</v>
      </c>
      <c r="G15" s="116">
        <f>SUM(B15:F15)</f>
        <v>530913.58100000001</v>
      </c>
    </row>
    <row r="16" spans="1:8" x14ac:dyDescent="0.25">
      <c r="A16" s="22" t="s">
        <v>130</v>
      </c>
      <c r="B16" s="115">
        <f>'Current - Variables'!B27</f>
        <v>330000</v>
      </c>
      <c r="C16" s="115">
        <f>B16*0.03 +B16</f>
        <v>339900</v>
      </c>
      <c r="D16" s="115">
        <f>C16*0.03 +C16</f>
        <v>350097</v>
      </c>
      <c r="E16" s="115">
        <f>D16*0.03 +D16</f>
        <v>360599.91</v>
      </c>
      <c r="F16" s="115">
        <f>E16*0.03 +E16</f>
        <v>371417.90729999996</v>
      </c>
      <c r="G16" s="116">
        <f>SUM(B16:F16)</f>
        <v>1752014.8172999998</v>
      </c>
    </row>
    <row r="17" spans="1:9" x14ac:dyDescent="0.25">
      <c r="A17" s="22" t="s">
        <v>131</v>
      </c>
      <c r="B17" s="115">
        <f>'Current - Variables'!B28</f>
        <v>225000</v>
      </c>
      <c r="C17" s="115">
        <f>B17*0.03 +B17</f>
        <v>231750</v>
      </c>
      <c r="D17" s="115">
        <f>C17*0.03 +C17</f>
        <v>238702.5</v>
      </c>
      <c r="E17" s="115">
        <f>D17*0.03 +D17</f>
        <v>245863.57500000001</v>
      </c>
      <c r="F17" s="115">
        <f>E17*0.03 +E17</f>
        <v>253239.48225</v>
      </c>
      <c r="G17" s="116">
        <f>SUM(B17:F17)</f>
        <v>1194555.5572500001</v>
      </c>
    </row>
    <row r="18" spans="1:9" x14ac:dyDescent="0.25">
      <c r="A18" s="29" t="s">
        <v>85</v>
      </c>
      <c r="B18" s="117">
        <f>SUM(B13:B17)</f>
        <v>4305000</v>
      </c>
      <c r="C18" s="117">
        <f>SUM(C13:C17)</f>
        <v>4434150</v>
      </c>
      <c r="D18" s="117">
        <f>SUM(D13:D17)</f>
        <v>4567174.5</v>
      </c>
      <c r="E18" s="117">
        <f>D18*0.02 +D18</f>
        <v>4658517.99</v>
      </c>
      <c r="F18" s="117">
        <f>E18*0.02 +E18</f>
        <v>4751688.3498</v>
      </c>
      <c r="G18" s="118">
        <f>SUM(B18:F18)</f>
        <v>22716530.8398</v>
      </c>
    </row>
    <row r="19" spans="1:9" ht="15.75" customHeight="1" x14ac:dyDescent="0.25">
      <c r="A19" s="89"/>
      <c r="B19" s="90"/>
      <c r="C19" s="90"/>
      <c r="D19" s="90"/>
      <c r="E19" s="90"/>
      <c r="F19" s="91"/>
      <c r="G19" s="17"/>
    </row>
    <row r="20" spans="1:9" x14ac:dyDescent="0.25">
      <c r="A20" s="22" t="s">
        <v>35</v>
      </c>
      <c r="B20" s="115">
        <f>'Current - Variables'!B30 * 12</f>
        <v>54000</v>
      </c>
      <c r="C20" s="115">
        <f>B20</f>
        <v>54000</v>
      </c>
      <c r="D20" s="115">
        <f>C20</f>
        <v>54000</v>
      </c>
      <c r="E20" s="115">
        <f>D20</f>
        <v>54000</v>
      </c>
      <c r="F20" s="115">
        <f>E20</f>
        <v>54000</v>
      </c>
      <c r="G20" s="116">
        <f>SUM(B20:F20)</f>
        <v>270000</v>
      </c>
    </row>
    <row r="21" spans="1:9" x14ac:dyDescent="0.25">
      <c r="A21" s="22" t="s">
        <v>36</v>
      </c>
      <c r="B21" s="115">
        <f>'Current - Variables'!B31 * 12</f>
        <v>78000</v>
      </c>
      <c r="C21" s="115">
        <f>B21</f>
        <v>78000</v>
      </c>
      <c r="D21" s="115">
        <f>'Current - Variables'!B32 * 12</f>
        <v>120000</v>
      </c>
      <c r="E21" s="115">
        <f>D21</f>
        <v>120000</v>
      </c>
      <c r="F21" s="115">
        <f>E21</f>
        <v>120000</v>
      </c>
      <c r="G21" s="116">
        <f>SUM(B21:F21)</f>
        <v>516000</v>
      </c>
    </row>
    <row r="22" spans="1:9" ht="15.75" customHeight="1" x14ac:dyDescent="0.25">
      <c r="A22" s="89"/>
      <c r="B22" s="90"/>
      <c r="C22" s="90"/>
      <c r="D22" s="90"/>
      <c r="E22" s="90"/>
      <c r="F22" s="91"/>
      <c r="G22" s="31"/>
    </row>
    <row r="23" spans="1:9" x14ac:dyDescent="0.25">
      <c r="A23" s="39" t="s">
        <v>2</v>
      </c>
      <c r="B23" s="117">
        <f>SUM(B11,B18,B20,B21)</f>
        <v>6291877.4400000004</v>
      </c>
      <c r="C23" s="117">
        <f>SUM(C11,C18,C20,C21)</f>
        <v>6458124.9888000004</v>
      </c>
      <c r="D23" s="117">
        <f>SUM(D11,D18,D20,D21)</f>
        <v>6670988.9885759996</v>
      </c>
      <c r="E23" s="117">
        <f>SUM(E11,E18,E20,E21)</f>
        <v>6800928.7683475204</v>
      </c>
      <c r="F23" s="117">
        <f>SUM(F11,F18,F20,F21)</f>
        <v>6933467.34371447</v>
      </c>
      <c r="G23" s="118">
        <f>SUM(G11,G18)</f>
        <v>32369387.529437989</v>
      </c>
      <c r="I23" s="24"/>
    </row>
    <row r="24" spans="1:9" ht="14.25" customHeight="1" x14ac:dyDescent="0.25">
      <c r="A24" s="25"/>
      <c r="B24" s="26"/>
      <c r="C24" s="26"/>
      <c r="D24" s="26"/>
      <c r="E24" s="26"/>
      <c r="F24" s="26"/>
      <c r="G24" s="27"/>
    </row>
    <row r="25" spans="1:9" x14ac:dyDescent="0.25">
      <c r="A25" s="28" t="s">
        <v>11</v>
      </c>
      <c r="B25" s="118">
        <f>SUM(G11,G18,G23)</f>
        <v>64738775.058875978</v>
      </c>
      <c r="C25" s="40"/>
      <c r="D25" s="41"/>
      <c r="E25" s="41"/>
      <c r="F25" s="42"/>
      <c r="G25" s="17"/>
    </row>
    <row r="26" spans="1:9" x14ac:dyDescent="0.25">
      <c r="A26" s="89"/>
      <c r="B26" s="90"/>
      <c r="C26" s="90"/>
      <c r="D26" s="90"/>
      <c r="E26" s="90"/>
      <c r="F26" s="91"/>
      <c r="G26" s="17"/>
    </row>
    <row r="27" spans="1:9" ht="18.75" x14ac:dyDescent="0.3">
      <c r="A27" s="44" t="s">
        <v>3</v>
      </c>
      <c r="B27" s="8"/>
      <c r="C27" s="8"/>
      <c r="D27" s="8"/>
      <c r="E27" s="8"/>
      <c r="F27" s="8"/>
      <c r="G27" s="8"/>
    </row>
    <row r="28" spans="1:9" x14ac:dyDescent="0.25">
      <c r="A28" s="115" t="s">
        <v>132</v>
      </c>
      <c r="B28" s="119">
        <f>(((100*10)*7)*'Current - Variables'!B38)*'Current - Variables'!B6</f>
        <v>26250000</v>
      </c>
      <c r="C28" s="119">
        <f>B28*0.02 + B28</f>
        <v>26775000</v>
      </c>
      <c r="D28" s="119">
        <f>C28*0.02 + C28</f>
        <v>27310500</v>
      </c>
      <c r="E28" s="119">
        <f>D28*0.02 + D28</f>
        <v>27856710</v>
      </c>
      <c r="F28" s="119">
        <f>E28*0.02 + E28</f>
        <v>28413844.199999999</v>
      </c>
      <c r="G28" s="116">
        <f>SUM(B28:F28)</f>
        <v>136606054.19999999</v>
      </c>
    </row>
    <row r="29" spans="1:9" x14ac:dyDescent="0.25">
      <c r="A29" s="115" t="s">
        <v>37</v>
      </c>
      <c r="B29" s="119">
        <f>(((100*10)*7)*'Current - Variables'!B39)*'Current - Variables'!B7</f>
        <v>19600000</v>
      </c>
      <c r="C29" s="119">
        <f>B29*0.02 + B29</f>
        <v>19992000</v>
      </c>
      <c r="D29" s="119">
        <f>C29*0.02 + C29</f>
        <v>20391840</v>
      </c>
      <c r="E29" s="119">
        <f>D29*0.02 + D29</f>
        <v>20799676.800000001</v>
      </c>
      <c r="F29" s="119">
        <f>E29*0.02 + E29</f>
        <v>21215670.335999999</v>
      </c>
      <c r="G29" s="116">
        <f>SUM(B29:F29)</f>
        <v>101999187.13599999</v>
      </c>
    </row>
    <row r="30" spans="1:9" x14ac:dyDescent="0.25">
      <c r="A30" s="115" t="s">
        <v>133</v>
      </c>
      <c r="B30" s="119">
        <f>(((100*10)*7)*'Current - Variables'!B40)*'Current - Variables'!B8</f>
        <v>1050000</v>
      </c>
      <c r="C30" s="119">
        <f>B30*0.02 + B30</f>
        <v>1071000</v>
      </c>
      <c r="D30" s="119">
        <f>C30*0.02 + C30</f>
        <v>1092420</v>
      </c>
      <c r="E30" s="119">
        <f>D30*0.02 + D30</f>
        <v>1114268.3999999999</v>
      </c>
      <c r="F30" s="119">
        <f>E30*0.02 + E30</f>
        <v>1136553.7679999999</v>
      </c>
      <c r="G30" s="116">
        <f>SUM(B30:F30)</f>
        <v>5464242.1680000005</v>
      </c>
    </row>
    <row r="31" spans="1:9" x14ac:dyDescent="0.25">
      <c r="A31" s="115" t="s">
        <v>134</v>
      </c>
      <c r="B31" s="119">
        <f>(((100*10)*7)*'Current - Variables'!B41)*'Current - Variables'!B9</f>
        <v>4200000</v>
      </c>
      <c r="C31" s="119">
        <f>B31*0.02 + B31</f>
        <v>4284000</v>
      </c>
      <c r="D31" s="119">
        <f>C31*0.02 + C31</f>
        <v>4369680</v>
      </c>
      <c r="E31" s="119">
        <f>D31*0.02 + D31</f>
        <v>4457073.5999999996</v>
      </c>
      <c r="F31" s="119">
        <f>E31*0.02 + E31</f>
        <v>4546215.0719999997</v>
      </c>
      <c r="G31" s="116">
        <f>SUM(B31:F31)</f>
        <v>21856968.672000002</v>
      </c>
    </row>
    <row r="32" spans="1:9" x14ac:dyDescent="0.25">
      <c r="A32" s="115" t="s">
        <v>135</v>
      </c>
      <c r="B32" s="119">
        <f>(((100*10)*7)*'Current - Variables'!B42)*'Current - Variables'!B10</f>
        <v>2100000</v>
      </c>
      <c r="C32" s="119">
        <f>B32*0.02 + B32</f>
        <v>2142000</v>
      </c>
      <c r="D32" s="119">
        <f>C32*0.02 + C32</f>
        <v>2184840</v>
      </c>
      <c r="E32" s="119">
        <f>D32*0.02 + D32</f>
        <v>2228536.7999999998</v>
      </c>
      <c r="F32" s="119">
        <f>E32*0.02 + E32</f>
        <v>2273107.5359999998</v>
      </c>
      <c r="G32" s="116">
        <f>SUM(B32:F32)</f>
        <v>10928484.336000001</v>
      </c>
    </row>
    <row r="33" spans="1:9" x14ac:dyDescent="0.25">
      <c r="A33" s="121" t="s">
        <v>87</v>
      </c>
      <c r="B33" s="120">
        <f>SUM(B28:B32)</f>
        <v>53200000</v>
      </c>
      <c r="C33" s="120">
        <f>SUM(C28:C32)</f>
        <v>54264000</v>
      </c>
      <c r="D33" s="120">
        <f>SUM(D28:D32)</f>
        <v>55349280</v>
      </c>
      <c r="E33" s="120">
        <f>SUM(E28:E32)</f>
        <v>56456265.599999994</v>
      </c>
      <c r="F33" s="120">
        <f>SUM(F28:F32)</f>
        <v>57585390.911999993</v>
      </c>
      <c r="G33" s="118">
        <f>SUM(B33:F33)</f>
        <v>276854936.51199996</v>
      </c>
      <c r="H33" s="24"/>
      <c r="I33" s="24"/>
    </row>
    <row r="34" spans="1:9" ht="9.75" customHeight="1" x14ac:dyDescent="0.25">
      <c r="A34" s="122"/>
      <c r="B34" s="123"/>
      <c r="C34" s="123"/>
      <c r="D34" s="123"/>
      <c r="E34" s="123"/>
      <c r="F34" s="123"/>
      <c r="G34" s="124"/>
    </row>
    <row r="35" spans="1:9" ht="0.75" customHeight="1" x14ac:dyDescent="0.25">
      <c r="A35" s="125"/>
      <c r="B35" s="126"/>
      <c r="C35" s="126"/>
      <c r="D35" s="126"/>
      <c r="E35" s="126"/>
      <c r="F35" s="126"/>
      <c r="G35" s="127"/>
    </row>
    <row r="36" spans="1:9" x14ac:dyDescent="0.25">
      <c r="A36" s="115" t="s">
        <v>136</v>
      </c>
      <c r="B36" s="119">
        <f>(('Current - Variables'!B44 * 'Current - Variables'!B50)*'Current - Variables'!B6)*100</f>
        <v>41062500</v>
      </c>
      <c r="C36" s="119">
        <f>B36*0.02 + B36</f>
        <v>41883750</v>
      </c>
      <c r="D36" s="119">
        <f>C36*0.02 + C36</f>
        <v>42721425</v>
      </c>
      <c r="E36" s="119">
        <f>D36*0.02 + D36</f>
        <v>43575853.5</v>
      </c>
      <c r="F36" s="119">
        <f>E36*0.02 + E36</f>
        <v>44447370.57</v>
      </c>
      <c r="G36" s="116">
        <f>SUM(B36:F36)</f>
        <v>213690899.06999999</v>
      </c>
    </row>
    <row r="37" spans="1:9" x14ac:dyDescent="0.25">
      <c r="A37" s="115" t="s">
        <v>137</v>
      </c>
      <c r="B37" s="119">
        <f>(('Current - Variables'!B45 * 'Current - Variables'!B51)*'Current - Variables'!B7)*100</f>
        <v>29200000</v>
      </c>
      <c r="C37" s="119">
        <f t="shared" ref="C37:F37" si="0">B37*0.02 + B37</f>
        <v>29784000</v>
      </c>
      <c r="D37" s="119">
        <f t="shared" si="0"/>
        <v>30379680</v>
      </c>
      <c r="E37" s="119">
        <f t="shared" si="0"/>
        <v>30987273.600000001</v>
      </c>
      <c r="F37" s="119">
        <f t="shared" si="0"/>
        <v>31607019.072000001</v>
      </c>
      <c r="G37" s="116">
        <f t="shared" ref="G37:G40" si="1">SUM(B37:F37)</f>
        <v>151957972.67199999</v>
      </c>
    </row>
    <row r="38" spans="1:9" x14ac:dyDescent="0.25">
      <c r="A38" s="115" t="s">
        <v>137</v>
      </c>
      <c r="B38" s="119">
        <f>(('Current - Variables'!B46 * 'Current - Variables'!B52)*'Current - Variables'!B8)*100</f>
        <v>1170000</v>
      </c>
      <c r="C38" s="119">
        <f t="shared" ref="C38:F38" si="2">B38*0.02 + B38</f>
        <v>1193400</v>
      </c>
      <c r="D38" s="119">
        <f t="shared" si="2"/>
        <v>1217268</v>
      </c>
      <c r="E38" s="119">
        <f t="shared" si="2"/>
        <v>1241613.3600000001</v>
      </c>
      <c r="F38" s="119">
        <f t="shared" si="2"/>
        <v>1266445.6272</v>
      </c>
      <c r="G38" s="116">
        <f t="shared" si="1"/>
        <v>6088726.9872000003</v>
      </c>
    </row>
    <row r="39" spans="1:9" x14ac:dyDescent="0.25">
      <c r="A39" s="115" t="s">
        <v>138</v>
      </c>
      <c r="B39" s="119">
        <f>(('Current - Variables'!B47 * 'Current - Variables'!B53)*'Current - Variables'!B9)*100</f>
        <v>2340000</v>
      </c>
      <c r="C39" s="119">
        <f t="shared" ref="C39:F39" si="3">B39*0.02 + B39</f>
        <v>2386800</v>
      </c>
      <c r="D39" s="119">
        <f t="shared" si="3"/>
        <v>2434536</v>
      </c>
      <c r="E39" s="119">
        <f t="shared" si="3"/>
        <v>2483226.7200000002</v>
      </c>
      <c r="F39" s="119">
        <f t="shared" si="3"/>
        <v>2532891.2544</v>
      </c>
      <c r="G39" s="116">
        <f t="shared" si="1"/>
        <v>12177453.974400001</v>
      </c>
    </row>
    <row r="40" spans="1:9" x14ac:dyDescent="0.25">
      <c r="A40" s="115" t="s">
        <v>139</v>
      </c>
      <c r="B40" s="119">
        <f>(('Current - Variables'!B48 * 'Current - Variables'!B54)*'Current - Variables'!B10)*100</f>
        <v>1620000</v>
      </c>
      <c r="C40" s="119">
        <f t="shared" ref="C40:F40" si="4">B40*0.02 + B40</f>
        <v>1652400</v>
      </c>
      <c r="D40" s="119">
        <f t="shared" si="4"/>
        <v>1685448</v>
      </c>
      <c r="E40" s="119">
        <f t="shared" si="4"/>
        <v>1719156.96</v>
      </c>
      <c r="F40" s="119">
        <f t="shared" si="4"/>
        <v>1753540.0992000001</v>
      </c>
      <c r="G40" s="116">
        <f t="shared" si="1"/>
        <v>8430545.0592</v>
      </c>
    </row>
    <row r="41" spans="1:9" x14ac:dyDescent="0.25">
      <c r="A41" s="121" t="s">
        <v>88</v>
      </c>
      <c r="B41" s="120">
        <f t="shared" ref="B41:F41" si="5">SUM(B36:B40)</f>
        <v>75392500</v>
      </c>
      <c r="C41" s="120">
        <f t="shared" si="5"/>
        <v>76900350</v>
      </c>
      <c r="D41" s="120">
        <f t="shared" si="5"/>
        <v>78438357</v>
      </c>
      <c r="E41" s="120">
        <f t="shared" si="5"/>
        <v>80007124.139999986</v>
      </c>
      <c r="F41" s="120">
        <f t="shared" si="5"/>
        <v>81607266.622799993</v>
      </c>
      <c r="G41" s="118">
        <f>SUM(B41:F41)</f>
        <v>392345597.76279998</v>
      </c>
      <c r="H41" s="24"/>
    </row>
    <row r="42" spans="1:9" x14ac:dyDescent="0.25">
      <c r="A42" s="128"/>
      <c r="B42" s="129"/>
      <c r="C42" s="129"/>
      <c r="D42" s="129"/>
      <c r="E42" s="129"/>
      <c r="F42" s="130"/>
      <c r="G42" s="116"/>
    </row>
    <row r="43" spans="1:9" x14ac:dyDescent="0.25">
      <c r="A43" s="134" t="s">
        <v>4</v>
      </c>
      <c r="B43" s="135">
        <f>SUM(B33,B41)</f>
        <v>128592500</v>
      </c>
      <c r="C43" s="135">
        <f t="shared" ref="C43:F43" si="6">SUM(C33,C41)</f>
        <v>131164350</v>
      </c>
      <c r="D43" s="135">
        <f t="shared" si="6"/>
        <v>133787637</v>
      </c>
      <c r="E43" s="135">
        <f>SUM(E41,E33)</f>
        <v>136463389.73999998</v>
      </c>
      <c r="F43" s="135">
        <f t="shared" si="6"/>
        <v>139192657.53479999</v>
      </c>
      <c r="G43" s="136">
        <f>SUM(B43:F43)</f>
        <v>669200534.27480006</v>
      </c>
      <c r="I43" s="24"/>
    </row>
    <row r="44" spans="1:9" x14ac:dyDescent="0.25">
      <c r="A44" s="137"/>
      <c r="B44" s="138"/>
      <c r="C44" s="138"/>
      <c r="D44" s="138"/>
      <c r="E44" s="138"/>
      <c r="F44" s="139"/>
      <c r="G44" s="140"/>
    </row>
    <row r="45" spans="1:9" x14ac:dyDescent="0.25">
      <c r="A45" s="141" t="s">
        <v>12</v>
      </c>
      <c r="B45" s="136">
        <f>SUM(G33,G41)</f>
        <v>669200534.27479994</v>
      </c>
      <c r="C45" s="138"/>
      <c r="D45" s="138"/>
      <c r="E45" s="138"/>
      <c r="F45" s="139"/>
      <c r="G45" s="140"/>
    </row>
    <row r="46" spans="1:9" x14ac:dyDescent="0.25">
      <c r="A46" s="142"/>
      <c r="B46" s="143"/>
      <c r="C46" s="143"/>
      <c r="D46" s="143"/>
      <c r="E46" s="143"/>
      <c r="F46" s="144"/>
      <c r="G46" s="140"/>
    </row>
    <row r="47" spans="1:9" x14ac:dyDescent="0.25">
      <c r="A47" s="145" t="s">
        <v>89</v>
      </c>
      <c r="B47" s="135">
        <f>SUM(B43,B23)</f>
        <v>134884377.44</v>
      </c>
      <c r="C47" s="135">
        <f t="shared" ref="C47:F47" si="7">SUM(C43,C23)</f>
        <v>137622474.98879999</v>
      </c>
      <c r="D47" s="135">
        <f t="shared" si="7"/>
        <v>140458625.98857599</v>
      </c>
      <c r="E47" s="135">
        <f t="shared" si="7"/>
        <v>143264318.50834751</v>
      </c>
      <c r="F47" s="135">
        <f t="shared" si="7"/>
        <v>146126124.87851447</v>
      </c>
      <c r="G47" s="136">
        <f>SUM(B47:F47)</f>
        <v>702355921.80423808</v>
      </c>
    </row>
    <row r="48" spans="1:9" x14ac:dyDescent="0.25">
      <c r="A48" s="146"/>
      <c r="B48" s="147"/>
      <c r="C48" s="148"/>
      <c r="D48" s="149"/>
      <c r="E48" s="149"/>
      <c r="F48" s="149"/>
      <c r="G48" s="150"/>
    </row>
    <row r="49" spans="1:7" x14ac:dyDescent="0.25">
      <c r="A49" s="151" t="s">
        <v>96</v>
      </c>
      <c r="B49" s="152">
        <v>702355921.80423808</v>
      </c>
      <c r="C49" s="153"/>
      <c r="D49" s="154"/>
      <c r="E49" s="154"/>
      <c r="F49" s="154"/>
      <c r="G49" s="155"/>
    </row>
  </sheetData>
  <mergeCells count="11">
    <mergeCell ref="A1:G2"/>
    <mergeCell ref="A42:F42"/>
    <mergeCell ref="A46:F46"/>
    <mergeCell ref="G3:G4"/>
    <mergeCell ref="A34:G35"/>
    <mergeCell ref="C48:G49"/>
    <mergeCell ref="A19:F19"/>
    <mergeCell ref="B3:F3"/>
    <mergeCell ref="A22:F22"/>
    <mergeCell ref="A12:F12"/>
    <mergeCell ref="A26:F26"/>
  </mergeCells>
  <printOptions gridLines="1"/>
  <pageMargins left="0.38" right="0.28000000000000003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58"/>
  <sheetViews>
    <sheetView topLeftCell="A3" zoomScale="93" zoomScaleNormal="150" workbookViewId="0">
      <selection activeCell="B31" sqref="B31"/>
    </sheetView>
    <sheetView topLeftCell="A2" workbookViewId="1">
      <selection activeCell="C25" sqref="C25"/>
    </sheetView>
  </sheetViews>
  <sheetFormatPr defaultColWidth="8.85546875" defaultRowHeight="15" x14ac:dyDescent="0.25"/>
  <cols>
    <col min="1" max="2" width="14.7109375" customWidth="1"/>
    <col min="3" max="3" width="36.28515625" customWidth="1"/>
    <col min="4" max="4" width="65.42578125" customWidth="1"/>
  </cols>
  <sheetData>
    <row r="1" spans="1:4" s="71" customFormat="1" ht="23.25" x14ac:dyDescent="0.35">
      <c r="A1" s="75" t="s">
        <v>155</v>
      </c>
      <c r="B1" s="76"/>
      <c r="C1" s="76"/>
      <c r="D1" s="72"/>
    </row>
    <row r="2" spans="1:4" ht="18.75" x14ac:dyDescent="0.3">
      <c r="A2" s="87"/>
      <c r="B2" s="87"/>
      <c r="C2" s="88"/>
      <c r="D2" s="88"/>
    </row>
    <row r="3" spans="1:4" ht="18.75" x14ac:dyDescent="0.3">
      <c r="A3" s="3" t="s">
        <v>1</v>
      </c>
      <c r="B3" s="3"/>
      <c r="C3" s="5"/>
      <c r="D3" s="5"/>
    </row>
    <row r="4" spans="1:4" ht="18.75" x14ac:dyDescent="0.3">
      <c r="A4" s="5"/>
      <c r="B4" s="66" t="s">
        <v>25</v>
      </c>
      <c r="C4" s="66" t="s">
        <v>27</v>
      </c>
      <c r="D4" s="66" t="s">
        <v>26</v>
      </c>
    </row>
    <row r="5" spans="1:4" ht="9" customHeight="1" x14ac:dyDescent="0.25">
      <c r="A5" s="6"/>
      <c r="B5" s="6"/>
      <c r="C5" s="7"/>
      <c r="D5" s="7"/>
    </row>
    <row r="6" spans="1:4" x14ac:dyDescent="0.25">
      <c r="A6" s="6"/>
      <c r="B6" s="6">
        <v>1500</v>
      </c>
      <c r="C6" s="7" t="s">
        <v>162</v>
      </c>
      <c r="D6" s="7" t="s">
        <v>160</v>
      </c>
    </row>
    <row r="7" spans="1:4" x14ac:dyDescent="0.25">
      <c r="A7" s="6"/>
      <c r="B7" s="6">
        <v>800</v>
      </c>
      <c r="C7" s="7" t="s">
        <v>163</v>
      </c>
      <c r="D7" s="7" t="s">
        <v>189</v>
      </c>
    </row>
    <row r="8" spans="1:4" x14ac:dyDescent="0.25">
      <c r="A8" s="6"/>
      <c r="B8" s="6">
        <v>100</v>
      </c>
      <c r="C8" s="7" t="s">
        <v>164</v>
      </c>
      <c r="D8" s="7" t="s">
        <v>101</v>
      </c>
    </row>
    <row r="9" spans="1:4" x14ac:dyDescent="0.25">
      <c r="A9" s="6"/>
      <c r="B9" s="6">
        <v>300</v>
      </c>
      <c r="C9" s="7" t="s">
        <v>165</v>
      </c>
      <c r="D9" s="7" t="s">
        <v>102</v>
      </c>
    </row>
    <row r="10" spans="1:4" x14ac:dyDescent="0.25">
      <c r="A10" s="6"/>
      <c r="B10" s="6">
        <v>300</v>
      </c>
      <c r="C10" s="7" t="s">
        <v>166</v>
      </c>
      <c r="D10" s="7" t="s">
        <v>159</v>
      </c>
    </row>
    <row r="11" spans="1:4" ht="8.25" customHeight="1" x14ac:dyDescent="0.25">
      <c r="A11" s="6"/>
      <c r="B11" s="6"/>
      <c r="C11" s="7"/>
      <c r="D11" s="7"/>
    </row>
    <row r="12" spans="1:4" x14ac:dyDescent="0.25">
      <c r="A12" s="6"/>
      <c r="B12" s="6">
        <v>3500</v>
      </c>
      <c r="C12" s="7" t="s">
        <v>167</v>
      </c>
      <c r="D12" s="7" t="s">
        <v>104</v>
      </c>
    </row>
    <row r="13" spans="1:4" x14ac:dyDescent="0.25">
      <c r="A13" s="6"/>
      <c r="B13" s="6">
        <v>4500</v>
      </c>
      <c r="C13" s="7" t="s">
        <v>168</v>
      </c>
      <c r="D13" s="7" t="s">
        <v>105</v>
      </c>
    </row>
    <row r="14" spans="1:4" x14ac:dyDescent="0.25">
      <c r="A14" s="6"/>
      <c r="B14" s="6">
        <v>2800</v>
      </c>
      <c r="C14" s="7" t="s">
        <v>169</v>
      </c>
      <c r="D14" s="7" t="s">
        <v>103</v>
      </c>
    </row>
    <row r="15" spans="1:4" x14ac:dyDescent="0.25">
      <c r="A15" s="6"/>
      <c r="B15" s="6">
        <v>3800</v>
      </c>
      <c r="C15" s="7" t="s">
        <v>171</v>
      </c>
      <c r="D15" s="7" t="s">
        <v>106</v>
      </c>
    </row>
    <row r="16" spans="1:4" x14ac:dyDescent="0.25">
      <c r="A16" s="6"/>
      <c r="B16" s="6">
        <v>3300</v>
      </c>
      <c r="C16" s="7" t="s">
        <v>170</v>
      </c>
      <c r="D16" s="7" t="s">
        <v>107</v>
      </c>
    </row>
    <row r="17" spans="1:4" ht="9" customHeight="1" x14ac:dyDescent="0.25">
      <c r="A17" s="6"/>
      <c r="B17" s="6"/>
      <c r="C17" s="7"/>
      <c r="D17" s="7"/>
    </row>
    <row r="18" spans="1:4" x14ac:dyDescent="0.25">
      <c r="A18" s="6"/>
      <c r="B18" s="6">
        <v>15</v>
      </c>
      <c r="C18" s="7" t="s">
        <v>172</v>
      </c>
      <c r="D18" s="7" t="s">
        <v>108</v>
      </c>
    </row>
    <row r="19" spans="1:4" x14ac:dyDescent="0.25">
      <c r="A19" s="6"/>
      <c r="B19" s="6">
        <v>22</v>
      </c>
      <c r="C19" s="7" t="s">
        <v>173</v>
      </c>
      <c r="D19" s="7" t="s">
        <v>70</v>
      </c>
    </row>
    <row r="20" spans="1:4" x14ac:dyDescent="0.25">
      <c r="A20" s="6"/>
      <c r="B20" s="6">
        <v>10</v>
      </c>
      <c r="C20" s="7" t="s">
        <v>174</v>
      </c>
      <c r="D20" s="7" t="s">
        <v>109</v>
      </c>
    </row>
    <row r="21" spans="1:4" x14ac:dyDescent="0.25">
      <c r="A21" s="6"/>
      <c r="B21" s="6">
        <v>1</v>
      </c>
      <c r="C21" s="7" t="s">
        <v>175</v>
      </c>
      <c r="D21" s="7" t="s">
        <v>110</v>
      </c>
    </row>
    <row r="22" spans="1:4" x14ac:dyDescent="0.25">
      <c r="A22" s="6"/>
      <c r="B22" s="6">
        <v>1</v>
      </c>
      <c r="C22" s="7" t="s">
        <v>176</v>
      </c>
      <c r="D22" s="7" t="s">
        <v>111</v>
      </c>
    </row>
    <row r="23" spans="1:4" ht="9.75" customHeight="1" x14ac:dyDescent="0.25">
      <c r="A23" s="6"/>
      <c r="B23" s="6"/>
      <c r="C23" s="7"/>
      <c r="D23" s="7"/>
    </row>
    <row r="24" spans="1:4" x14ac:dyDescent="0.25">
      <c r="A24" s="6"/>
      <c r="B24" s="79">
        <f>B6*1500</f>
        <v>2250000</v>
      </c>
      <c r="C24" s="7" t="s">
        <v>177</v>
      </c>
      <c r="D24" s="7" t="s">
        <v>112</v>
      </c>
    </row>
    <row r="25" spans="1:4" x14ac:dyDescent="0.25">
      <c r="A25" s="6"/>
      <c r="B25" s="80">
        <f>B7*1750</f>
        <v>1400000</v>
      </c>
      <c r="C25" s="7" t="s">
        <v>178</v>
      </c>
      <c r="D25" s="7" t="s">
        <v>71</v>
      </c>
    </row>
    <row r="26" spans="1:4" x14ac:dyDescent="0.25">
      <c r="A26" s="6"/>
      <c r="B26" s="79">
        <f>B8*1000</f>
        <v>100000</v>
      </c>
      <c r="C26" s="7" t="s">
        <v>179</v>
      </c>
      <c r="D26" s="7" t="s">
        <v>113</v>
      </c>
    </row>
    <row r="27" spans="1:4" x14ac:dyDescent="0.25">
      <c r="A27" s="6"/>
      <c r="B27" s="79">
        <f>B9*1100</f>
        <v>330000</v>
      </c>
      <c r="C27" s="7" t="s">
        <v>180</v>
      </c>
      <c r="D27" s="7" t="s">
        <v>114</v>
      </c>
    </row>
    <row r="28" spans="1:4" x14ac:dyDescent="0.25">
      <c r="A28" s="6"/>
      <c r="B28" s="79">
        <f>B10*750</f>
        <v>225000</v>
      </c>
      <c r="C28" s="7" t="s">
        <v>181</v>
      </c>
      <c r="D28" s="7" t="s">
        <v>115</v>
      </c>
    </row>
    <row r="29" spans="1:4" ht="9.75" customHeight="1" x14ac:dyDescent="0.25">
      <c r="A29" s="6"/>
      <c r="B29" s="6"/>
      <c r="C29" s="7"/>
      <c r="D29" s="7"/>
    </row>
    <row r="30" spans="1:4" x14ac:dyDescent="0.25">
      <c r="A30" s="6"/>
      <c r="B30" s="79">
        <v>4500</v>
      </c>
      <c r="C30" s="7" t="s">
        <v>190</v>
      </c>
      <c r="D30" s="7" t="s">
        <v>30</v>
      </c>
    </row>
    <row r="31" spans="1:4" x14ac:dyDescent="0.25">
      <c r="A31" s="6"/>
      <c r="B31" s="79">
        <v>6500</v>
      </c>
      <c r="C31" s="7" t="s">
        <v>191</v>
      </c>
      <c r="D31" s="7" t="s">
        <v>32</v>
      </c>
    </row>
    <row r="32" spans="1:4" x14ac:dyDescent="0.25">
      <c r="A32" s="6"/>
      <c r="B32" s="79">
        <v>10000</v>
      </c>
      <c r="C32" s="7" t="s">
        <v>192</v>
      </c>
      <c r="D32" s="7" t="s">
        <v>31</v>
      </c>
    </row>
    <row r="33" spans="1:4" ht="10.5" customHeight="1" x14ac:dyDescent="0.25">
      <c r="A33" s="4"/>
      <c r="B33" s="4"/>
      <c r="C33" s="7"/>
      <c r="D33" s="7"/>
    </row>
    <row r="34" spans="1:4" ht="10.5" customHeight="1" x14ac:dyDescent="0.25">
      <c r="A34" s="4"/>
      <c r="B34" s="4"/>
      <c r="C34" s="7"/>
      <c r="D34" s="7"/>
    </row>
    <row r="35" spans="1:4" ht="18.75" x14ac:dyDescent="0.3">
      <c r="A35" s="67" t="s">
        <v>3</v>
      </c>
      <c r="B35" s="5"/>
      <c r="C35" s="5"/>
      <c r="D35" s="5"/>
    </row>
    <row r="36" spans="1:4" ht="18.75" x14ac:dyDescent="0.3">
      <c r="A36" s="67"/>
      <c r="B36" s="66" t="s">
        <v>25</v>
      </c>
      <c r="C36" s="66" t="s">
        <v>27</v>
      </c>
      <c r="D36" s="66" t="s">
        <v>26</v>
      </c>
    </row>
    <row r="37" spans="1:4" x14ac:dyDescent="0.25">
      <c r="A37" s="4"/>
      <c r="B37" s="4">
        <v>2</v>
      </c>
      <c r="C37" s="4" t="s">
        <v>193</v>
      </c>
      <c r="D37" s="4" t="s">
        <v>38</v>
      </c>
    </row>
    <row r="38" spans="1:4" x14ac:dyDescent="0.25">
      <c r="A38" s="4"/>
      <c r="B38" s="4">
        <v>2.5</v>
      </c>
      <c r="C38" s="4" t="s">
        <v>194</v>
      </c>
      <c r="D38" s="4" t="s">
        <v>116</v>
      </c>
    </row>
    <row r="39" spans="1:4" x14ac:dyDescent="0.25">
      <c r="A39" s="4"/>
      <c r="B39" s="4">
        <v>3.5</v>
      </c>
      <c r="C39" s="4" t="s">
        <v>195</v>
      </c>
      <c r="D39" s="4" t="s">
        <v>161</v>
      </c>
    </row>
    <row r="40" spans="1:4" x14ac:dyDescent="0.25">
      <c r="A40" s="4"/>
      <c r="B40" s="4">
        <v>1.5</v>
      </c>
      <c r="C40" s="4" t="s">
        <v>196</v>
      </c>
      <c r="D40" s="4" t="s">
        <v>117</v>
      </c>
    </row>
    <row r="41" spans="1:4" x14ac:dyDescent="0.25">
      <c r="A41" s="4"/>
      <c r="B41" s="4">
        <v>2</v>
      </c>
      <c r="C41" s="4" t="s">
        <v>197</v>
      </c>
      <c r="D41" s="4" t="s">
        <v>118</v>
      </c>
    </row>
    <row r="42" spans="1:4" x14ac:dyDescent="0.25">
      <c r="A42" s="4"/>
      <c r="B42" s="4">
        <v>1</v>
      </c>
      <c r="C42" s="4" t="s">
        <v>198</v>
      </c>
      <c r="D42" s="4" t="s">
        <v>119</v>
      </c>
    </row>
    <row r="43" spans="1:4" x14ac:dyDescent="0.25">
      <c r="A43" s="4"/>
      <c r="B43" s="4"/>
      <c r="C43" s="4"/>
      <c r="D43" s="4"/>
    </row>
    <row r="44" spans="1:4" x14ac:dyDescent="0.25">
      <c r="A44" s="4"/>
      <c r="B44" s="4">
        <f>45/60</f>
        <v>0.75</v>
      </c>
      <c r="C44" s="4" t="s">
        <v>199</v>
      </c>
      <c r="D44" s="4" t="s">
        <v>120</v>
      </c>
    </row>
    <row r="45" spans="1:4" x14ac:dyDescent="0.25">
      <c r="A45" s="4"/>
      <c r="B45" s="4">
        <f>60/60</f>
        <v>1</v>
      </c>
      <c r="C45" s="4" t="s">
        <v>200</v>
      </c>
      <c r="D45" s="4" t="s">
        <v>42</v>
      </c>
    </row>
    <row r="46" spans="1:4" x14ac:dyDescent="0.25">
      <c r="A46" s="4"/>
      <c r="B46" s="4">
        <f>135/60</f>
        <v>2.25</v>
      </c>
      <c r="C46" s="4" t="s">
        <v>201</v>
      </c>
      <c r="D46" s="4" t="s">
        <v>121</v>
      </c>
    </row>
    <row r="47" spans="1:4" x14ac:dyDescent="0.25">
      <c r="A47" s="4"/>
      <c r="B47" s="4">
        <f>90/60</f>
        <v>1.5</v>
      </c>
      <c r="C47" s="4" t="s">
        <v>202</v>
      </c>
      <c r="D47" s="4" t="s">
        <v>122</v>
      </c>
    </row>
    <row r="48" spans="1:4" x14ac:dyDescent="0.25">
      <c r="A48" s="4"/>
      <c r="B48" s="4">
        <f>120/60</f>
        <v>2</v>
      </c>
      <c r="C48" s="4" t="s">
        <v>203</v>
      </c>
      <c r="D48" s="4" t="s">
        <v>123</v>
      </c>
    </row>
    <row r="49" spans="1:4" x14ac:dyDescent="0.25">
      <c r="A49" s="4"/>
      <c r="B49" s="4"/>
      <c r="C49" s="4"/>
      <c r="D49" s="4"/>
    </row>
    <row r="50" spans="1:4" x14ac:dyDescent="0.25">
      <c r="A50" s="4"/>
      <c r="B50" s="4">
        <v>365</v>
      </c>
      <c r="C50" s="4" t="s">
        <v>204</v>
      </c>
      <c r="D50" s="4" t="s">
        <v>124</v>
      </c>
    </row>
    <row r="51" spans="1:4" x14ac:dyDescent="0.25">
      <c r="A51" s="4"/>
      <c r="B51" s="4">
        <v>365</v>
      </c>
      <c r="C51" s="4" t="s">
        <v>205</v>
      </c>
      <c r="D51" s="4" t="s">
        <v>43</v>
      </c>
    </row>
    <row r="52" spans="1:4" x14ac:dyDescent="0.25">
      <c r="A52" s="4"/>
      <c r="B52" s="4">
        <v>52</v>
      </c>
      <c r="C52" s="4" t="s">
        <v>206</v>
      </c>
      <c r="D52" s="4" t="s">
        <v>125</v>
      </c>
    </row>
    <row r="53" spans="1:4" x14ac:dyDescent="0.25">
      <c r="A53" s="4"/>
      <c r="B53" s="4">
        <v>52</v>
      </c>
      <c r="C53" s="4" t="s">
        <v>207</v>
      </c>
      <c r="D53" s="4" t="s">
        <v>126</v>
      </c>
    </row>
    <row r="54" spans="1:4" x14ac:dyDescent="0.25">
      <c r="A54" s="4"/>
      <c r="B54" s="4">
        <v>27</v>
      </c>
      <c r="C54" s="4" t="s">
        <v>208</v>
      </c>
      <c r="D54" s="4" t="s">
        <v>127</v>
      </c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</sheetData>
  <mergeCells count="1">
    <mergeCell ref="A2:D2"/>
  </mergeCells>
  <printOptions gridLines="1"/>
  <pageMargins left="0.35" right="0.27" top="0.75" bottom="0.75" header="0.4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63"/>
  <sheetViews>
    <sheetView topLeftCell="A13" zoomScaleNormal="100" workbookViewId="0">
      <selection activeCell="B6" sqref="B6"/>
    </sheetView>
    <sheetView topLeftCell="A27" workbookViewId="1">
      <selection activeCell="B54" sqref="B54"/>
    </sheetView>
  </sheetViews>
  <sheetFormatPr defaultColWidth="8.85546875" defaultRowHeight="15" x14ac:dyDescent="0.25"/>
  <cols>
    <col min="1" max="2" width="14.42578125" customWidth="1"/>
    <col min="3" max="3" width="18.28515625" customWidth="1"/>
    <col min="4" max="4" width="81.28515625" customWidth="1"/>
  </cols>
  <sheetData>
    <row r="1" spans="1:4" ht="23.25" x14ac:dyDescent="0.35">
      <c r="A1" s="75" t="s">
        <v>157</v>
      </c>
      <c r="B1" s="75"/>
      <c r="C1" s="75"/>
      <c r="D1" s="72"/>
    </row>
    <row r="2" spans="1:4" ht="18.75" x14ac:dyDescent="0.3">
      <c r="A2" s="87"/>
      <c r="B2" s="87"/>
      <c r="C2" s="87"/>
      <c r="D2" s="88"/>
    </row>
    <row r="3" spans="1:4" ht="18.75" x14ac:dyDescent="0.3">
      <c r="A3" s="3" t="s">
        <v>1</v>
      </c>
      <c r="B3" s="3"/>
      <c r="C3" s="3"/>
      <c r="D3" s="5"/>
    </row>
    <row r="4" spans="1:4" ht="21.95" customHeight="1" x14ac:dyDescent="0.25">
      <c r="A4" s="5"/>
      <c r="B4" s="77" t="s">
        <v>25</v>
      </c>
      <c r="C4" s="77" t="s">
        <v>27</v>
      </c>
      <c r="D4" s="77" t="s">
        <v>26</v>
      </c>
    </row>
    <row r="5" spans="1:4" x14ac:dyDescent="0.25">
      <c r="A5" s="4"/>
      <c r="B5" s="131">
        <v>37782.65</v>
      </c>
      <c r="C5" s="4" t="s">
        <v>209</v>
      </c>
      <c r="D5" s="4" t="s">
        <v>47</v>
      </c>
    </row>
    <row r="6" spans="1:4" x14ac:dyDescent="0.25">
      <c r="A6" s="4"/>
      <c r="B6" s="131">
        <f>B5*0.12</f>
        <v>4533.9179999999997</v>
      </c>
      <c r="C6" s="4" t="s">
        <v>220</v>
      </c>
      <c r="D6" s="4" t="s">
        <v>48</v>
      </c>
    </row>
    <row r="7" spans="1:4" x14ac:dyDescent="0.25">
      <c r="A7" s="4"/>
      <c r="B7" s="4"/>
      <c r="C7" s="4"/>
      <c r="D7" s="4"/>
    </row>
    <row r="8" spans="1:4" x14ac:dyDescent="0.25">
      <c r="A8" s="4"/>
      <c r="B8" s="131">
        <v>37782.65</v>
      </c>
      <c r="C8" s="4" t="s">
        <v>210</v>
      </c>
      <c r="D8" s="4" t="s">
        <v>158</v>
      </c>
    </row>
    <row r="9" spans="1:4" x14ac:dyDescent="0.25">
      <c r="A9" s="4"/>
      <c r="B9" s="131">
        <f>B8*0.12</f>
        <v>4533.9179999999997</v>
      </c>
      <c r="C9" s="4" t="s">
        <v>221</v>
      </c>
      <c r="D9" s="4" t="s">
        <v>44</v>
      </c>
    </row>
    <row r="10" spans="1:4" x14ac:dyDescent="0.25">
      <c r="A10" s="4"/>
      <c r="B10" s="4"/>
      <c r="C10" s="4"/>
      <c r="D10" s="4"/>
    </row>
    <row r="11" spans="1:4" x14ac:dyDescent="0.25">
      <c r="A11" s="4"/>
      <c r="B11" s="131">
        <v>9918.99</v>
      </c>
      <c r="C11" s="4" t="s">
        <v>211</v>
      </c>
      <c r="D11" s="4" t="s">
        <v>49</v>
      </c>
    </row>
    <row r="12" spans="1:4" x14ac:dyDescent="0.25">
      <c r="A12" s="4"/>
      <c r="B12" s="131">
        <f>B11*0.12</f>
        <v>1190.2787999999998</v>
      </c>
      <c r="C12" s="4" t="s">
        <v>223</v>
      </c>
      <c r="D12" s="4" t="s">
        <v>50</v>
      </c>
    </row>
    <row r="13" spans="1:4" x14ac:dyDescent="0.25">
      <c r="A13" s="4"/>
      <c r="B13" s="4"/>
      <c r="C13" s="4"/>
      <c r="D13" s="4"/>
    </row>
    <row r="14" spans="1:4" x14ac:dyDescent="0.25">
      <c r="A14" s="4"/>
      <c r="B14" s="131">
        <v>9918.99</v>
      </c>
      <c r="C14" s="4" t="s">
        <v>212</v>
      </c>
      <c r="D14" s="4" t="s">
        <v>140</v>
      </c>
    </row>
    <row r="15" spans="1:4" x14ac:dyDescent="0.25">
      <c r="A15" s="4"/>
      <c r="B15" s="131">
        <f>B14*0.12</f>
        <v>1190.2787999999998</v>
      </c>
      <c r="C15" s="4" t="s">
        <v>222</v>
      </c>
      <c r="D15" s="4" t="s">
        <v>141</v>
      </c>
    </row>
    <row r="16" spans="1:4" x14ac:dyDescent="0.25">
      <c r="A16" s="4"/>
      <c r="B16" s="4"/>
      <c r="C16" s="4"/>
      <c r="D16" s="4"/>
    </row>
    <row r="17" spans="1:4" x14ac:dyDescent="0.25">
      <c r="A17" s="4"/>
      <c r="B17" s="4">
        <v>150</v>
      </c>
      <c r="C17" t="s">
        <v>213</v>
      </c>
      <c r="D17" s="4" t="s">
        <v>45</v>
      </c>
    </row>
    <row r="18" spans="1:4" x14ac:dyDescent="0.25">
      <c r="A18" s="4"/>
      <c r="B18" s="4">
        <v>500</v>
      </c>
      <c r="C18" t="s">
        <v>217</v>
      </c>
      <c r="D18" s="4" t="s">
        <v>78</v>
      </c>
    </row>
    <row r="19" spans="1:4" x14ac:dyDescent="0.25">
      <c r="A19" s="4"/>
      <c r="B19" s="4">
        <v>100</v>
      </c>
      <c r="C19" t="s">
        <v>214</v>
      </c>
      <c r="D19" s="4" t="s">
        <v>46</v>
      </c>
    </row>
    <row r="20" spans="1:4" x14ac:dyDescent="0.25">
      <c r="A20" s="4"/>
      <c r="B20" s="4">
        <v>400</v>
      </c>
      <c r="C20" t="s">
        <v>218</v>
      </c>
      <c r="D20" s="4" t="s">
        <v>79</v>
      </c>
    </row>
    <row r="21" spans="1:4" x14ac:dyDescent="0.25">
      <c r="A21" s="4"/>
      <c r="B21" s="4">
        <v>10</v>
      </c>
      <c r="C21" t="s">
        <v>215</v>
      </c>
      <c r="D21" s="4" t="s">
        <v>51</v>
      </c>
    </row>
    <row r="22" spans="1:4" x14ac:dyDescent="0.25">
      <c r="A22" s="4"/>
      <c r="B22" s="4">
        <v>40</v>
      </c>
      <c r="C22" t="s">
        <v>219</v>
      </c>
      <c r="D22" s="4" t="s">
        <v>80</v>
      </c>
    </row>
    <row r="23" spans="1:4" x14ac:dyDescent="0.25">
      <c r="A23" s="4"/>
      <c r="B23" s="4">
        <v>50</v>
      </c>
      <c r="C23" t="s">
        <v>216</v>
      </c>
      <c r="D23" s="4" t="s">
        <v>143</v>
      </c>
    </row>
    <row r="24" spans="1:4" x14ac:dyDescent="0.25">
      <c r="A24" s="4"/>
      <c r="B24" s="4">
        <v>200</v>
      </c>
      <c r="C24" t="s">
        <v>219</v>
      </c>
      <c r="D24" s="4" t="s">
        <v>142</v>
      </c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>
        <v>205</v>
      </c>
      <c r="C27" s="4" t="s">
        <v>224</v>
      </c>
      <c r="D27" s="4" t="s">
        <v>81</v>
      </c>
    </row>
    <row r="28" spans="1:4" x14ac:dyDescent="0.25">
      <c r="A28" s="4"/>
      <c r="B28" s="4">
        <v>205</v>
      </c>
      <c r="C28" s="4" t="s">
        <v>225</v>
      </c>
      <c r="D28" s="4" t="s">
        <v>82</v>
      </c>
    </row>
    <row r="29" spans="1:4" x14ac:dyDescent="0.25">
      <c r="A29" s="4"/>
      <c r="B29" s="4">
        <v>125</v>
      </c>
      <c r="C29" s="4" t="s">
        <v>226</v>
      </c>
      <c r="D29" s="4" t="s">
        <v>83</v>
      </c>
    </row>
    <row r="30" spans="1:4" x14ac:dyDescent="0.25">
      <c r="A30" s="4"/>
      <c r="B30" s="4">
        <v>125</v>
      </c>
      <c r="C30" s="4" t="s">
        <v>227</v>
      </c>
      <c r="D30" s="4" t="s">
        <v>144</v>
      </c>
    </row>
    <row r="31" spans="1:4" x14ac:dyDescent="0.25">
      <c r="A31" s="4"/>
      <c r="B31" s="4"/>
      <c r="C31" s="4"/>
      <c r="D31" s="4"/>
    </row>
    <row r="32" spans="1:4" x14ac:dyDescent="0.25">
      <c r="A32" s="4"/>
      <c r="B32" s="132">
        <v>6500</v>
      </c>
      <c r="C32" s="4" t="s">
        <v>228</v>
      </c>
      <c r="D32" s="4" t="s">
        <v>52</v>
      </c>
    </row>
    <row r="33" spans="1:4" x14ac:dyDescent="0.25">
      <c r="A33" s="4"/>
      <c r="B33" s="4">
        <v>15</v>
      </c>
      <c r="C33" s="4" t="s">
        <v>229</v>
      </c>
      <c r="D33" s="4" t="s">
        <v>53</v>
      </c>
    </row>
    <row r="34" spans="1:4" x14ac:dyDescent="0.25">
      <c r="A34" s="4"/>
      <c r="B34" s="4"/>
      <c r="C34" s="4"/>
      <c r="D34" s="4"/>
    </row>
    <row r="35" spans="1:4" x14ac:dyDescent="0.25">
      <c r="A35" s="4"/>
      <c r="B35" s="133">
        <v>5500</v>
      </c>
      <c r="C35" s="4" t="s">
        <v>230</v>
      </c>
      <c r="D35" s="4" t="s">
        <v>54</v>
      </c>
    </row>
    <row r="36" spans="1:4" x14ac:dyDescent="0.25">
      <c r="A36" s="4"/>
      <c r="B36" s="4">
        <v>4</v>
      </c>
      <c r="C36" s="4" t="s">
        <v>231</v>
      </c>
      <c r="D36" s="4" t="s">
        <v>55</v>
      </c>
    </row>
    <row r="37" spans="1:4" x14ac:dyDescent="0.25">
      <c r="A37" s="4"/>
      <c r="B37" s="4">
        <v>2</v>
      </c>
      <c r="C37" s="4" t="s">
        <v>232</v>
      </c>
      <c r="D37" s="4" t="s">
        <v>56</v>
      </c>
    </row>
    <row r="38" spans="1:4" x14ac:dyDescent="0.25">
      <c r="A38" s="4"/>
      <c r="B38" s="4"/>
      <c r="C38" s="4"/>
    </row>
    <row r="39" spans="1:4" ht="18.75" x14ac:dyDescent="0.3">
      <c r="A39" s="67" t="s">
        <v>3</v>
      </c>
      <c r="B39" s="5"/>
      <c r="C39" s="5"/>
      <c r="D39" s="5"/>
    </row>
    <row r="40" spans="1:4" ht="18.75" x14ac:dyDescent="0.3">
      <c r="A40" s="67"/>
      <c r="B40" s="66" t="s">
        <v>25</v>
      </c>
      <c r="C40" s="66" t="s">
        <v>27</v>
      </c>
      <c r="D40" s="66" t="s">
        <v>26</v>
      </c>
    </row>
    <row r="41" spans="1:4" x14ac:dyDescent="0.25">
      <c r="A41" s="4"/>
      <c r="B41" s="4"/>
      <c r="C41" s="4"/>
      <c r="D41" s="4"/>
    </row>
    <row r="42" spans="1:4" x14ac:dyDescent="0.25">
      <c r="A42" s="4"/>
      <c r="B42" s="4">
        <v>10</v>
      </c>
      <c r="C42" s="4" t="s">
        <v>233</v>
      </c>
      <c r="D42" s="4" t="s">
        <v>57</v>
      </c>
    </row>
    <row r="43" spans="1:4" x14ac:dyDescent="0.25">
      <c r="A43" s="4"/>
      <c r="B43" s="4"/>
      <c r="C43" s="4" t="s">
        <v>234</v>
      </c>
      <c r="D43" s="4" t="s">
        <v>64</v>
      </c>
    </row>
    <row r="44" spans="1:4" x14ac:dyDescent="0.25">
      <c r="A44" s="4"/>
      <c r="B44" s="4"/>
      <c r="C44" s="4"/>
      <c r="D44" s="4"/>
    </row>
    <row r="45" spans="1:4" x14ac:dyDescent="0.25">
      <c r="A45" s="4"/>
      <c r="B45" s="4">
        <f>90/60</f>
        <v>1.5</v>
      </c>
      <c r="C45" s="4" t="s">
        <v>235</v>
      </c>
      <c r="D45" s="4" t="s">
        <v>72</v>
      </c>
    </row>
    <row r="46" spans="1:4" x14ac:dyDescent="0.25">
      <c r="A46" s="4"/>
      <c r="B46" s="4">
        <f>90/60</f>
        <v>1.5</v>
      </c>
      <c r="C46" s="4" t="s">
        <v>236</v>
      </c>
      <c r="D46" s="4" t="s">
        <v>73</v>
      </c>
    </row>
    <row r="47" spans="1:4" x14ac:dyDescent="0.25">
      <c r="A47" s="4"/>
      <c r="B47" s="4">
        <f>90/60</f>
        <v>1.5</v>
      </c>
      <c r="C47" s="4" t="s">
        <v>237</v>
      </c>
      <c r="D47" s="4" t="s">
        <v>74</v>
      </c>
    </row>
    <row r="48" spans="1:4" x14ac:dyDescent="0.25">
      <c r="A48" s="4"/>
      <c r="B48" s="4">
        <f>120/60</f>
        <v>2</v>
      </c>
      <c r="C48" s="4" t="s">
        <v>238</v>
      </c>
      <c r="D48" s="4" t="s">
        <v>146</v>
      </c>
    </row>
    <row r="49" spans="1:4" x14ac:dyDescent="0.25">
      <c r="A49" s="4"/>
      <c r="B49" s="4"/>
      <c r="C49" s="4"/>
      <c r="D49" s="4"/>
    </row>
    <row r="50" spans="1:4" x14ac:dyDescent="0.25">
      <c r="A50" s="4"/>
      <c r="B50" s="4">
        <v>650</v>
      </c>
      <c r="C50" s="4" t="s">
        <v>239</v>
      </c>
      <c r="D50" s="4" t="s">
        <v>75</v>
      </c>
    </row>
    <row r="51" spans="1:4" x14ac:dyDescent="0.25">
      <c r="A51" s="4"/>
      <c r="B51" s="4">
        <v>500</v>
      </c>
      <c r="C51" s="4" t="s">
        <v>240</v>
      </c>
      <c r="D51" s="4" t="s">
        <v>76</v>
      </c>
    </row>
    <row r="52" spans="1:4" x14ac:dyDescent="0.25">
      <c r="A52" s="4"/>
      <c r="B52" s="4">
        <v>50</v>
      </c>
      <c r="C52" s="4" t="s">
        <v>241</v>
      </c>
      <c r="D52" s="4" t="s">
        <v>77</v>
      </c>
    </row>
    <row r="53" spans="1:4" x14ac:dyDescent="0.25">
      <c r="A53" s="4"/>
      <c r="B53" s="4">
        <v>250</v>
      </c>
      <c r="C53" s="4" t="s">
        <v>242</v>
      </c>
      <c r="D53" s="4" t="s">
        <v>145</v>
      </c>
    </row>
    <row r="54" spans="1:4" x14ac:dyDescent="0.25">
      <c r="A54" s="4"/>
      <c r="B54" s="4"/>
      <c r="C54" s="4"/>
      <c r="D54" s="4"/>
    </row>
    <row r="63" spans="1:4" x14ac:dyDescent="0.25">
      <c r="D63" s="1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47"/>
  <sheetViews>
    <sheetView topLeftCell="A16" zoomScale="80" zoomScaleNormal="100" workbookViewId="0">
      <selection activeCell="G21" sqref="G21"/>
    </sheetView>
    <sheetView topLeftCell="A20" workbookViewId="1">
      <selection activeCell="B48" sqref="B48"/>
    </sheetView>
  </sheetViews>
  <sheetFormatPr defaultColWidth="8.85546875" defaultRowHeight="15" x14ac:dyDescent="0.25"/>
  <cols>
    <col min="1" max="1" width="37.7109375" customWidth="1"/>
    <col min="2" max="2" width="17.85546875" customWidth="1"/>
    <col min="3" max="3" width="14" customWidth="1"/>
    <col min="4" max="4" width="13.42578125" customWidth="1"/>
    <col min="5" max="5" width="13.7109375" customWidth="1"/>
    <col min="6" max="6" width="15" customWidth="1"/>
    <col min="7" max="7" width="18.85546875" customWidth="1"/>
    <col min="8" max="9" width="13.85546875" bestFit="1" customWidth="1"/>
  </cols>
  <sheetData>
    <row r="1" spans="1:7" s="2" customFormat="1" ht="21" x14ac:dyDescent="0.35">
      <c r="A1" s="99" t="s">
        <v>91</v>
      </c>
      <c r="B1" s="100"/>
      <c r="C1" s="100"/>
      <c r="D1" s="100"/>
      <c r="E1" s="100"/>
      <c r="F1" s="101"/>
    </row>
    <row r="2" spans="1:7" x14ac:dyDescent="0.25">
      <c r="A2" s="21" t="s">
        <v>0</v>
      </c>
      <c r="B2" s="102" t="s">
        <v>5</v>
      </c>
      <c r="C2" s="102"/>
      <c r="D2" s="102"/>
      <c r="E2" s="102"/>
      <c r="F2" s="102"/>
      <c r="G2" s="106" t="s">
        <v>86</v>
      </c>
    </row>
    <row r="3" spans="1:7" x14ac:dyDescent="0.25">
      <c r="A3" s="17"/>
      <c r="B3" s="21" t="s">
        <v>6</v>
      </c>
      <c r="C3" s="21" t="s">
        <v>7</v>
      </c>
      <c r="D3" s="21" t="s">
        <v>8</v>
      </c>
      <c r="E3" s="21" t="s">
        <v>9</v>
      </c>
      <c r="F3" s="21" t="s">
        <v>10</v>
      </c>
      <c r="G3" s="106"/>
    </row>
    <row r="4" spans="1:7" ht="18.75" x14ac:dyDescent="0.3">
      <c r="A4" s="45" t="s">
        <v>1</v>
      </c>
      <c r="B4" s="11"/>
      <c r="C4" s="11"/>
      <c r="D4" s="11"/>
      <c r="E4" s="11"/>
      <c r="F4" s="12"/>
      <c r="G4" s="8"/>
    </row>
    <row r="5" spans="1:7" x14ac:dyDescent="0.25">
      <c r="A5" s="22" t="s">
        <v>13</v>
      </c>
      <c r="B5" s="23">
        <f>(250*37782.65)+(60*9918.99)</f>
        <v>10040801.9</v>
      </c>
      <c r="C5" s="23">
        <v>0</v>
      </c>
      <c r="D5" s="23">
        <v>0</v>
      </c>
      <c r="E5" s="23">
        <v>0</v>
      </c>
      <c r="F5" s="23">
        <v>0</v>
      </c>
      <c r="G5" s="32">
        <f>SUM(B5:F5)</f>
        <v>10040801.9</v>
      </c>
    </row>
    <row r="6" spans="1:7" x14ac:dyDescent="0.25">
      <c r="A6" s="22" t="s">
        <v>14</v>
      </c>
      <c r="B6" s="23">
        <f>6500*310</f>
        <v>2015000</v>
      </c>
      <c r="C6" s="23">
        <v>0</v>
      </c>
      <c r="D6" s="23">
        <v>0</v>
      </c>
      <c r="E6" s="23">
        <v>0</v>
      </c>
      <c r="F6" s="23">
        <v>0</v>
      </c>
      <c r="G6" s="32">
        <f t="shared" ref="G6:G20" si="0">SUM(B6:F6)</f>
        <v>2015000</v>
      </c>
    </row>
    <row r="7" spans="1:7" x14ac:dyDescent="0.25">
      <c r="A7" s="22" t="s">
        <v>15</v>
      </c>
      <c r="B7" s="23">
        <f>'Proposed - Variables'!B6+'Proposed - Variables'!B9+'Proposed - Variables'!B12+'Proposed - Variables'!B15</f>
        <v>11448.393599999999</v>
      </c>
      <c r="C7" s="23">
        <f>B7*0.03+B7</f>
        <v>11791.845407999999</v>
      </c>
      <c r="D7" s="23">
        <f>C7*0.03+C7</f>
        <v>12145.600770239998</v>
      </c>
      <c r="E7" s="23">
        <f>D7*0.03+D7</f>
        <v>12509.968793347198</v>
      </c>
      <c r="F7" s="23">
        <f>E7*0.03+E7</f>
        <v>12885.267857147614</v>
      </c>
      <c r="G7" s="32">
        <f t="shared" si="0"/>
        <v>60781.076428734814</v>
      </c>
    </row>
    <row r="8" spans="1:7" x14ac:dyDescent="0.25">
      <c r="A8" s="22" t="s">
        <v>97</v>
      </c>
      <c r="B8" s="18">
        <f>(((((205*0.85)/100)*24)*150)*0.13)*365</f>
        <v>297653.84999999998</v>
      </c>
      <c r="C8" s="18">
        <f>B8*0.02+B8</f>
        <v>303606.92699999997</v>
      </c>
      <c r="D8" s="18">
        <f>C8*0.02+C8</f>
        <v>309679.06553999998</v>
      </c>
      <c r="E8" s="18">
        <f>D8*0.02+D8</f>
        <v>315872.64685079997</v>
      </c>
      <c r="F8" s="18">
        <f>E8*0.02+E8</f>
        <v>322190.09978781594</v>
      </c>
      <c r="G8" s="32">
        <f t="shared" si="0"/>
        <v>1549002.5891786159</v>
      </c>
    </row>
    <row r="9" spans="1:7" x14ac:dyDescent="0.25">
      <c r="A9" s="22" t="s">
        <v>33</v>
      </c>
      <c r="B9" s="18">
        <f>(((((205*0.6)/100)*24)*100)*0.13)*365</f>
        <v>140072.4</v>
      </c>
      <c r="C9" s="18">
        <f>B9*0.02+B9</f>
        <v>142873.848</v>
      </c>
      <c r="D9" s="18">
        <f>C9*0.02+C9</f>
        <v>145731.32496</v>
      </c>
      <c r="E9" s="18">
        <f>D9*0.02+D9</f>
        <v>148645.95145920001</v>
      </c>
      <c r="F9" s="18">
        <f>E9*0.02+E9</f>
        <v>151618.87048838401</v>
      </c>
      <c r="G9" s="32">
        <f t="shared" si="0"/>
        <v>728942.39490758406</v>
      </c>
    </row>
    <row r="10" spans="1:7" x14ac:dyDescent="0.25">
      <c r="A10" s="22" t="s">
        <v>98</v>
      </c>
      <c r="B10" s="18">
        <f>(((((125*0.75)/100)*24)*100)*0.13)*365</f>
        <v>106762.5</v>
      </c>
      <c r="C10" s="18">
        <f t="shared" ref="C10:F13" si="1">B10*0.02+B10</f>
        <v>108897.75</v>
      </c>
      <c r="D10" s="18">
        <f t="shared" si="1"/>
        <v>111075.705</v>
      </c>
      <c r="E10" s="18">
        <f t="shared" si="1"/>
        <v>113297.2191</v>
      </c>
      <c r="F10" s="18">
        <f t="shared" si="1"/>
        <v>115563.163482</v>
      </c>
      <c r="G10" s="32">
        <f t="shared" si="0"/>
        <v>555596.33758200007</v>
      </c>
    </row>
    <row r="11" spans="1:7" x14ac:dyDescent="0.25">
      <c r="A11" s="22" t="s">
        <v>147</v>
      </c>
      <c r="B11" s="18">
        <f>(((((125*0.5)/100)*24)*100)*0.13)*365</f>
        <v>71175</v>
      </c>
      <c r="C11" s="18">
        <f t="shared" si="1"/>
        <v>72598.5</v>
      </c>
      <c r="D11" s="18">
        <f t="shared" si="1"/>
        <v>74050.47</v>
      </c>
      <c r="E11" s="18">
        <f t="shared" si="1"/>
        <v>75531.479399999997</v>
      </c>
      <c r="F11" s="18">
        <f t="shared" si="1"/>
        <v>77042.108987999993</v>
      </c>
      <c r="G11" s="32">
        <f t="shared" si="0"/>
        <v>370397.558388</v>
      </c>
    </row>
    <row r="12" spans="1:7" x14ac:dyDescent="0.25">
      <c r="A12" s="22" t="s">
        <v>99</v>
      </c>
      <c r="B12" s="18">
        <f>'Proposed - Variables'!B6 * 150</f>
        <v>680087.7</v>
      </c>
      <c r="C12" s="18">
        <f>B12*0.03+B12</f>
        <v>700490.33100000001</v>
      </c>
      <c r="D12" s="18">
        <f t="shared" si="1"/>
        <v>714500.13762000005</v>
      </c>
      <c r="E12" s="18">
        <f t="shared" si="1"/>
        <v>728790.14037240006</v>
      </c>
      <c r="F12" s="18">
        <f t="shared" si="1"/>
        <v>743365.94317984802</v>
      </c>
      <c r="G12" s="32">
        <f t="shared" si="0"/>
        <v>3567234.2521722484</v>
      </c>
    </row>
    <row r="13" spans="1:7" x14ac:dyDescent="0.25">
      <c r="A13" s="22" t="s">
        <v>34</v>
      </c>
      <c r="B13" s="18">
        <f>'Proposed - Variables'!B9 * 100</f>
        <v>453391.8</v>
      </c>
      <c r="C13" s="18">
        <f>B13*0.03+B13</f>
        <v>466993.554</v>
      </c>
      <c r="D13" s="18">
        <f t="shared" si="1"/>
        <v>476333.42508000002</v>
      </c>
      <c r="E13" s="18">
        <f t="shared" si="1"/>
        <v>485860.0935816</v>
      </c>
      <c r="F13" s="18">
        <f t="shared" si="1"/>
        <v>495577.29545323201</v>
      </c>
      <c r="G13" s="32">
        <f t="shared" si="0"/>
        <v>2378156.1681148317</v>
      </c>
    </row>
    <row r="14" spans="1:7" x14ac:dyDescent="0.25">
      <c r="A14" s="22" t="s">
        <v>100</v>
      </c>
      <c r="B14" s="18">
        <f>'Proposed - Variables'!B12 * 10</f>
        <v>11902.787999999999</v>
      </c>
      <c r="C14" s="18">
        <f>B14*0.03+B14</f>
        <v>12259.871639999999</v>
      </c>
      <c r="D14" s="18">
        <f t="shared" ref="D14:F14" si="2">C14*0.03+C14</f>
        <v>12627.667789199999</v>
      </c>
      <c r="E14" s="18">
        <f t="shared" si="2"/>
        <v>13006.497822875999</v>
      </c>
      <c r="F14" s="18">
        <f t="shared" si="2"/>
        <v>13396.692757562279</v>
      </c>
      <c r="G14" s="32">
        <f t="shared" si="0"/>
        <v>63193.518009638283</v>
      </c>
    </row>
    <row r="15" spans="1:7" x14ac:dyDescent="0.25">
      <c r="A15" s="22" t="s">
        <v>148</v>
      </c>
      <c r="B15" s="18">
        <f>'Proposed - Variables'!B15 * 50</f>
        <v>59513.939999999988</v>
      </c>
      <c r="C15" s="18">
        <f t="shared" ref="C15:F15" si="3">B15*0.03+B15</f>
        <v>61299.358199999988</v>
      </c>
      <c r="D15" s="18">
        <f t="shared" si="3"/>
        <v>63138.338945999989</v>
      </c>
      <c r="E15" s="18">
        <f t="shared" si="3"/>
        <v>65032.48911437999</v>
      </c>
      <c r="F15" s="18">
        <f t="shared" si="3"/>
        <v>66983.463787811386</v>
      </c>
      <c r="G15" s="32">
        <f t="shared" si="0"/>
        <v>315967.59004819137</v>
      </c>
    </row>
    <row r="16" spans="1:7" x14ac:dyDescent="0.25">
      <c r="A16" s="22" t="s">
        <v>16</v>
      </c>
      <c r="B16" s="18">
        <f>'Proposed - Variables'!B35 * 'Proposed - Variables'!B36</f>
        <v>22000</v>
      </c>
      <c r="C16" s="18">
        <f>B16</f>
        <v>22000</v>
      </c>
      <c r="D16" s="18">
        <f>'Proposed - Variables'!B35 * 'Proposed - Variables'!B37</f>
        <v>11000</v>
      </c>
      <c r="E16" s="18">
        <f>D16</f>
        <v>11000</v>
      </c>
      <c r="F16" s="18">
        <f>E16</f>
        <v>11000</v>
      </c>
      <c r="G16" s="32">
        <f t="shared" si="0"/>
        <v>77000</v>
      </c>
    </row>
    <row r="17" spans="1:8" x14ac:dyDescent="0.25">
      <c r="A17" s="22" t="s">
        <v>35</v>
      </c>
      <c r="B17" s="18">
        <f>4500*12</f>
        <v>54000</v>
      </c>
      <c r="C17" s="18">
        <f t="shared" ref="C17:F17" si="4">4500*12</f>
        <v>54000</v>
      </c>
      <c r="D17" s="18">
        <f t="shared" si="4"/>
        <v>54000</v>
      </c>
      <c r="E17" s="18">
        <f t="shared" si="4"/>
        <v>54000</v>
      </c>
      <c r="F17" s="18">
        <f t="shared" si="4"/>
        <v>54000</v>
      </c>
      <c r="G17" s="32">
        <f t="shared" si="0"/>
        <v>270000</v>
      </c>
    </row>
    <row r="18" spans="1:8" x14ac:dyDescent="0.25">
      <c r="A18" s="22" t="s">
        <v>36</v>
      </c>
      <c r="B18" s="18">
        <f>6500*12</f>
        <v>78000</v>
      </c>
      <c r="C18" s="18">
        <f>6500*12</f>
        <v>78000</v>
      </c>
      <c r="D18" s="18">
        <f>10000*12</f>
        <v>120000</v>
      </c>
      <c r="E18" s="18">
        <f t="shared" ref="E18:F18" si="5">10000*12</f>
        <v>120000</v>
      </c>
      <c r="F18" s="18">
        <f t="shared" si="5"/>
        <v>120000</v>
      </c>
      <c r="G18" s="32">
        <f t="shared" si="0"/>
        <v>516000</v>
      </c>
    </row>
    <row r="19" spans="1:8" ht="15" customHeight="1" x14ac:dyDescent="0.25">
      <c r="A19" s="89"/>
      <c r="B19" s="90"/>
      <c r="C19" s="90"/>
      <c r="D19" s="90"/>
      <c r="E19" s="90"/>
      <c r="F19" s="91"/>
      <c r="G19" s="17"/>
    </row>
    <row r="20" spans="1:8" ht="17.25" customHeight="1" x14ac:dyDescent="0.25">
      <c r="A20" s="39" t="s">
        <v>2</v>
      </c>
      <c r="B20" s="30">
        <f>SUM(B5:B18)</f>
        <v>14041810.271600001</v>
      </c>
      <c r="C20" s="30">
        <f t="shared" ref="C20:F20" si="6">SUM(C5:C18)</f>
        <v>2034811.9852479999</v>
      </c>
      <c r="D20" s="30">
        <f t="shared" si="6"/>
        <v>2104281.7357054399</v>
      </c>
      <c r="E20" s="30">
        <f t="shared" si="6"/>
        <v>2143546.4864946031</v>
      </c>
      <c r="F20" s="30">
        <f t="shared" si="6"/>
        <v>2183622.9057818009</v>
      </c>
      <c r="G20" s="32">
        <f t="shared" si="0"/>
        <v>22508073.384829845</v>
      </c>
    </row>
    <row r="21" spans="1:8" ht="14.25" customHeight="1" x14ac:dyDescent="0.25">
      <c r="A21" s="89"/>
      <c r="B21" s="90"/>
      <c r="C21" s="90"/>
      <c r="D21" s="90"/>
      <c r="E21" s="90"/>
      <c r="F21" s="91"/>
      <c r="G21" s="17"/>
    </row>
    <row r="22" spans="1:8" x14ac:dyDescent="0.25">
      <c r="A22" s="34" t="s">
        <v>20</v>
      </c>
      <c r="B22" s="33">
        <f>SUM(G5:G18)</f>
        <v>22508073.384829842</v>
      </c>
      <c r="C22" s="103"/>
      <c r="D22" s="104"/>
      <c r="E22" s="104"/>
      <c r="F22" s="105"/>
      <c r="G22" s="17"/>
    </row>
    <row r="23" spans="1:8" x14ac:dyDescent="0.25">
      <c r="A23" s="89"/>
      <c r="B23" s="90"/>
      <c r="C23" s="90"/>
      <c r="D23" s="90"/>
      <c r="E23" s="90"/>
      <c r="F23" s="91"/>
      <c r="G23" s="17"/>
    </row>
    <row r="24" spans="1:8" ht="18.75" x14ac:dyDescent="0.3">
      <c r="A24" s="46" t="s">
        <v>3</v>
      </c>
      <c r="B24" s="9"/>
      <c r="C24" s="9"/>
      <c r="D24" s="9"/>
      <c r="E24" s="9"/>
      <c r="F24" s="10"/>
      <c r="G24" s="8"/>
    </row>
    <row r="25" spans="1:8" x14ac:dyDescent="0.25">
      <c r="A25" s="22" t="s">
        <v>58</v>
      </c>
      <c r="B25" s="23">
        <f>((100*10)*10)*150</f>
        <v>1500000</v>
      </c>
      <c r="C25" s="23">
        <f>B25*0.02+B25</f>
        <v>1530000</v>
      </c>
      <c r="D25" s="23">
        <f t="shared" ref="D25:F25" si="7">C25*0.02+C25</f>
        <v>1560600</v>
      </c>
      <c r="E25" s="23">
        <f t="shared" si="7"/>
        <v>1591812</v>
      </c>
      <c r="F25" s="23">
        <f t="shared" si="7"/>
        <v>1623648.24</v>
      </c>
      <c r="G25" s="32">
        <f>SUM(B25:F25)</f>
        <v>7806060.2400000002</v>
      </c>
    </row>
    <row r="26" spans="1:8" x14ac:dyDescent="0.25">
      <c r="A26" s="22" t="s">
        <v>61</v>
      </c>
      <c r="B26" s="23">
        <f>(((65*10)*10)*500)</f>
        <v>3250000</v>
      </c>
      <c r="C26" s="23">
        <f t="shared" ref="C26:F26" si="8">B26*0.02+B26</f>
        <v>3315000</v>
      </c>
      <c r="D26" s="23">
        <f t="shared" si="8"/>
        <v>3381300</v>
      </c>
      <c r="E26" s="23">
        <f t="shared" si="8"/>
        <v>3448926</v>
      </c>
      <c r="F26" s="23">
        <f t="shared" si="8"/>
        <v>3517904.52</v>
      </c>
      <c r="G26" s="32">
        <f t="shared" ref="G26:G33" si="9">SUM(B26:F26)</f>
        <v>16913130.52</v>
      </c>
      <c r="H26" s="24"/>
    </row>
    <row r="27" spans="1:8" x14ac:dyDescent="0.25">
      <c r="A27" s="22" t="s">
        <v>59</v>
      </c>
      <c r="B27" s="23">
        <f>((100*10)*10)*100</f>
        <v>1000000</v>
      </c>
      <c r="C27" s="23">
        <f t="shared" ref="C27:F27" si="10">B27*0.02+B27</f>
        <v>1020000</v>
      </c>
      <c r="D27" s="23">
        <f t="shared" si="10"/>
        <v>1040400</v>
      </c>
      <c r="E27" s="23">
        <f t="shared" si="10"/>
        <v>1061208</v>
      </c>
      <c r="F27" s="23">
        <f t="shared" si="10"/>
        <v>1082432.1599999999</v>
      </c>
      <c r="G27" s="32">
        <f t="shared" si="9"/>
        <v>5204040.16</v>
      </c>
    </row>
    <row r="28" spans="1:8" x14ac:dyDescent="0.25">
      <c r="A28" s="22" t="s">
        <v>62</v>
      </c>
      <c r="B28" s="23">
        <f>((65*10)*10)*400</f>
        <v>2600000</v>
      </c>
      <c r="C28" s="23">
        <f t="shared" ref="C28:F28" si="11">B28*0.02+B28</f>
        <v>2652000</v>
      </c>
      <c r="D28" s="23">
        <f t="shared" si="11"/>
        <v>2705040</v>
      </c>
      <c r="E28" s="23">
        <f t="shared" si="11"/>
        <v>2759140.8</v>
      </c>
      <c r="F28" s="23">
        <f t="shared" si="11"/>
        <v>2814323.6159999999</v>
      </c>
      <c r="G28" s="32">
        <f t="shared" si="9"/>
        <v>13530504.416000001</v>
      </c>
    </row>
    <row r="29" spans="1:8" x14ac:dyDescent="0.25">
      <c r="A29" s="22" t="s">
        <v>60</v>
      </c>
      <c r="B29" s="23">
        <f>((100*10)*10)*10</f>
        <v>100000</v>
      </c>
      <c r="C29" s="23">
        <f t="shared" ref="C29:F29" si="12">B29*0.02+B29</f>
        <v>102000</v>
      </c>
      <c r="D29" s="23">
        <f t="shared" si="12"/>
        <v>104040</v>
      </c>
      <c r="E29" s="23">
        <f t="shared" si="12"/>
        <v>106120.8</v>
      </c>
      <c r="F29" s="23">
        <f t="shared" si="12"/>
        <v>108243.216</v>
      </c>
      <c r="G29" s="32">
        <f t="shared" si="9"/>
        <v>520404.016</v>
      </c>
    </row>
    <row r="30" spans="1:8" x14ac:dyDescent="0.25">
      <c r="A30" s="22" t="s">
        <v>63</v>
      </c>
      <c r="B30" s="23">
        <f>((65*10)*10)*40</f>
        <v>260000</v>
      </c>
      <c r="C30" s="23">
        <f t="shared" ref="C30:F30" si="13">B30*0.02+B30</f>
        <v>265200</v>
      </c>
      <c r="D30" s="23">
        <f t="shared" si="13"/>
        <v>270504</v>
      </c>
      <c r="E30" s="23">
        <f t="shared" si="13"/>
        <v>275914.08</v>
      </c>
      <c r="F30" s="23">
        <f t="shared" si="13"/>
        <v>281432.3616</v>
      </c>
      <c r="G30" s="32">
        <f t="shared" si="9"/>
        <v>1353050.4416</v>
      </c>
    </row>
    <row r="31" spans="1:8" x14ac:dyDescent="0.25">
      <c r="A31" s="22" t="s">
        <v>149</v>
      </c>
      <c r="B31" s="23">
        <f>((100*10)*10)*50</f>
        <v>500000</v>
      </c>
      <c r="C31" s="23">
        <f t="shared" ref="C31:F31" si="14">B31*0.02+B31</f>
        <v>510000</v>
      </c>
      <c r="D31" s="23">
        <f t="shared" si="14"/>
        <v>520200</v>
      </c>
      <c r="E31" s="23">
        <f t="shared" si="14"/>
        <v>530604</v>
      </c>
      <c r="F31" s="23">
        <f t="shared" si="14"/>
        <v>541216.07999999996</v>
      </c>
      <c r="G31" s="32">
        <f t="shared" si="9"/>
        <v>2602020.08</v>
      </c>
    </row>
    <row r="32" spans="1:8" x14ac:dyDescent="0.25">
      <c r="A32" s="64" t="s">
        <v>150</v>
      </c>
      <c r="B32" s="23">
        <f>((65*10)*10)*200</f>
        <v>1300000</v>
      </c>
      <c r="C32" s="23">
        <f t="shared" ref="C32:F32" si="15">B32*0.02+B32</f>
        <v>1326000</v>
      </c>
      <c r="D32" s="23">
        <f t="shared" si="15"/>
        <v>1352520</v>
      </c>
      <c r="E32" s="23">
        <f t="shared" si="15"/>
        <v>1379570.4</v>
      </c>
      <c r="F32" s="23">
        <f t="shared" si="15"/>
        <v>1407161.808</v>
      </c>
      <c r="G32" s="32">
        <f t="shared" si="9"/>
        <v>6765252.2080000006</v>
      </c>
    </row>
    <row r="33" spans="1:9" x14ac:dyDescent="0.25">
      <c r="A33" s="47" t="s">
        <v>92</v>
      </c>
      <c r="B33" s="37">
        <f>SUM(B25:B32)</f>
        <v>10510000</v>
      </c>
      <c r="C33" s="37">
        <f t="shared" ref="C33:F33" si="16">SUM(C25:C32)</f>
        <v>10720200</v>
      </c>
      <c r="D33" s="37">
        <f t="shared" si="16"/>
        <v>10934604</v>
      </c>
      <c r="E33" s="37">
        <f t="shared" si="16"/>
        <v>11153296.080000002</v>
      </c>
      <c r="F33" s="37">
        <f t="shared" si="16"/>
        <v>11376362.001600001</v>
      </c>
      <c r="G33" s="32">
        <f t="shared" si="9"/>
        <v>54694462.081599995</v>
      </c>
      <c r="H33" s="24"/>
    </row>
    <row r="34" spans="1:9" ht="15" customHeight="1" x14ac:dyDescent="0.25">
      <c r="A34" s="89"/>
      <c r="B34" s="90"/>
      <c r="C34" s="90"/>
      <c r="D34" s="90"/>
      <c r="E34" s="90"/>
      <c r="F34" s="91"/>
      <c r="G34" s="17"/>
    </row>
    <row r="35" spans="1:9" x14ac:dyDescent="0.25">
      <c r="A35" s="22" t="s">
        <v>65</v>
      </c>
      <c r="B35" s="23">
        <f>(('Proposed - Variables'!B45*365)*'Proposed - Variables'!B17)*100</f>
        <v>8212500</v>
      </c>
      <c r="C35" s="23">
        <f t="shared" ref="C35:F38" si="17">B35*0.02+B35</f>
        <v>8376750</v>
      </c>
      <c r="D35" s="23">
        <f t="shared" si="17"/>
        <v>8544285</v>
      </c>
      <c r="E35" s="23">
        <f t="shared" si="17"/>
        <v>8715170.6999999993</v>
      </c>
      <c r="F35" s="23">
        <f t="shared" si="17"/>
        <v>8889474.1140000001</v>
      </c>
      <c r="G35" s="32">
        <f t="shared" ref="G35:G38" si="18">SUM(B35:F35)</f>
        <v>42738179.814000003</v>
      </c>
    </row>
    <row r="36" spans="1:9" x14ac:dyDescent="0.25">
      <c r="A36" s="22" t="s">
        <v>66</v>
      </c>
      <c r="B36" s="23">
        <f>(('Proposed - Variables'!B46*'Proposed - Variables'!B19)*500)*100</f>
        <v>7500000</v>
      </c>
      <c r="C36" s="23">
        <f t="shared" ref="C36:F38" si="19">B36*0.02+B36</f>
        <v>7650000</v>
      </c>
      <c r="D36" s="23">
        <f t="shared" si="19"/>
        <v>7803000</v>
      </c>
      <c r="E36" s="23">
        <f t="shared" si="19"/>
        <v>7959060</v>
      </c>
      <c r="F36" s="23">
        <f t="shared" si="19"/>
        <v>8118241.2000000002</v>
      </c>
      <c r="G36" s="32">
        <f t="shared" si="18"/>
        <v>39030301.200000003</v>
      </c>
    </row>
    <row r="37" spans="1:9" x14ac:dyDescent="0.25">
      <c r="A37" s="22" t="s">
        <v>67</v>
      </c>
      <c r="B37" s="23">
        <f>(('Proposed - Variables'!B47*365)*'Proposed - Variables'!B21)*100</f>
        <v>547500</v>
      </c>
      <c r="C37" s="23">
        <f t="shared" ref="C37:F38" si="20">B37*0.02+B37</f>
        <v>558450</v>
      </c>
      <c r="D37" s="23">
        <f t="shared" si="20"/>
        <v>569619</v>
      </c>
      <c r="E37" s="23">
        <f t="shared" si="20"/>
        <v>581011.38</v>
      </c>
      <c r="F37" s="23">
        <f t="shared" si="20"/>
        <v>592631.60759999999</v>
      </c>
      <c r="G37" s="32">
        <f t="shared" si="18"/>
        <v>2849211.9875999996</v>
      </c>
    </row>
    <row r="38" spans="1:9" x14ac:dyDescent="0.25">
      <c r="A38" s="22" t="s">
        <v>151</v>
      </c>
      <c r="B38" s="23">
        <f>(('Proposed - Variables'!B48*365)*'Proposed - Variables'!B23)*100</f>
        <v>3650000</v>
      </c>
      <c r="C38" s="23">
        <f t="shared" ref="C38:F38" si="21">B38*0.02+B38</f>
        <v>3723000</v>
      </c>
      <c r="D38" s="23">
        <f t="shared" si="21"/>
        <v>3797460</v>
      </c>
      <c r="E38" s="23">
        <f t="shared" si="21"/>
        <v>3873409.2</v>
      </c>
      <c r="F38" s="23">
        <f t="shared" si="21"/>
        <v>3950877.3840000001</v>
      </c>
      <c r="G38" s="32">
        <f t="shared" si="18"/>
        <v>18994746.583999999</v>
      </c>
    </row>
    <row r="39" spans="1:9" x14ac:dyDescent="0.25">
      <c r="A39" s="47" t="s">
        <v>93</v>
      </c>
      <c r="B39" s="37">
        <f>SUM(B35:B38)</f>
        <v>19910000</v>
      </c>
      <c r="C39" s="37">
        <f t="shared" ref="C39:F39" si="22">SUM(C35:C38)</f>
        <v>20308200</v>
      </c>
      <c r="D39" s="37">
        <f t="shared" si="22"/>
        <v>20714364</v>
      </c>
      <c r="E39" s="37">
        <f t="shared" si="22"/>
        <v>21128651.279999997</v>
      </c>
      <c r="F39" s="37">
        <f t="shared" si="22"/>
        <v>21551224.305599999</v>
      </c>
      <c r="G39" s="37">
        <f>SUM(G35:G38)</f>
        <v>103612439.58559999</v>
      </c>
      <c r="I39" s="24"/>
    </row>
    <row r="40" spans="1:9" ht="15.75" customHeight="1" x14ac:dyDescent="0.25">
      <c r="A40" s="89"/>
      <c r="B40" s="90"/>
      <c r="C40" s="90"/>
      <c r="D40" s="90"/>
      <c r="E40" s="90"/>
      <c r="F40" s="91"/>
      <c r="G40" s="17"/>
    </row>
    <row r="41" spans="1:9" x14ac:dyDescent="0.25">
      <c r="A41" s="39" t="s">
        <v>4</v>
      </c>
      <c r="B41" s="37">
        <f>SUM(B39,B33)</f>
        <v>30420000</v>
      </c>
      <c r="C41" s="37">
        <f t="shared" ref="C41:F41" si="23">SUM(C39,C33)</f>
        <v>31028400</v>
      </c>
      <c r="D41" s="37">
        <f t="shared" si="23"/>
        <v>31648968</v>
      </c>
      <c r="E41" s="37">
        <f t="shared" si="23"/>
        <v>32281947.359999999</v>
      </c>
      <c r="F41" s="37">
        <f t="shared" si="23"/>
        <v>32927586.3072</v>
      </c>
      <c r="G41" s="37">
        <f>SUM(G39,G33)</f>
        <v>158306901.66719997</v>
      </c>
      <c r="H41" s="24"/>
      <c r="I41" s="24"/>
    </row>
    <row r="42" spans="1:9" ht="13.5" customHeight="1" x14ac:dyDescent="0.25">
      <c r="A42" s="89"/>
      <c r="B42" s="90"/>
      <c r="C42" s="90"/>
      <c r="D42" s="90"/>
      <c r="E42" s="90"/>
      <c r="F42" s="91"/>
      <c r="G42" s="17"/>
    </row>
    <row r="43" spans="1:9" x14ac:dyDescent="0.25">
      <c r="A43" s="28" t="s">
        <v>12</v>
      </c>
      <c r="B43" s="33">
        <v>158306901.66719997</v>
      </c>
      <c r="C43" s="103"/>
      <c r="D43" s="104"/>
      <c r="E43" s="104"/>
      <c r="F43" s="105"/>
      <c r="G43" s="17"/>
    </row>
    <row r="44" spans="1:9" x14ac:dyDescent="0.25">
      <c r="A44" s="43"/>
      <c r="B44" s="35"/>
      <c r="C44" s="35"/>
      <c r="D44" s="35"/>
      <c r="E44" s="35"/>
      <c r="F44" s="36"/>
      <c r="G44" s="17"/>
    </row>
    <row r="45" spans="1:9" x14ac:dyDescent="0.25">
      <c r="A45" s="47" t="s">
        <v>94</v>
      </c>
      <c r="B45" s="37">
        <f>SUM(B20,B41)</f>
        <v>44461810.271600001</v>
      </c>
      <c r="C45" s="37">
        <f t="shared" ref="C45:F45" si="24">SUM(C20,C41)</f>
        <v>33063211.985247999</v>
      </c>
      <c r="D45" s="37">
        <f t="shared" si="24"/>
        <v>33753249.735705443</v>
      </c>
      <c r="E45" s="37">
        <f t="shared" si="24"/>
        <v>34425493.8464946</v>
      </c>
      <c r="F45" s="37">
        <f t="shared" si="24"/>
        <v>35111209.212981798</v>
      </c>
      <c r="G45" s="38">
        <f>SUM(B45:F45)</f>
        <v>180814975.05202982</v>
      </c>
    </row>
    <row r="46" spans="1:9" x14ac:dyDescent="0.25">
      <c r="A46" s="89"/>
      <c r="B46" s="90"/>
      <c r="C46" s="90"/>
      <c r="D46" s="90"/>
      <c r="E46" s="90"/>
      <c r="F46" s="91"/>
      <c r="G46" s="17"/>
    </row>
    <row r="47" spans="1:9" x14ac:dyDescent="0.25">
      <c r="A47" s="48" t="s">
        <v>95</v>
      </c>
      <c r="B47" s="38">
        <f>SUM(B22,B43)</f>
        <v>180814975.05202982</v>
      </c>
      <c r="C47" s="23"/>
      <c r="D47" s="23"/>
      <c r="E47" s="23"/>
      <c r="F47" s="23"/>
      <c r="G47" s="17"/>
    </row>
  </sheetData>
  <mergeCells count="12">
    <mergeCell ref="G2:G3"/>
    <mergeCell ref="C43:F43"/>
    <mergeCell ref="A34:F34"/>
    <mergeCell ref="A40:F40"/>
    <mergeCell ref="A42:F42"/>
    <mergeCell ref="A46:F46"/>
    <mergeCell ref="A1:F1"/>
    <mergeCell ref="B2:F2"/>
    <mergeCell ref="A21:F21"/>
    <mergeCell ref="A23:F23"/>
    <mergeCell ref="C22:F22"/>
    <mergeCell ref="A19:F19"/>
  </mergeCells>
  <printOptions gridLines="1"/>
  <pageMargins left="0.27" right="0.19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H24"/>
  <sheetViews>
    <sheetView tabSelected="1" zoomScale="85" zoomScaleNormal="85" workbookViewId="0">
      <selection activeCell="C21" sqref="C21"/>
    </sheetView>
    <sheetView topLeftCell="A5" zoomScale="83" workbookViewId="1">
      <selection activeCell="C22" sqref="C22"/>
    </sheetView>
  </sheetViews>
  <sheetFormatPr defaultColWidth="8.85546875" defaultRowHeight="15" x14ac:dyDescent="0.25"/>
  <cols>
    <col min="1" max="1" width="28.28515625" customWidth="1"/>
    <col min="2" max="2" width="24.140625" customWidth="1"/>
    <col min="3" max="3" width="24.42578125" customWidth="1"/>
    <col min="4" max="4" width="14.140625" customWidth="1"/>
    <col min="5" max="5" width="15.7109375" customWidth="1"/>
    <col min="6" max="6" width="15.42578125" customWidth="1"/>
    <col min="7" max="7" width="15.140625" customWidth="1"/>
  </cols>
  <sheetData>
    <row r="1" spans="1:8" ht="21" x14ac:dyDescent="0.35">
      <c r="A1" s="109" t="s">
        <v>17</v>
      </c>
      <c r="B1" s="110"/>
      <c r="C1" s="110"/>
      <c r="D1" s="110"/>
      <c r="E1" s="110"/>
      <c r="F1" s="110"/>
      <c r="G1" s="111"/>
    </row>
    <row r="2" spans="1:8" ht="9" customHeight="1" x14ac:dyDescent="0.25">
      <c r="A2" s="102"/>
      <c r="B2" s="102"/>
      <c r="C2" s="102"/>
      <c r="D2" s="102"/>
      <c r="E2" s="102"/>
      <c r="F2" s="102"/>
      <c r="G2" s="102"/>
    </row>
    <row r="3" spans="1:8" x14ac:dyDescent="0.25">
      <c r="A3" s="17"/>
      <c r="B3" s="21" t="s">
        <v>0</v>
      </c>
      <c r="C3" s="89" t="s">
        <v>5</v>
      </c>
      <c r="D3" s="90"/>
      <c r="E3" s="90"/>
      <c r="F3" s="90"/>
      <c r="G3" s="91"/>
    </row>
    <row r="4" spans="1:8" x14ac:dyDescent="0.25">
      <c r="A4" s="17"/>
      <c r="B4" s="17"/>
      <c r="C4" s="21" t="s">
        <v>6</v>
      </c>
      <c r="D4" s="21" t="s">
        <v>7</v>
      </c>
      <c r="E4" s="21" t="s">
        <v>8</v>
      </c>
      <c r="F4" s="21" t="s">
        <v>9</v>
      </c>
      <c r="G4" s="25" t="s">
        <v>10</v>
      </c>
      <c r="H4" s="49"/>
    </row>
    <row r="5" spans="1:8" ht="18.75" x14ac:dyDescent="0.3">
      <c r="A5" s="46" t="s">
        <v>18</v>
      </c>
      <c r="B5" s="9"/>
      <c r="C5" s="9"/>
      <c r="D5" s="9"/>
      <c r="E5" s="9"/>
      <c r="F5" s="9"/>
      <c r="G5" s="9"/>
      <c r="H5" s="49"/>
    </row>
    <row r="6" spans="1:8" ht="20.100000000000001" customHeight="1" x14ac:dyDescent="0.25">
      <c r="A6" s="17"/>
      <c r="B6" s="52" t="s">
        <v>2</v>
      </c>
      <c r="C6" s="18">
        <f>'Current Cost Structure'!B23</f>
        <v>6291877.4400000004</v>
      </c>
      <c r="D6" s="18">
        <f>'Current Cost Structure'!C23</f>
        <v>6458124.9888000004</v>
      </c>
      <c r="E6" s="18">
        <f>'Current Cost Structure'!D23</f>
        <v>6670988.9885759996</v>
      </c>
      <c r="F6" s="18">
        <f>'Current Cost Structure'!E23</f>
        <v>6800928.7683475204</v>
      </c>
      <c r="G6" s="18">
        <f>'Current Cost Structure'!F23</f>
        <v>6933467.34371447</v>
      </c>
      <c r="H6" s="50"/>
    </row>
    <row r="7" spans="1:8" ht="20.100000000000001" customHeight="1" x14ac:dyDescent="0.25">
      <c r="A7" s="17"/>
      <c r="B7" s="62" t="s">
        <v>20</v>
      </c>
      <c r="C7" s="30">
        <f>'Current Cost Structure'!B25</f>
        <v>64738775.058875978</v>
      </c>
      <c r="D7" s="17"/>
      <c r="E7" s="17"/>
      <c r="F7" s="17"/>
      <c r="G7" s="17"/>
      <c r="H7" s="49"/>
    </row>
    <row r="8" spans="1:8" ht="20.100000000000001" customHeight="1" x14ac:dyDescent="0.25">
      <c r="A8" s="17"/>
      <c r="B8" s="52" t="s">
        <v>4</v>
      </c>
      <c r="C8" s="18">
        <f>'Current Cost Structure'!B43</f>
        <v>128592500</v>
      </c>
      <c r="D8" s="18">
        <f>'Current Cost Structure'!C43</f>
        <v>131164350</v>
      </c>
      <c r="E8" s="18">
        <f>'Current Cost Structure'!D43</f>
        <v>133787637</v>
      </c>
      <c r="F8" s="18">
        <f>'Current Cost Structure'!E43</f>
        <v>136463389.73999998</v>
      </c>
      <c r="G8" s="18">
        <f>'Current Cost Structure'!F43</f>
        <v>139192657.53479999</v>
      </c>
    </row>
    <row r="9" spans="1:8" ht="20.100000000000001" customHeight="1" x14ac:dyDescent="0.25">
      <c r="A9" s="17"/>
      <c r="B9" s="62" t="s">
        <v>21</v>
      </c>
      <c r="C9" s="30">
        <f>'Current Cost Structure'!B45</f>
        <v>669200534.27479994</v>
      </c>
      <c r="D9" s="17"/>
      <c r="E9" s="17"/>
      <c r="F9" s="17"/>
      <c r="G9" s="17"/>
    </row>
    <row r="10" spans="1:8" ht="20.100000000000001" customHeight="1" x14ac:dyDescent="0.25">
      <c r="A10" s="53" t="s">
        <v>90</v>
      </c>
      <c r="B10" s="51">
        <f>SUM(C9,C7)</f>
        <v>733939309.33367586</v>
      </c>
      <c r="C10" s="103"/>
      <c r="D10" s="104"/>
      <c r="E10" s="104"/>
      <c r="F10" s="104"/>
      <c r="G10" s="105"/>
    </row>
    <row r="11" spans="1:8" ht="18.75" customHeight="1" x14ac:dyDescent="0.25">
      <c r="A11" s="89"/>
      <c r="B11" s="90"/>
      <c r="C11" s="90"/>
      <c r="D11" s="90"/>
      <c r="E11" s="90"/>
      <c r="F11" s="90"/>
      <c r="G11" s="91"/>
    </row>
    <row r="12" spans="1:8" ht="18.75" x14ac:dyDescent="0.3">
      <c r="A12" s="46" t="s">
        <v>19</v>
      </c>
      <c r="B12" s="9"/>
      <c r="C12" s="9"/>
      <c r="D12" s="9"/>
      <c r="E12" s="9"/>
      <c r="F12" s="9"/>
      <c r="G12" s="10"/>
    </row>
    <row r="13" spans="1:8" ht="20.100000000000001" customHeight="1" x14ac:dyDescent="0.25">
      <c r="A13" s="17"/>
      <c r="B13" s="17" t="s">
        <v>2</v>
      </c>
      <c r="C13" s="18">
        <f>'Virtualized Cost Structure'!B20</f>
        <v>14041810.271600001</v>
      </c>
      <c r="D13" s="18">
        <f>'Virtualized Cost Structure'!C20</f>
        <v>2034811.9852479999</v>
      </c>
      <c r="E13" s="18">
        <f>'Virtualized Cost Structure'!D20</f>
        <v>2104281.7357054399</v>
      </c>
      <c r="F13" s="18">
        <f>'Virtualized Cost Structure'!E20</f>
        <v>2143546.4864946031</v>
      </c>
      <c r="G13" s="18">
        <f>'Virtualized Cost Structure'!F20</f>
        <v>2183622.9057818009</v>
      </c>
    </row>
    <row r="14" spans="1:8" ht="20.100000000000001" customHeight="1" x14ac:dyDescent="0.25">
      <c r="A14" s="17"/>
      <c r="B14" s="63" t="s">
        <v>20</v>
      </c>
      <c r="C14" s="30">
        <f>'Virtualized Cost Structure'!B22</f>
        <v>22508073.384829842</v>
      </c>
      <c r="D14" s="17"/>
      <c r="E14" s="17"/>
      <c r="F14" s="17"/>
      <c r="G14" s="17"/>
    </row>
    <row r="15" spans="1:8" ht="20.100000000000001" customHeight="1" x14ac:dyDescent="0.25">
      <c r="A15" s="17"/>
      <c r="B15" s="17" t="s">
        <v>4</v>
      </c>
      <c r="C15" s="18">
        <f>'Virtualized Cost Structure'!B41</f>
        <v>30420000</v>
      </c>
      <c r="D15" s="18">
        <f>'Virtualized Cost Structure'!C41</f>
        <v>31028400</v>
      </c>
      <c r="E15" s="18">
        <f>'Virtualized Cost Structure'!D41</f>
        <v>31648968</v>
      </c>
      <c r="F15" s="18">
        <f>'Virtualized Cost Structure'!E41</f>
        <v>32281947.359999999</v>
      </c>
      <c r="G15" s="18">
        <f>'Virtualized Cost Structure'!F41</f>
        <v>32927586.3072</v>
      </c>
    </row>
    <row r="16" spans="1:8" ht="20.100000000000001" customHeight="1" x14ac:dyDescent="0.25">
      <c r="A16" s="17"/>
      <c r="B16" s="63" t="s">
        <v>21</v>
      </c>
      <c r="C16" s="30">
        <f>'Virtualized Cost Structure'!B43</f>
        <v>158306901.66719997</v>
      </c>
      <c r="D16" s="17"/>
      <c r="E16" s="17"/>
      <c r="F16" s="17"/>
      <c r="G16" s="17"/>
    </row>
    <row r="17" spans="1:7" ht="20.100000000000001" customHeight="1" x14ac:dyDescent="0.25">
      <c r="A17" s="54" t="s">
        <v>90</v>
      </c>
      <c r="B17" s="13">
        <f>SUM(C16,C14)</f>
        <v>180814975.05202982</v>
      </c>
      <c r="C17" s="112"/>
      <c r="D17" s="113"/>
      <c r="E17" s="113"/>
      <c r="F17" s="113"/>
      <c r="G17" s="114"/>
    </row>
    <row r="18" spans="1:7" ht="18" customHeight="1" x14ac:dyDescent="0.25">
      <c r="A18" s="14"/>
      <c r="B18" s="15"/>
      <c r="C18" s="15"/>
      <c r="D18" s="15"/>
      <c r="E18" s="15"/>
      <c r="F18" s="15"/>
      <c r="G18" s="16"/>
    </row>
    <row r="19" spans="1:7" ht="15.75" x14ac:dyDescent="0.25">
      <c r="A19" s="107" t="s">
        <v>22</v>
      </c>
      <c r="B19" s="107"/>
      <c r="C19" s="56">
        <f>C7-C14</f>
        <v>42230701.674046136</v>
      </c>
      <c r="D19" s="15"/>
      <c r="E19" s="15"/>
      <c r="F19" s="15"/>
      <c r="G19" s="16"/>
    </row>
    <row r="20" spans="1:7" ht="15.75" x14ac:dyDescent="0.25">
      <c r="A20" s="108" t="s">
        <v>23</v>
      </c>
      <c r="B20" s="108"/>
      <c r="C20" s="57">
        <f>C8-C15</f>
        <v>98172500</v>
      </c>
      <c r="D20" s="15"/>
      <c r="E20" s="15"/>
      <c r="F20" s="15"/>
      <c r="G20" s="16"/>
    </row>
    <row r="21" spans="1:7" ht="18.75" x14ac:dyDescent="0.3">
      <c r="A21" s="55"/>
      <c r="B21" s="58" t="s">
        <v>24</v>
      </c>
      <c r="C21" s="59">
        <f>B10-B17</f>
        <v>553124334.28164601</v>
      </c>
      <c r="D21" s="19"/>
      <c r="E21" s="19"/>
      <c r="F21" s="19"/>
      <c r="G21" s="20"/>
    </row>
    <row r="24" spans="1:7" x14ac:dyDescent="0.25">
      <c r="B24" s="24"/>
    </row>
  </sheetData>
  <mergeCells count="8">
    <mergeCell ref="A19:B19"/>
    <mergeCell ref="A20:B20"/>
    <mergeCell ref="A1:G1"/>
    <mergeCell ref="A11:G11"/>
    <mergeCell ref="A2:G2"/>
    <mergeCell ref="C3:G3"/>
    <mergeCell ref="C10:G10"/>
    <mergeCell ref="C17:G17"/>
  </mergeCells>
  <printOptions gridLines="1"/>
  <pageMargins left="0.7" right="0.48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Current Cost Structure</vt:lpstr>
      <vt:lpstr>Current - Variables</vt:lpstr>
      <vt:lpstr>Proposed - Variables</vt:lpstr>
      <vt:lpstr>Virtualized Cost Structure</vt:lpstr>
      <vt:lpstr>Project Cost Summary</vt:lpstr>
    </vt:vector>
  </TitlesOfParts>
  <Company>UCF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Llewellyn</dc:creator>
  <cp:lastModifiedBy>Prince Patel</cp:lastModifiedBy>
  <cp:lastPrinted>2011-02-16T20:17:28Z</cp:lastPrinted>
  <dcterms:created xsi:type="dcterms:W3CDTF">2011-02-02T19:28:52Z</dcterms:created>
  <dcterms:modified xsi:type="dcterms:W3CDTF">2021-09-29T22:39:46Z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34a74cea-304a-4334-977e-d4b8a99cf599</vt:lpwstr>
  </property>
</Properties>
</file>